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xr:revisionPtr revIDLastSave="0" documentId="8_{EFDA5CF1-EFD9-4F7B-9767-E674EFD14127}" xr6:coauthVersionLast="46" xr6:coauthVersionMax="46" xr10:uidLastSave="{00000000-0000-0000-0000-000000000000}"/>
  <bookViews>
    <workbookView xWindow="-90" yWindow="-90" windowWidth="19380" windowHeight="10530" tabRatio="922" xr2:uid="{00000000-000D-0000-FFFF-FFFF00000000}"/>
  </bookViews>
  <sheets>
    <sheet name="YEAR 2020  2019" sheetId="16" r:id="rId1"/>
    <sheet name="QIV FS 2020" sheetId="14" r:id="rId2"/>
    <sheet name="QIV IS 2020" sheetId="13" r:id="rId3"/>
    <sheet name="QIV QIII 2020" sheetId="15" r:id="rId4"/>
    <sheet name=" QIII FS 2020 " sheetId="2" r:id="rId5"/>
    <sheet name="QIII QB BS SUMMARy" sheetId="11" r:id="rId6"/>
    <sheet name=" QIII QB IS SUMMARY " sheetId="7" r:id="rId7"/>
    <sheet name="QI 2020 &amp; QIV Prior Quarter " sheetId="12" r:id="rId8"/>
    <sheet name="2016-2020 " sheetId="3" r:id="rId9"/>
  </sheets>
  <externalReferences>
    <externalReference r:id="rId10"/>
  </externalReferences>
  <definedNames>
    <definedName name="_xlnm.Print_Area" localSheetId="4">' QIII FS 2020 '!$A$1:$G$150</definedName>
    <definedName name="_xlnm.Print_Area" localSheetId="6">' QIII QB IS SUMMARY '!$AI$1:$AN$52</definedName>
    <definedName name="_xlnm.Print_Area" localSheetId="8">'2016-2020 '!$A$1:$L$28</definedName>
    <definedName name="_xlnm.Print_Area" localSheetId="5">'QIII QB BS SUMMARy'!$A$1:$D$41</definedName>
    <definedName name="_xlnm.Print_Area" localSheetId="3">'QIV QIII 2020'!$A$1:$G$32</definedName>
    <definedName name="_xlnm.Print_Area" localSheetId="0">'YEAR 2020  2019'!$A$1:$G$44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6" l="1"/>
  <c r="D39" i="16"/>
  <c r="D14" i="14" l="1"/>
  <c r="F20" i="15"/>
  <c r="F28" i="15" s="1"/>
  <c r="F32" i="15" s="1"/>
  <c r="F18" i="15"/>
  <c r="F12" i="15"/>
  <c r="D12" i="15"/>
  <c r="F8" i="15"/>
  <c r="F28" i="14"/>
  <c r="F26" i="14"/>
  <c r="F23" i="14"/>
  <c r="N28" i="14"/>
  <c r="N21" i="14"/>
  <c r="N19" i="14"/>
  <c r="N13" i="14"/>
  <c r="N9" i="14"/>
  <c r="F18" i="16"/>
  <c r="F10" i="16"/>
  <c r="D14" i="16"/>
  <c r="F12" i="16"/>
  <c r="D12" i="16"/>
  <c r="D23" i="16"/>
  <c r="D26" i="16"/>
  <c r="D25" i="16"/>
  <c r="H27" i="16"/>
  <c r="H26" i="16"/>
  <c r="H25" i="16"/>
  <c r="H24" i="16"/>
  <c r="H23" i="16"/>
  <c r="H18" i="16"/>
  <c r="H17" i="16"/>
  <c r="H16" i="16"/>
  <c r="H15" i="16"/>
  <c r="H14" i="16"/>
  <c r="F19" i="16"/>
  <c r="D19" i="16"/>
  <c r="F8" i="16"/>
  <c r="D8" i="16"/>
  <c r="J10" i="16"/>
  <c r="H10" i="16"/>
  <c r="J5" i="16"/>
  <c r="H7" i="16"/>
  <c r="H6" i="16"/>
  <c r="H5" i="16"/>
  <c r="V29" i="16"/>
  <c r="V33" i="16" s="1"/>
  <c r="V12" i="16"/>
  <c r="F21" i="16" l="1"/>
  <c r="F29" i="16" s="1"/>
  <c r="F33" i="16" s="1"/>
  <c r="F39" i="16" s="1"/>
  <c r="D21" i="16"/>
  <c r="D29" i="16" s="1"/>
  <c r="D33" i="16" s="1"/>
  <c r="H19" i="16"/>
  <c r="T29" i="16" l="1"/>
  <c r="T33" i="16" s="1"/>
  <c r="R29" i="16"/>
  <c r="R33" i="16" s="1"/>
  <c r="P29" i="16"/>
  <c r="P33" i="16" s="1"/>
  <c r="T12" i="16"/>
  <c r="R12" i="16"/>
  <c r="P8" i="16"/>
  <c r="P12" i="16" s="1"/>
  <c r="J19" i="16"/>
  <c r="H31" i="16" l="1"/>
  <c r="J8" i="16"/>
  <c r="J12" i="16" s="1"/>
  <c r="D18" i="15"/>
  <c r="D20" i="15" s="1"/>
  <c r="D28" i="15" s="1"/>
  <c r="D32" i="15" s="1"/>
  <c r="D30" i="14"/>
  <c r="D26" i="14"/>
  <c r="D24" i="14"/>
  <c r="D25" i="14"/>
  <c r="D23" i="14"/>
  <c r="D22" i="14"/>
  <c r="D17" i="14"/>
  <c r="D16" i="14"/>
  <c r="D15" i="14"/>
  <c r="D10" i="14"/>
  <c r="D7" i="14"/>
  <c r="D6" i="14"/>
  <c r="D5" i="14"/>
  <c r="H89" i="13"/>
  <c r="B63" i="13"/>
  <c r="B62" i="13"/>
  <c r="B111" i="13"/>
  <c r="B110" i="13"/>
  <c r="B108" i="13"/>
  <c r="B38" i="13"/>
  <c r="B74" i="13" s="1"/>
  <c r="B87" i="13"/>
  <c r="B83" i="13"/>
  <c r="B82" i="13"/>
  <c r="B81" i="13"/>
  <c r="B80" i="13"/>
  <c r="B79" i="13"/>
  <c r="B73" i="13"/>
  <c r="B72" i="13"/>
  <c r="B67" i="13"/>
  <c r="B37" i="13"/>
  <c r="H114" i="13"/>
  <c r="H112" i="13"/>
  <c r="H108" i="13"/>
  <c r="H110" i="13" s="1"/>
  <c r="H115" i="13" s="1"/>
  <c r="H82" i="13"/>
  <c r="H81" i="13"/>
  <c r="H79" i="13"/>
  <c r="H75" i="13"/>
  <c r="H74" i="13"/>
  <c r="H73" i="13"/>
  <c r="H72" i="13"/>
  <c r="H65" i="13"/>
  <c r="H50" i="13"/>
  <c r="H51" i="13" s="1"/>
  <c r="H33" i="13"/>
  <c r="H45" i="13" s="1"/>
  <c r="H13" i="13"/>
  <c r="H67" i="13" s="1"/>
  <c r="F25" i="14"/>
  <c r="F24" i="14"/>
  <c r="F22" i="14"/>
  <c r="F17" i="14"/>
  <c r="F16" i="14"/>
  <c r="F15" i="14"/>
  <c r="F14" i="14"/>
  <c r="F10" i="14"/>
  <c r="F7" i="14"/>
  <c r="F6" i="14"/>
  <c r="F5" i="14"/>
  <c r="H8" i="16" l="1"/>
  <c r="H12" i="16" s="1"/>
  <c r="I12" i="16" s="1"/>
  <c r="J21" i="16"/>
  <c r="J29" i="16" s="1"/>
  <c r="K12" i="16"/>
  <c r="D18" i="14"/>
  <c r="D8" i="14"/>
  <c r="B50" i="13"/>
  <c r="H71" i="13"/>
  <c r="H113" i="13"/>
  <c r="H69" i="13"/>
  <c r="H77" i="13" s="1"/>
  <c r="H85" i="13" s="1"/>
  <c r="H14" i="13"/>
  <c r="H46" i="13" s="1"/>
  <c r="H52" i="13" s="1"/>
  <c r="H21" i="16" l="1"/>
  <c r="H29" i="16" s="1"/>
  <c r="H33" i="16" s="1"/>
  <c r="J33" i="16"/>
  <c r="B51" i="13"/>
  <c r="B53" i="13" s="1"/>
  <c r="C53" i="13" s="1"/>
  <c r="B75" i="13"/>
  <c r="B71" i="13" l="1"/>
  <c r="F18" i="14" l="1"/>
  <c r="F8" i="14"/>
  <c r="F12" i="14" s="1"/>
  <c r="G12" i="14" s="1"/>
  <c r="D12" i="14"/>
  <c r="D20" i="14" s="1"/>
  <c r="E12" i="14" l="1"/>
  <c r="D28" i="14"/>
  <c r="D32" i="14" s="1"/>
  <c r="F20" i="14"/>
  <c r="F32" i="14" s="1"/>
  <c r="F113" i="2"/>
  <c r="D81" i="2"/>
  <c r="F141" i="2" l="1"/>
  <c r="D66" i="2" l="1"/>
  <c r="G154" i="11"/>
  <c r="D38" i="11" s="1"/>
  <c r="G153" i="11"/>
  <c r="H153" i="11" s="1"/>
  <c r="G152" i="11"/>
  <c r="G151" i="11"/>
  <c r="H151" i="11" s="1"/>
  <c r="G150" i="11"/>
  <c r="G149" i="11"/>
  <c r="G148" i="11"/>
  <c r="G147" i="11"/>
  <c r="G146" i="11"/>
  <c r="H146" i="11" s="1"/>
  <c r="G145" i="11"/>
  <c r="H145" i="11" s="1"/>
  <c r="G144" i="11"/>
  <c r="D33" i="11" s="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18" i="11"/>
  <c r="G117" i="11"/>
  <c r="G116" i="11"/>
  <c r="G115" i="11"/>
  <c r="G114" i="11"/>
  <c r="G113" i="11"/>
  <c r="G112" i="11"/>
  <c r="G111" i="11"/>
  <c r="G110" i="11"/>
  <c r="G109" i="11"/>
  <c r="D24" i="11" s="1"/>
  <c r="G108" i="11"/>
  <c r="G107" i="11"/>
  <c r="G106" i="11"/>
  <c r="G105" i="11"/>
  <c r="G104" i="11"/>
  <c r="G103" i="11"/>
  <c r="G102" i="11"/>
  <c r="G101" i="11"/>
  <c r="G100" i="11"/>
  <c r="G99" i="11"/>
  <c r="G98" i="11"/>
  <c r="D25" i="11" s="1"/>
  <c r="G97" i="11"/>
  <c r="G95" i="11"/>
  <c r="G94" i="11"/>
  <c r="G91" i="11"/>
  <c r="G90" i="11"/>
  <c r="G89" i="11"/>
  <c r="G88" i="11"/>
  <c r="G87" i="11"/>
  <c r="G84" i="11"/>
  <c r="G85" i="11" s="1"/>
  <c r="G77" i="11"/>
  <c r="G76" i="11"/>
  <c r="G75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6" i="11"/>
  <c r="G25" i="11"/>
  <c r="D8" i="11" s="1"/>
  <c r="G24" i="11"/>
  <c r="G23" i="11"/>
  <c r="G22" i="11"/>
  <c r="G21" i="11"/>
  <c r="G20" i="11"/>
  <c r="G19" i="11"/>
  <c r="G18" i="11"/>
  <c r="G17" i="11"/>
  <c r="G14" i="11"/>
  <c r="G15" i="11" s="1"/>
  <c r="D6" i="11" s="1"/>
  <c r="G11" i="11"/>
  <c r="G10" i="11"/>
  <c r="G9" i="11"/>
  <c r="H82" i="7"/>
  <c r="H81" i="7"/>
  <c r="H80" i="7"/>
  <c r="H79" i="7"/>
  <c r="H78" i="7"/>
  <c r="M63" i="7"/>
  <c r="M58" i="7"/>
  <c r="M57" i="7"/>
  <c r="M45" i="7"/>
  <c r="M42" i="7"/>
  <c r="M39" i="7"/>
  <c r="M34" i="7"/>
  <c r="M25" i="7"/>
  <c r="K78" i="7"/>
  <c r="K79" i="7" s="1"/>
  <c r="K80" i="7" s="1"/>
  <c r="H48" i="7" s="1"/>
  <c r="K72" i="7"/>
  <c r="M72" i="7" s="1"/>
  <c r="K71" i="7"/>
  <c r="H32" i="7" s="1"/>
  <c r="K70" i="7"/>
  <c r="H72" i="7" s="1"/>
  <c r="K69" i="7"/>
  <c r="M69" i="7" s="1"/>
  <c r="K68" i="7"/>
  <c r="M68" i="7" s="1"/>
  <c r="K65" i="7"/>
  <c r="K64" i="7"/>
  <c r="K61" i="7"/>
  <c r="K59" i="7"/>
  <c r="K60" i="7" s="1"/>
  <c r="K56" i="7"/>
  <c r="H43" i="7" s="1"/>
  <c r="K55" i="7"/>
  <c r="M55" i="7" s="1"/>
  <c r="K54" i="7"/>
  <c r="M54" i="7" s="1"/>
  <c r="K53" i="7"/>
  <c r="M53" i="7" s="1"/>
  <c r="K51" i="7"/>
  <c r="K50" i="7"/>
  <c r="K49" i="7"/>
  <c r="M49" i="7" s="1"/>
  <c r="K47" i="7"/>
  <c r="K46" i="7"/>
  <c r="K43" i="7"/>
  <c r="K44" i="7" s="1"/>
  <c r="M44" i="7" s="1"/>
  <c r="K40" i="7"/>
  <c r="K41" i="7" s="1"/>
  <c r="K37" i="7"/>
  <c r="M37" i="7" s="1"/>
  <c r="K36" i="7"/>
  <c r="M36" i="7" s="1"/>
  <c r="K35" i="7"/>
  <c r="M35" i="7" s="1"/>
  <c r="K33" i="7"/>
  <c r="M33" i="7" s="1"/>
  <c r="K32" i="7"/>
  <c r="H19" i="7" s="1"/>
  <c r="K31" i="7"/>
  <c r="H34" i="7" s="1"/>
  <c r="K29" i="7"/>
  <c r="K28" i="7"/>
  <c r="K26" i="7"/>
  <c r="K27" i="7" s="1"/>
  <c r="M27" i="7" s="1"/>
  <c r="K24" i="7"/>
  <c r="M24" i="7" s="1"/>
  <c r="K23" i="7"/>
  <c r="H25" i="7" s="1"/>
  <c r="K22" i="7"/>
  <c r="H24" i="7" s="1"/>
  <c r="K21" i="7"/>
  <c r="K20" i="7"/>
  <c r="M20" i="7" s="1"/>
  <c r="K18" i="7"/>
  <c r="K17" i="7"/>
  <c r="K16" i="7"/>
  <c r="M16" i="7" s="1"/>
  <c r="K11" i="7"/>
  <c r="H10" i="7" s="1"/>
  <c r="K10" i="7"/>
  <c r="H9" i="7" s="1"/>
  <c r="K9" i="7"/>
  <c r="H11" i="7" s="1"/>
  <c r="K5" i="7"/>
  <c r="H5" i="7" s="1"/>
  <c r="K4" i="7"/>
  <c r="H4" i="7" s="1"/>
  <c r="D37" i="11" l="1"/>
  <c r="D34" i="11"/>
  <c r="D63" i="2" s="1"/>
  <c r="H144" i="11"/>
  <c r="G92" i="11"/>
  <c r="D18" i="11" s="1"/>
  <c r="G12" i="11"/>
  <c r="G28" i="11" s="1"/>
  <c r="D7" i="11"/>
  <c r="H154" i="11"/>
  <c r="G119" i="11"/>
  <c r="D23" i="11" s="1"/>
  <c r="D53" i="2" s="1"/>
  <c r="D17" i="11"/>
  <c r="G27" i="11"/>
  <c r="G141" i="11"/>
  <c r="G96" i="11"/>
  <c r="G155" i="11"/>
  <c r="C39" i="11" s="1"/>
  <c r="G52" i="11"/>
  <c r="D11" i="11" s="1"/>
  <c r="G74" i="11"/>
  <c r="G78" i="11" s="1"/>
  <c r="D5" i="11"/>
  <c r="D35" i="11"/>
  <c r="D65" i="2" s="1"/>
  <c r="H85" i="7"/>
  <c r="H52" i="7" s="1"/>
  <c r="D6" i="2" s="1"/>
  <c r="H84" i="7"/>
  <c r="H51" i="7" s="1"/>
  <c r="K66" i="7"/>
  <c r="M66" i="7" s="1"/>
  <c r="H83" i="7"/>
  <c r="H40" i="7"/>
  <c r="H31" i="7"/>
  <c r="H28" i="7"/>
  <c r="K6" i="7"/>
  <c r="M22" i="7"/>
  <c r="H21" i="7"/>
  <c r="M70" i="7"/>
  <c r="H35" i="7"/>
  <c r="H42" i="7"/>
  <c r="M21" i="7"/>
  <c r="M71" i="7"/>
  <c r="M23" i="7"/>
  <c r="H23" i="7"/>
  <c r="H71" i="7"/>
  <c r="M31" i="7"/>
  <c r="H30" i="7"/>
  <c r="M32" i="7"/>
  <c r="H33" i="7"/>
  <c r="M41" i="7"/>
  <c r="H16" i="7"/>
  <c r="H37" i="7"/>
  <c r="H70" i="7"/>
  <c r="H26" i="7"/>
  <c r="H38" i="7"/>
  <c r="H61" i="7" s="1"/>
  <c r="H69" i="7"/>
  <c r="H20" i="7"/>
  <c r="H36" i="7"/>
  <c r="M26" i="7"/>
  <c r="H29" i="7"/>
  <c r="M56" i="7"/>
  <c r="K62" i="7"/>
  <c r="K52" i="7"/>
  <c r="K12" i="7"/>
  <c r="K13" i="7" s="1"/>
  <c r="K48" i="7"/>
  <c r="K38" i="7"/>
  <c r="K73" i="7"/>
  <c r="K19" i="7"/>
  <c r="K30" i="7"/>
  <c r="F18" i="2"/>
  <c r="F8" i="2"/>
  <c r="F12" i="2" s="1"/>
  <c r="E39" i="11" l="1"/>
  <c r="D20" i="11"/>
  <c r="D39" i="11"/>
  <c r="F20" i="2"/>
  <c r="F27" i="2" s="1"/>
  <c r="G120" i="11"/>
  <c r="G121" i="11" s="1"/>
  <c r="G142" i="11" s="1"/>
  <c r="H155" i="11"/>
  <c r="G79" i="11"/>
  <c r="D12" i="11"/>
  <c r="D42" i="2" s="1"/>
  <c r="D22" i="11"/>
  <c r="D52" i="2" s="1"/>
  <c r="H86" i="7"/>
  <c r="H88" i="7"/>
  <c r="K14" i="7"/>
  <c r="H45" i="7"/>
  <c r="K74" i="7"/>
  <c r="H44" i="7"/>
  <c r="M62" i="7"/>
  <c r="M30" i="7"/>
  <c r="H27" i="7"/>
  <c r="M19" i="7"/>
  <c r="H22" i="7"/>
  <c r="H62" i="7" s="1"/>
  <c r="H18" i="7"/>
  <c r="M48" i="7"/>
  <c r="H41" i="7"/>
  <c r="H63" i="7" s="1"/>
  <c r="M52" i="7"/>
  <c r="D64" i="2"/>
  <c r="F131" i="2"/>
  <c r="F135" i="2" s="1"/>
  <c r="G135" i="2" s="1"/>
  <c r="D48" i="2"/>
  <c r="W19" i="11"/>
  <c r="W23" i="11" s="1"/>
  <c r="D67" i="2"/>
  <c r="D54" i="2"/>
  <c r="D41" i="2"/>
  <c r="D38" i="2"/>
  <c r="D37" i="2"/>
  <c r="D35" i="2"/>
  <c r="D68" i="2"/>
  <c r="D55" i="2"/>
  <c r="D47" i="2"/>
  <c r="D36" i="2"/>
  <c r="F67" i="2"/>
  <c r="F69" i="2" s="1"/>
  <c r="D7" i="2"/>
  <c r="D130" i="2" s="1"/>
  <c r="H110" i="7"/>
  <c r="D129" i="2" s="1"/>
  <c r="H109" i="7"/>
  <c r="J89" i="7"/>
  <c r="J88" i="7"/>
  <c r="D23" i="2"/>
  <c r="D25" i="2"/>
  <c r="D89" i="2" s="1"/>
  <c r="D24" i="2"/>
  <c r="D22" i="2"/>
  <c r="D145" i="2" s="1"/>
  <c r="D15" i="2"/>
  <c r="D138" i="2" s="1"/>
  <c r="H12" i="7"/>
  <c r="H6" i="7"/>
  <c r="K75" i="7" l="1"/>
  <c r="K81" i="7" s="1"/>
  <c r="G74" i="7" s="1"/>
  <c r="G156" i="11"/>
  <c r="C41" i="11" s="1"/>
  <c r="H142" i="11"/>
  <c r="H156" i="11" s="1"/>
  <c r="C13" i="11"/>
  <c r="H60" i="7"/>
  <c r="F143" i="2"/>
  <c r="F150" i="2" s="1"/>
  <c r="D146" i="2"/>
  <c r="D87" i="2"/>
  <c r="D88" i="2"/>
  <c r="D69" i="2"/>
  <c r="D16" i="2"/>
  <c r="D139" i="2" s="1"/>
  <c r="M74" i="7"/>
  <c r="G46" i="7"/>
  <c r="H46" i="7"/>
  <c r="D10" i="2"/>
  <c r="D133" i="2" s="1"/>
  <c r="H56" i="7"/>
  <c r="D17" i="2"/>
  <c r="D140" i="2" s="1"/>
  <c r="D8" i="2"/>
  <c r="D5" i="2"/>
  <c r="D128" i="2" s="1"/>
  <c r="D26" i="11"/>
  <c r="J90" i="7"/>
  <c r="D39" i="2"/>
  <c r="D147" i="2"/>
  <c r="D148" i="2"/>
  <c r="D9" i="11"/>
  <c r="D13" i="11" s="1"/>
  <c r="F56" i="2"/>
  <c r="F50" i="2"/>
  <c r="F39" i="2"/>
  <c r="F43" i="2" s="1"/>
  <c r="H111" i="7"/>
  <c r="H14" i="7"/>
  <c r="G158" i="11" l="1"/>
  <c r="E13" i="11"/>
  <c r="D28" i="11"/>
  <c r="D12" i="2"/>
  <c r="I46" i="7"/>
  <c r="H54" i="7"/>
  <c r="F58" i="2"/>
  <c r="F71" i="2" s="1"/>
  <c r="D41" i="11" l="1"/>
  <c r="E29" i="11"/>
  <c r="H58" i="7"/>
  <c r="H90" i="7"/>
  <c r="H92" i="7" s="1"/>
  <c r="W33" i="11"/>
  <c r="W34" i="11"/>
  <c r="W36" i="11"/>
  <c r="W35" i="11"/>
  <c r="W32" i="11"/>
  <c r="W18" i="11"/>
  <c r="W25" i="11"/>
  <c r="W24" i="11"/>
  <c r="W22" i="11"/>
  <c r="W17" i="11"/>
  <c r="W12" i="11"/>
  <c r="W11" i="11"/>
  <c r="W8" i="11"/>
  <c r="W7" i="11"/>
  <c r="W6" i="11"/>
  <c r="W5" i="11"/>
  <c r="AG39" i="11"/>
  <c r="AG28" i="11"/>
  <c r="AG29" i="11" s="1"/>
  <c r="AG31" i="11" s="1"/>
  <c r="AG11" i="11"/>
  <c r="AG12" i="11" s="1"/>
  <c r="AG15" i="11" s="1"/>
  <c r="T135" i="7"/>
  <c r="T134" i="7"/>
  <c r="T132" i="7"/>
  <c r="D79" i="2"/>
  <c r="T89" i="7"/>
  <c r="T90" i="7" s="1"/>
  <c r="T83" i="7"/>
  <c r="T78" i="7"/>
  <c r="T79" i="7" s="1"/>
  <c r="T71" i="7"/>
  <c r="T62" i="7"/>
  <c r="T103" i="7" s="1"/>
  <c r="T59" i="7"/>
  <c r="T48" i="7"/>
  <c r="T42" i="7"/>
  <c r="T31" i="7"/>
  <c r="T104" i="7" s="1"/>
  <c r="T23" i="7"/>
  <c r="T19" i="7"/>
  <c r="T13" i="7"/>
  <c r="T14" i="7" s="1"/>
  <c r="T98" i="7" s="1"/>
  <c r="T6" i="7"/>
  <c r="T96" i="7" s="1"/>
  <c r="D43" i="11" l="1"/>
  <c r="E41" i="11"/>
  <c r="W20" i="11"/>
  <c r="AG40" i="11"/>
  <c r="T105" i="7"/>
  <c r="T136" i="7"/>
  <c r="W37" i="11"/>
  <c r="T100" i="7"/>
  <c r="T15" i="7"/>
  <c r="T84" i="7"/>
  <c r="K18" i="3"/>
  <c r="K8" i="3"/>
  <c r="K12" i="3" s="1"/>
  <c r="T108" i="7" l="1"/>
  <c r="T115" i="7" s="1"/>
  <c r="T85" i="7"/>
  <c r="T91" i="7" s="1"/>
  <c r="D131" i="2"/>
  <c r="D135" i="2" s="1"/>
  <c r="K20" i="3"/>
  <c r="K28" i="3" s="1"/>
  <c r="L12" i="3"/>
  <c r="E135" i="2" l="1"/>
  <c r="C18" i="3"/>
  <c r="R101" i="12"/>
  <c r="R99" i="12"/>
  <c r="R95" i="12"/>
  <c r="R97" i="12" s="1"/>
  <c r="R102" i="12" s="1"/>
  <c r="I18" i="3"/>
  <c r="I8" i="3"/>
  <c r="I12" i="3" s="1"/>
  <c r="J12" i="3" s="1"/>
  <c r="G18" i="3"/>
  <c r="G8" i="3"/>
  <c r="G12" i="3" s="1"/>
  <c r="H12" i="3" s="1"/>
  <c r="E18" i="3"/>
  <c r="R74" i="12"/>
  <c r="R73" i="12"/>
  <c r="R71" i="12"/>
  <c r="R67" i="12"/>
  <c r="R65" i="12"/>
  <c r="R66" i="12"/>
  <c r="R64" i="12"/>
  <c r="T59" i="12"/>
  <c r="R57" i="12"/>
  <c r="R44" i="12"/>
  <c r="R45" i="12" s="1"/>
  <c r="R27" i="12"/>
  <c r="R7" i="12"/>
  <c r="R8" i="12" s="1"/>
  <c r="T67" i="12"/>
  <c r="T57" i="12"/>
  <c r="AB89" i="7"/>
  <c r="AB90" i="7" s="1"/>
  <c r="AB66" i="7"/>
  <c r="AB59" i="7"/>
  <c r="AB48" i="7"/>
  <c r="AB14" i="7"/>
  <c r="AB15" i="7" s="1"/>
  <c r="AD81" i="7"/>
  <c r="AD70" i="7"/>
  <c r="R100" i="12" l="1"/>
  <c r="R59" i="12"/>
  <c r="I20" i="3"/>
  <c r="I28" i="3" s="1"/>
  <c r="G20" i="3"/>
  <c r="G28" i="3" s="1"/>
  <c r="R39" i="12"/>
  <c r="R40" i="12" s="1"/>
  <c r="R46" i="12" s="1"/>
  <c r="T61" i="12"/>
  <c r="T69" i="12" s="1"/>
  <c r="T76" i="12" s="1"/>
  <c r="AB84" i="7"/>
  <c r="AB85" i="7" s="1"/>
  <c r="AB91" i="7" s="1"/>
  <c r="AD74" i="7"/>
  <c r="AD83" i="7" s="1"/>
  <c r="AD90" i="7" s="1"/>
  <c r="Y37" i="11"/>
  <c r="R61" i="12" l="1"/>
  <c r="R69" i="12" s="1"/>
  <c r="R76" i="12" s="1"/>
  <c r="R63" i="12"/>
  <c r="Y20" i="11" l="1"/>
  <c r="Y9" i="11"/>
  <c r="W9" i="11"/>
  <c r="G12" i="2"/>
  <c r="D90" i="2" l="1"/>
  <c r="D56" i="2"/>
  <c r="D43" i="2"/>
  <c r="W26" i="11"/>
  <c r="Y26" i="11"/>
  <c r="Y28" i="11" s="1"/>
  <c r="Y39" i="11" s="1"/>
  <c r="Y13" i="11"/>
  <c r="W13" i="11"/>
  <c r="E12" i="2" l="1"/>
  <c r="D50" i="2"/>
  <c r="D58" i="2" s="1"/>
  <c r="D71" i="2" s="1"/>
  <c r="Y41" i="11"/>
  <c r="W28" i="11"/>
  <c r="W39" i="11" s="1"/>
  <c r="W41" i="11" s="1"/>
  <c r="D116" i="2" l="1"/>
  <c r="D119" i="2" s="1"/>
  <c r="E8" i="3" l="1"/>
  <c r="E12" i="3" s="1"/>
  <c r="C8" i="3"/>
  <c r="E20" i="3" l="1"/>
  <c r="E28" i="3" s="1"/>
  <c r="F12" i="3"/>
  <c r="C12" i="3"/>
  <c r="C20" i="3" l="1"/>
  <c r="C28" i="3" s="1"/>
  <c r="D12" i="3"/>
  <c r="H113" i="7" l="1"/>
  <c r="H64" i="7" l="1"/>
  <c r="H66" i="7" s="1"/>
  <c r="H47" i="7"/>
  <c r="H49" i="7" s="1"/>
  <c r="H74" i="7" l="1"/>
  <c r="I74" i="7" s="1"/>
  <c r="D14" i="2"/>
  <c r="D18" i="2" s="1"/>
  <c r="D20" i="2" s="1"/>
  <c r="D27" i="2" l="1"/>
  <c r="D77" i="2" s="1"/>
  <c r="D83" i="2" s="1"/>
  <c r="D92" i="2" s="1"/>
  <c r="D96" i="2" s="1"/>
  <c r="D100" i="2" s="1"/>
  <c r="D137" i="2"/>
  <c r="D141" i="2" s="1"/>
  <c r="D143" i="2" s="1"/>
  <c r="D150" i="2" s="1"/>
  <c r="B113" i="13"/>
  <c r="B112" i="13"/>
  <c r="B64" i="13" s="1"/>
  <c r="B69" i="13"/>
  <c r="B77" i="13"/>
  <c r="B85" i="13" s="1"/>
  <c r="B89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</author>
  </authors>
  <commentList>
    <comment ref="D141" authorId="0" shapeId="0" xr:uid="{CA0B561A-7789-42D6-8CDE-DADFB63092E4}">
      <text>
        <r>
          <rPr>
            <b/>
            <sz val="9"/>
            <color indexed="81"/>
            <rFont val="Tahoma"/>
            <charset val="1"/>
          </rPr>
          <t>John:</t>
        </r>
        <r>
          <rPr>
            <sz val="9"/>
            <color indexed="81"/>
            <rFont val="Tahoma"/>
            <charset val="1"/>
          </rPr>
          <t xml:space="preserve">
@sum(</t>
        </r>
      </text>
    </comment>
  </commentList>
</comments>
</file>

<file path=xl/sharedStrings.xml><?xml version="1.0" encoding="utf-8"?>
<sst xmlns="http://schemas.openxmlformats.org/spreadsheetml/2006/main" count="1199" uniqueCount="528">
  <si>
    <t>Vitro Financials</t>
  </si>
  <si>
    <t>Stem Cell Therapies</t>
  </si>
  <si>
    <t>Stem Cell Products</t>
  </si>
  <si>
    <t>Other</t>
  </si>
  <si>
    <t>Total Revenues</t>
  </si>
  <si>
    <t>COGS</t>
  </si>
  <si>
    <t>Gross Profit</t>
  </si>
  <si>
    <t>Quality Control</t>
  </si>
  <si>
    <t>Laboratory R&amp;D &amp; Quality Control</t>
  </si>
  <si>
    <t>Total Expenses</t>
  </si>
  <si>
    <t>Net Operating Profit</t>
  </si>
  <si>
    <t>Vitro Diagnositics Inc.</t>
  </si>
  <si>
    <t>SGA Expenses</t>
  </si>
  <si>
    <t>Office Expenses</t>
  </si>
  <si>
    <t>Net Operating Profit (Loss)</t>
  </si>
  <si>
    <t>Net Income (Loss)</t>
  </si>
  <si>
    <t xml:space="preserve">  Balance Sheet</t>
  </si>
  <si>
    <t>ASSETS</t>
  </si>
  <si>
    <t>Cash</t>
  </si>
  <si>
    <t>Fixed Assets</t>
  </si>
  <si>
    <t>Total Assets</t>
  </si>
  <si>
    <t>LIABILITIES</t>
  </si>
  <si>
    <t>Capital Lease Obligaitons</t>
  </si>
  <si>
    <t>Current Liabiities</t>
  </si>
  <si>
    <t>Capital Lease Obligations</t>
  </si>
  <si>
    <t>Shareholder Debts Payable</t>
  </si>
  <si>
    <t>Long Term Liabilities</t>
  </si>
  <si>
    <t>Total Liabilities</t>
  </si>
  <si>
    <t>SHAREHOLDERS EQUITY</t>
  </si>
  <si>
    <t>Common Stock</t>
  </si>
  <si>
    <t>Paid in Capital</t>
  </si>
  <si>
    <t>Retained Earnings</t>
  </si>
  <si>
    <t>Net Income</t>
  </si>
  <si>
    <t>Total Equity</t>
  </si>
  <si>
    <t>TOTAL LIABILITES AND EQUITY</t>
  </si>
  <si>
    <t>Non Cash Shareholder Note Interest</t>
  </si>
  <si>
    <t>Shares</t>
  </si>
  <si>
    <t>Vitro Diagnostics, Inc.</t>
  </si>
  <si>
    <t>Non Cash Interest on Secured Notes Payable</t>
  </si>
  <si>
    <t>Non Cash Interest on Shareholder Debt</t>
  </si>
  <si>
    <t>Shareholder Accrued Comp. Payable</t>
  </si>
  <si>
    <t xml:space="preserve">Trade Accounts Payable </t>
  </si>
  <si>
    <t>Bank Credit Cards</t>
  </si>
  <si>
    <t xml:space="preserve">Inventory </t>
  </si>
  <si>
    <t>Current Assets</t>
  </si>
  <si>
    <t>Accounts Receivable</t>
  </si>
  <si>
    <t>Intangible and other Assets</t>
  </si>
  <si>
    <t>DIFF</t>
  </si>
  <si>
    <t xml:space="preserve"> Non Cash Stock for Services</t>
  </si>
  <si>
    <t>Non Cash Depreciation and Amortization</t>
  </si>
  <si>
    <t xml:space="preserve"> Income Statement</t>
  </si>
  <si>
    <t>Total Operating Expenses</t>
  </si>
  <si>
    <t xml:space="preserve"> Non Cash Depreciation and Amortization</t>
  </si>
  <si>
    <t xml:space="preserve"> Statement of Cashflows</t>
  </si>
  <si>
    <t>Statement of Changes in Shareholders Equity</t>
  </si>
  <si>
    <t>Vitro Diagnostics Inc.</t>
  </si>
  <si>
    <t xml:space="preserve">Secured Convertible Notes </t>
  </si>
  <si>
    <t xml:space="preserve">Paid </t>
  </si>
  <si>
    <t>in Capital</t>
  </si>
  <si>
    <t>Income</t>
  </si>
  <si>
    <t>Expense</t>
  </si>
  <si>
    <t>Freight</t>
  </si>
  <si>
    <t>Equipment</t>
  </si>
  <si>
    <t>Payroll Expenses - Paychex Fees</t>
  </si>
  <si>
    <t>Amortization</t>
  </si>
  <si>
    <t>Sales-Advertising-Marketing</t>
  </si>
  <si>
    <t>Bank Service Charges</t>
  </si>
  <si>
    <t>Depreciation Expense</t>
  </si>
  <si>
    <t>Dues and Subscriptions</t>
  </si>
  <si>
    <t>Insurance</t>
  </si>
  <si>
    <t>Licenses and Permits</t>
  </si>
  <si>
    <t>Office Supplies</t>
  </si>
  <si>
    <t>Postage and Delivery</t>
  </si>
  <si>
    <t>Professional Fees</t>
  </si>
  <si>
    <t>Rent</t>
  </si>
  <si>
    <t>Repairs</t>
  </si>
  <si>
    <t>Research and Development</t>
  </si>
  <si>
    <t>Salary Expense</t>
  </si>
  <si>
    <t>Shareholder Relations</t>
  </si>
  <si>
    <t>Supplies</t>
  </si>
  <si>
    <t>Taxes</t>
  </si>
  <si>
    <t>Travel &amp; Ent</t>
  </si>
  <si>
    <t>Non Cash Stock for Services</t>
  </si>
  <si>
    <t xml:space="preserve">Other Services </t>
  </si>
  <si>
    <t>Stem Cell Therapies and Treatments</t>
  </si>
  <si>
    <t>Equipment Rental</t>
  </si>
  <si>
    <t>Notes Receivable and Prepaids</t>
  </si>
  <si>
    <t>Fisher Scientific, Inc.</t>
  </si>
  <si>
    <t>Jack Zamora</t>
  </si>
  <si>
    <t>Neuromics</t>
  </si>
  <si>
    <t>The Davinci Centre</t>
  </si>
  <si>
    <t>TOTAL</t>
  </si>
  <si>
    <t>Stem Cell Research Products</t>
  </si>
  <si>
    <t>Contract Services</t>
  </si>
  <si>
    <t>Prepaids and Notes Receivable</t>
  </si>
  <si>
    <t>Consulting,Accounting,Legal and Banking Fees</t>
  </si>
  <si>
    <t>Ordinary Income/Expense</t>
  </si>
  <si>
    <t>Cost of Goods Sold</t>
  </si>
  <si>
    <t>Total COGS</t>
  </si>
  <si>
    <t>Contributions</t>
  </si>
  <si>
    <t>Interest Expense</t>
  </si>
  <si>
    <t>Printing and Reproduction</t>
  </si>
  <si>
    <t>Total Expense</t>
  </si>
  <si>
    <t>Net Ordinary Income</t>
  </si>
  <si>
    <t>Other Income/Expense</t>
  </si>
  <si>
    <t>Other Income</t>
  </si>
  <si>
    <t>Interest Income</t>
  </si>
  <si>
    <t>Total Other Income</t>
  </si>
  <si>
    <t>Net Other Income</t>
  </si>
  <si>
    <t>Legal, Accounting,Consulting and Banking Fees</t>
  </si>
  <si>
    <t>HHMI</t>
  </si>
  <si>
    <t>Magellan Stem Cells</t>
  </si>
  <si>
    <t>UCDAVIS</t>
  </si>
  <si>
    <t>Other Services</t>
  </si>
  <si>
    <t xml:space="preserve">Par </t>
  </si>
  <si>
    <t>Value</t>
  </si>
  <si>
    <t>The fully diluted Shares outstanding consists of;</t>
  </si>
  <si>
    <t xml:space="preserve">Currently issued shares </t>
  </si>
  <si>
    <t>Net Cash provided by Financing Activities during the Quarter</t>
  </si>
  <si>
    <t>Nov '18 - Oct 19</t>
  </si>
  <si>
    <t>Conferences and meetings</t>
  </si>
  <si>
    <t>Interest expense - Leases</t>
  </si>
  <si>
    <t>Finance Charge</t>
  </si>
  <si>
    <t>Loan Interest</t>
  </si>
  <si>
    <t>Note Interest</t>
  </si>
  <si>
    <t>Total Interest Expense</t>
  </si>
  <si>
    <t>Miscellaneous</t>
  </si>
  <si>
    <t>Checking/Savings</t>
  </si>
  <si>
    <t>Other Current Assets</t>
  </si>
  <si>
    <t>Total Current Assets</t>
  </si>
  <si>
    <t>Other Assets</t>
  </si>
  <si>
    <t>TOTAL ASSETS</t>
  </si>
  <si>
    <t>LIABILITIES &amp; EQUITY</t>
  </si>
  <si>
    <t>Liabilities</t>
  </si>
  <si>
    <t>Current Liabilities</t>
  </si>
  <si>
    <t>Accounts Payable</t>
  </si>
  <si>
    <t>Credit Cards</t>
  </si>
  <si>
    <t>Other Current Liabilities</t>
  </si>
  <si>
    <t>Total Current Liabilities</t>
  </si>
  <si>
    <t>Equity</t>
  </si>
  <si>
    <t>Outstanding Stock Option</t>
  </si>
  <si>
    <t>TOTAL LIABILITIES &amp; EQUITY</t>
  </si>
  <si>
    <t>Accounting/Auditing Fees</t>
  </si>
  <si>
    <t>Consultation Fees</t>
  </si>
  <si>
    <t>Legal Fees</t>
  </si>
  <si>
    <t>Professional Fees - Other</t>
  </si>
  <si>
    <t>Total Professional Fees</t>
  </si>
  <si>
    <t>Building Repairs</t>
  </si>
  <si>
    <t>Equipment Repairs</t>
  </si>
  <si>
    <t>Total Repairs</t>
  </si>
  <si>
    <t>Aug - Oct 19</t>
  </si>
  <si>
    <t xml:space="preserve">QIV Oct 31st and QIII July 31st  Ended </t>
  </si>
  <si>
    <t>SGA</t>
  </si>
  <si>
    <t>Legal and Accounting and Banking</t>
  </si>
  <si>
    <t>NonCash Stock for Services</t>
  </si>
  <si>
    <t>AlloSource</t>
  </si>
  <si>
    <t>BIONTECH</t>
  </si>
  <si>
    <t>CNRS</t>
  </si>
  <si>
    <t>Genentech</t>
  </si>
  <si>
    <t>Indiana University</t>
  </si>
  <si>
    <t>Institut Galien Paris-Sud</t>
  </si>
  <si>
    <t>RN-Bio Research</t>
  </si>
  <si>
    <t>Spotlight Therapeutics Inc.</t>
  </si>
  <si>
    <t>T GEN</t>
  </si>
  <si>
    <t>Truly Labs AB</t>
  </si>
  <si>
    <t>2016-2019 Actuals</t>
  </si>
  <si>
    <t xml:space="preserve"> 2020 Budget</t>
  </si>
  <si>
    <t xml:space="preserve"> Non Cash Interest on Series A Preferred</t>
  </si>
  <si>
    <t>Nov '19 - Jan 20</t>
  </si>
  <si>
    <t>Product Sales</t>
  </si>
  <si>
    <t>Shipping</t>
  </si>
  <si>
    <t>Total Income</t>
  </si>
  <si>
    <t>Finished goods</t>
  </si>
  <si>
    <t>Materials</t>
  </si>
  <si>
    <t>Direct Labor</t>
  </si>
  <si>
    <t>QC Supplies</t>
  </si>
  <si>
    <t>Total Quality Control</t>
  </si>
  <si>
    <t>Out-Bound Freight</t>
  </si>
  <si>
    <t>Freight - Other</t>
  </si>
  <si>
    <t>Total Freight</t>
  </si>
  <si>
    <t>VISA/MC/Discover/AmEx</t>
  </si>
  <si>
    <t>Bank Service Charges - Other</t>
  </si>
  <si>
    <t>Total Bank Service Charges</t>
  </si>
  <si>
    <t>General Insurance</t>
  </si>
  <si>
    <t>Health Insurance</t>
  </si>
  <si>
    <t>Insurance - Other</t>
  </si>
  <si>
    <t>Total Insurance</t>
  </si>
  <si>
    <t>Building</t>
  </si>
  <si>
    <t>Total Rent</t>
  </si>
  <si>
    <t>Labor inventory allocation</t>
  </si>
  <si>
    <t>Salary Expense - Other</t>
  </si>
  <si>
    <t>Total Salary Expense</t>
  </si>
  <si>
    <t>Payroll</t>
  </si>
  <si>
    <t>FICA</t>
  </si>
  <si>
    <t>Total Payroll</t>
  </si>
  <si>
    <t>Total Taxes</t>
  </si>
  <si>
    <t>Meals</t>
  </si>
  <si>
    <t>Travel</t>
  </si>
  <si>
    <t>Total Travel &amp; Ent</t>
  </si>
  <si>
    <t>Garvan Institute</t>
  </si>
  <si>
    <t>Rochester Chemical</t>
  </si>
  <si>
    <t>Universite Claude Bernadrd Lyon1</t>
  </si>
  <si>
    <t>Washington University</t>
  </si>
  <si>
    <t>Stem Cell Therapies and applications</t>
  </si>
  <si>
    <t>Jan 31, 20</t>
  </si>
  <si>
    <t>Inventory, Finished Goods</t>
  </si>
  <si>
    <t>Prepaid Expenses</t>
  </si>
  <si>
    <t>Note Receivable</t>
  </si>
  <si>
    <t>Total Other Current Assets</t>
  </si>
  <si>
    <t>Notes Payable Accrued</t>
  </si>
  <si>
    <t>Unsecured Notes - Musick</t>
  </si>
  <si>
    <t>Accrued Interest Payable</t>
  </si>
  <si>
    <t>Capital Lease Obligation</t>
  </si>
  <si>
    <t>US Bank Overdraft</t>
  </si>
  <si>
    <t>Payroll Liabilities</t>
  </si>
  <si>
    <t>Total Other Current Liabilities</t>
  </si>
  <si>
    <t>Series A Convertible Preferred</t>
  </si>
  <si>
    <t>Quarter Ended January 31st</t>
  </si>
  <si>
    <t>Series A Convertible Preferred Stock</t>
  </si>
  <si>
    <t>Feb - Apr 20</t>
  </si>
  <si>
    <t>Irina Matei</t>
  </si>
  <si>
    <t>Lim &amp; Biosystems</t>
  </si>
  <si>
    <t>Samumed</t>
  </si>
  <si>
    <t>VWR</t>
  </si>
  <si>
    <t>Apr 30, 20</t>
  </si>
  <si>
    <t>Inventory, Raw Materials</t>
  </si>
  <si>
    <t>Total Accounts Payable</t>
  </si>
  <si>
    <t>Capital Leas- Clean Room</t>
  </si>
  <si>
    <t>Capital Lease Obligation - Other</t>
  </si>
  <si>
    <t>Total Capital Lease Obligation</t>
  </si>
  <si>
    <t>Net Operating Profit (Loss) EBITDA</t>
  </si>
  <si>
    <t>Equipment,Patent and other capital Expenditures</t>
  </si>
  <si>
    <t>Net cash used in operations during the Quarter</t>
  </si>
  <si>
    <t>Quarter Ended July 31st;</t>
  </si>
  <si>
    <t>Total</t>
  </si>
  <si>
    <t xml:space="preserve">   4100 Product Sales</t>
  </si>
  <si>
    <t xml:space="preserve">   4500 Shipping</t>
  </si>
  <si>
    <t xml:space="preserve">   5000 COGS</t>
  </si>
  <si>
    <t xml:space="preserve">      5010 Direct Labor</t>
  </si>
  <si>
    <t xml:space="preserve">      5030 Freight</t>
  </si>
  <si>
    <t xml:space="preserve">      5050 Materials</t>
  </si>
  <si>
    <t xml:space="preserve">   Total 5000 COGS</t>
  </si>
  <si>
    <t>Total Cost of Goods Sold</t>
  </si>
  <si>
    <t>Expenses</t>
  </si>
  <si>
    <t xml:space="preserve">   6010 Amortization</t>
  </si>
  <si>
    <t xml:space="preserve">   6025 Bank Service Charges</t>
  </si>
  <si>
    <t xml:space="preserve">      6030 VISA/MC/Discover/AmEx</t>
  </si>
  <si>
    <t xml:space="preserve">   Total 6025 Bank Service Charges</t>
  </si>
  <si>
    <t xml:space="preserve">   6060 Contract Services</t>
  </si>
  <si>
    <t xml:space="preserve">   6065 Contributions</t>
  </si>
  <si>
    <t xml:space="preserve">   6075 Depreciation Expense</t>
  </si>
  <si>
    <t xml:space="preserve">   6085 Dues and Subscriptions</t>
  </si>
  <si>
    <t xml:space="preserve">   6105 Equipment Rental</t>
  </si>
  <si>
    <t xml:space="preserve">   6115 Freight</t>
  </si>
  <si>
    <t xml:space="preserve">      6120 Out-Bound Freight</t>
  </si>
  <si>
    <t xml:space="preserve">   Total 6115 Freight</t>
  </si>
  <si>
    <t xml:space="preserve">   6135 Insurance</t>
  </si>
  <si>
    <t xml:space="preserve">      6155 Health Insurance</t>
  </si>
  <si>
    <t xml:space="preserve">   Total 6135 Insurance</t>
  </si>
  <si>
    <t xml:space="preserve">   6220 Office Supplies</t>
  </si>
  <si>
    <t xml:space="preserve">   6245 Payroll Expenses - Paychex Fees</t>
  </si>
  <si>
    <t xml:space="preserve">   6255 Postage and Delivery</t>
  </si>
  <si>
    <t xml:space="preserve">   6265 Professional Fees</t>
  </si>
  <si>
    <t xml:space="preserve">      6270 Accounting/Auditing Fees</t>
  </si>
  <si>
    <t xml:space="preserve">      6275 Consultation Fees</t>
  </si>
  <si>
    <t xml:space="preserve">      6280 Legal Fees</t>
  </si>
  <si>
    <t xml:space="preserve">   Total 6265 Professional Fees</t>
  </si>
  <si>
    <t xml:space="preserve">   6290 Quality Control</t>
  </si>
  <si>
    <t xml:space="preserve">      6300 QC Supplies</t>
  </si>
  <si>
    <t xml:space="preserve">   Total 6290 Quality Control</t>
  </si>
  <si>
    <t xml:space="preserve">   6310 Rent</t>
  </si>
  <si>
    <t xml:space="preserve">      6315 Building</t>
  </si>
  <si>
    <t xml:space="preserve">   Total 6310 Rent</t>
  </si>
  <si>
    <t xml:space="preserve">   6330 Repairs</t>
  </si>
  <si>
    <t xml:space="preserve">      6340 Computer Repairs</t>
  </si>
  <si>
    <t xml:space="preserve">      6345 Equipment Repairs</t>
  </si>
  <si>
    <t xml:space="preserve">   Total 6330 Repairs</t>
  </si>
  <si>
    <t xml:space="preserve">   6350 Research and Development</t>
  </si>
  <si>
    <t xml:space="preserve">   6400 Salary Expense</t>
  </si>
  <si>
    <t xml:space="preserve">      6420 Labor inventory allocation</t>
  </si>
  <si>
    <t xml:space="preserve">   Total 6400 Salary Expense</t>
  </si>
  <si>
    <t xml:space="preserve">   6430 Sales-Advertising-Marketing</t>
  </si>
  <si>
    <t xml:space="preserve">   6435 Shareholder Relations</t>
  </si>
  <si>
    <t xml:space="preserve">   6440 Stock based compensation</t>
  </si>
  <si>
    <t xml:space="preserve">   6445 Supplies</t>
  </si>
  <si>
    <t xml:space="preserve">   6500 Taxes</t>
  </si>
  <si>
    <t xml:space="preserve">      6505 Payroll</t>
  </si>
  <si>
    <t xml:space="preserve">         6510 FICA</t>
  </si>
  <si>
    <t xml:space="preserve">      Total 6505 Payroll</t>
  </si>
  <si>
    <t xml:space="preserve">      6525 Property Tax</t>
  </si>
  <si>
    <t xml:space="preserve">   Total 6500 Taxes</t>
  </si>
  <si>
    <t xml:space="preserve">   6540 Travel &amp; Ent</t>
  </si>
  <si>
    <t xml:space="preserve">      6550 Meals</t>
  </si>
  <si>
    <t xml:space="preserve">      6555 Travel</t>
  </si>
  <si>
    <t xml:space="preserve">   Total 6540 Travel &amp; Ent</t>
  </si>
  <si>
    <t xml:space="preserve">   7500 Interest Expense</t>
  </si>
  <si>
    <t xml:space="preserve">      7510 Finance Charge</t>
  </si>
  <si>
    <t xml:space="preserve">      7520 Interest expense - Leases</t>
  </si>
  <si>
    <t xml:space="preserve">      7530 Loan Interest</t>
  </si>
  <si>
    <t xml:space="preserve">      7540 Note Interest</t>
  </si>
  <si>
    <t xml:space="preserve">      7590 Discount Accretion</t>
  </si>
  <si>
    <t xml:space="preserve">   Total 7500 Interest Expense</t>
  </si>
  <si>
    <t>Net Operating Income</t>
  </si>
  <si>
    <t xml:space="preserve">   7100 Interest Income</t>
  </si>
  <si>
    <t>May-July ,2020</t>
  </si>
  <si>
    <t xml:space="preserve">  Office Supplies</t>
  </si>
  <si>
    <t>Non Cash Stock for Services and Note Discount Accretion</t>
  </si>
  <si>
    <t>Note Discount Accretion</t>
  </si>
  <si>
    <t>Net Profit and (Loss)</t>
  </si>
  <si>
    <t>Stock based compensation</t>
  </si>
  <si>
    <t>Almac Discovery</t>
  </si>
  <si>
    <t>Davinic Wellness Centre</t>
  </si>
  <si>
    <t>Other On-Line</t>
  </si>
  <si>
    <t>QB Total Revenue</t>
  </si>
  <si>
    <t>Diff</t>
  </si>
  <si>
    <t>Quarter Ended July 31st 2020</t>
  </si>
  <si>
    <t>Balance Sheet</t>
  </si>
  <si>
    <t>As of July 31, 2020</t>
  </si>
  <si>
    <t xml:space="preserve">   Current Assets</t>
  </si>
  <si>
    <t xml:space="preserve">      Bank Accounts</t>
  </si>
  <si>
    <t xml:space="preserve">         1005 Cash Equivalents</t>
  </si>
  <si>
    <t xml:space="preserve">         1010 US Bank - Checking</t>
  </si>
  <si>
    <t xml:space="preserve">         1020 US Bank - Savings</t>
  </si>
  <si>
    <t xml:space="preserve">      Total Bank Accounts</t>
  </si>
  <si>
    <t xml:space="preserve">      Accounts Receivable</t>
  </si>
  <si>
    <t xml:space="preserve">         1200 Accounts Receivable</t>
  </si>
  <si>
    <t xml:space="preserve">      Total Accounts Receivable</t>
  </si>
  <si>
    <t xml:space="preserve">      Other Current Assets</t>
  </si>
  <si>
    <t xml:space="preserve">         1210 Accounts Receivable, Trade</t>
  </si>
  <si>
    <t xml:space="preserve">         1250 Allowance for Doubtful Accounts</t>
  </si>
  <si>
    <t xml:space="preserve">         1280 Note Receivable</t>
  </si>
  <si>
    <t xml:space="preserve">         1290 Other accounts receivable</t>
  </si>
  <si>
    <t xml:space="preserve">         1310 Inventory, Raw Materials</t>
  </si>
  <si>
    <t xml:space="preserve">         1320 Inventory, Goods in Process</t>
  </si>
  <si>
    <t xml:space="preserve">         1330 Inventory, Column, Pack, Chem</t>
  </si>
  <si>
    <t xml:space="preserve">         1340 Inventory, Finished Goods</t>
  </si>
  <si>
    <t xml:space="preserve">         1410 Prepaid Expenses</t>
  </si>
  <si>
    <t xml:space="preserve">         1430 Undeposited Funds</t>
  </si>
  <si>
    <t xml:space="preserve">      Total Other Current Assets</t>
  </si>
  <si>
    <t xml:space="preserve">   Total Current Assets</t>
  </si>
  <si>
    <t xml:space="preserve">   Fixed Assets</t>
  </si>
  <si>
    <t xml:space="preserve">      1710 Clean Room</t>
  </si>
  <si>
    <t xml:space="preserve">      1715 Computer Software</t>
  </si>
  <si>
    <t xml:space="preserve">      1720 Data Processing Equipment</t>
  </si>
  <si>
    <t xml:space="preserve">      1725 Dry Shipper</t>
  </si>
  <si>
    <t xml:space="preserve">      1735 Furniture and Fixtures</t>
  </si>
  <si>
    <t xml:space="preserve">      1740 Furniture and Fixtures CEA Lab</t>
  </si>
  <si>
    <t xml:space="preserve">      1745 Lab Equipment</t>
  </si>
  <si>
    <t xml:space="preserve">      1750 Microscope and camera</t>
  </si>
  <si>
    <t xml:space="preserve">      1755 Leasehold Improvements</t>
  </si>
  <si>
    <t xml:space="preserve">      1760 Office Equipment</t>
  </si>
  <si>
    <t xml:space="preserve">      1765 Office Equipment, CEA Lab</t>
  </si>
  <si>
    <t xml:space="preserve">      1781 A/D Clean Room</t>
  </si>
  <si>
    <t xml:space="preserve">      1782 A/D, Computer Software</t>
  </si>
  <si>
    <t xml:space="preserve">      1783 A/D, Data Processing Equipment</t>
  </si>
  <si>
    <t xml:space="preserve">      1784 A/D Dry Shipper</t>
  </si>
  <si>
    <t xml:space="preserve">      1785 A/D, Furniture and Fixtures</t>
  </si>
  <si>
    <t xml:space="preserve">      1786 A/D, F and F CEA Lab</t>
  </si>
  <si>
    <t xml:space="preserve">      1787 A/D, Lab Equipment</t>
  </si>
  <si>
    <t xml:space="preserve">      1788 A/D Microscope and Camera</t>
  </si>
  <si>
    <t xml:space="preserve">      1789 A/D, Leasehold Improvements</t>
  </si>
  <si>
    <t xml:space="preserve">      1790 A/D, Office Equip CEA Lab</t>
  </si>
  <si>
    <t xml:space="preserve">      1791 A/D, Office Equipment</t>
  </si>
  <si>
    <t xml:space="preserve">   Total Fixed Assets</t>
  </si>
  <si>
    <t xml:space="preserve">   Other Assets</t>
  </si>
  <si>
    <t xml:space="preserve">      1820 Capital lease payments</t>
  </si>
  <si>
    <t xml:space="preserve">      1830 Inventory, Non-current</t>
  </si>
  <si>
    <t xml:space="preserve">      1840 Investment Banking Fees</t>
  </si>
  <si>
    <t xml:space="preserve">      1900 Patents</t>
  </si>
  <si>
    <t xml:space="preserve">         1902 Bone Marrow MSC</t>
  </si>
  <si>
    <t xml:space="preserve">         1904 Cancer stem cell patent</t>
  </si>
  <si>
    <t xml:space="preserve">         1906 Defined Medium</t>
  </si>
  <si>
    <t xml:space="preserve">         1908 Direct Cost, Non-Legal</t>
  </si>
  <si>
    <t xml:space="preserve">         1910 EquaCell Cell Line patent</t>
  </si>
  <si>
    <t xml:space="preserve">         1912 FSH Purification</t>
  </si>
  <si>
    <t xml:space="preserve">         1914 Immortalized Cells</t>
  </si>
  <si>
    <t xml:space="preserve">         1916 IPS Patent</t>
  </si>
  <si>
    <t xml:space="preserve">         1918 Legal Fees</t>
  </si>
  <si>
    <t xml:space="preserve">         1920 Modified FSH</t>
  </si>
  <si>
    <t xml:space="preserve">         1922 Multi-Dose Syringe</t>
  </si>
  <si>
    <t xml:space="preserve">         1924 Stem Cell Activation Patent</t>
  </si>
  <si>
    <t xml:space="preserve">         1926 Stem Cell Materials and Methods</t>
  </si>
  <si>
    <t xml:space="preserve">         1928 Stem Cells</t>
  </si>
  <si>
    <t xml:space="preserve">         1930 US Patent 5990288</t>
  </si>
  <si>
    <t xml:space="preserve">         1950 A/A, Patents</t>
  </si>
  <si>
    <t xml:space="preserve">      Total 1900 Patents</t>
  </si>
  <si>
    <t xml:space="preserve">      1932 Patents;US Patent 6458593</t>
  </si>
  <si>
    <t xml:space="preserve">      1960 Security Deposit</t>
  </si>
  <si>
    <t xml:space="preserve">      1980 Trade marks</t>
  </si>
  <si>
    <t xml:space="preserve">   Total Other Assets</t>
  </si>
  <si>
    <t>LIABILITIES AND EQUITY</t>
  </si>
  <si>
    <t xml:space="preserve">   Liabilities</t>
  </si>
  <si>
    <t xml:space="preserve">      Current Liabilities</t>
  </si>
  <si>
    <t xml:space="preserve">         Accounts Payable</t>
  </si>
  <si>
    <t xml:space="preserve">            2000 Accounts Payable</t>
  </si>
  <si>
    <t xml:space="preserve">         Total Accounts Payable</t>
  </si>
  <si>
    <t xml:space="preserve">         Credit Cards</t>
  </si>
  <si>
    <t xml:space="preserve">            2101 Capital One VISA</t>
  </si>
  <si>
    <t xml:space="preserve">            2102 Fleet Business</t>
  </si>
  <si>
    <t xml:space="preserve">            2103 US BANK JOHN</t>
  </si>
  <si>
    <t xml:space="preserve">            2104 Wells Fargo Business VISA-Jim</t>
  </si>
  <si>
    <t xml:space="preserve">            2105 Wells Fargo Business VISA-Tiana</t>
  </si>
  <si>
    <t xml:space="preserve">         Total Credit Cards</t>
  </si>
  <si>
    <t xml:space="preserve">         Other Current Liabilities</t>
  </si>
  <si>
    <t xml:space="preserve">            2010 Accounts Payable, Trade</t>
  </si>
  <si>
    <t xml:space="preserve">               2020 AP Cutoff</t>
  </si>
  <si>
    <t xml:space="preserve">            Total 2010 Accounts Payable, Trade</t>
  </si>
  <si>
    <t xml:space="preserve">            2106 US Bank Overdraft</t>
  </si>
  <si>
    <t xml:space="preserve">            2210 Accrued Interest Payable</t>
  </si>
  <si>
    <t xml:space="preserve">            2231 CO Unemployment Payable</t>
  </si>
  <si>
    <t xml:space="preserve">            2232 CO Withholding Payable</t>
  </si>
  <si>
    <t xml:space="preserve">            2233 Federal Unemployment Payable</t>
  </si>
  <si>
    <t xml:space="preserve">            2235 Payroll Tax Liability</t>
  </si>
  <si>
    <t xml:space="preserve">            2236 401k Holding</t>
  </si>
  <si>
    <t xml:space="preserve">            2250 Deferred revenue</t>
  </si>
  <si>
    <t xml:space="preserve">            2270 Stock purchase warrants</t>
  </si>
  <si>
    <t xml:space="preserve">            2280 Payables Owed to Jim Musick</t>
  </si>
  <si>
    <t xml:space="preserve">            2285 Unsecured Notes - Musick</t>
  </si>
  <si>
    <t xml:space="preserve">            2290 Other Accrued Expenses</t>
  </si>
  <si>
    <t xml:space="preserve">            2305 Payroll Liabilities</t>
  </si>
  <si>
    <t xml:space="preserve">            2310 James Musick Loan</t>
  </si>
  <si>
    <t xml:space="preserve">            2320 Notes Payable Accrued</t>
  </si>
  <si>
    <t xml:space="preserve">            2400 Capital Lease Obligation</t>
  </si>
  <si>
    <t xml:space="preserve">               2405 Capital Leas- Clean Room</t>
  </si>
  <si>
    <t xml:space="preserve">               2410 Capital lease - Flourometer</t>
  </si>
  <si>
    <t xml:space="preserve">               2415 Capital Lease - MAGPIX</t>
  </si>
  <si>
    <t xml:space="preserve">               2420 Capital Lease Centrifuge</t>
  </si>
  <si>
    <t xml:space="preserve">               2425 Capital Lease-Cytation Imaging</t>
  </si>
  <si>
    <t xml:space="preserve">               2430 Microscope &amp; camera</t>
  </si>
  <si>
    <t xml:space="preserve">            Total 2400 Capital Lease Obligation</t>
  </si>
  <si>
    <t xml:space="preserve">         Total Other Current Liabilities</t>
  </si>
  <si>
    <t xml:space="preserve">      Total Current Liabilities</t>
  </si>
  <si>
    <t xml:space="preserve">      Long-Term Liabilities</t>
  </si>
  <si>
    <t xml:space="preserve">         2705 N/P - Bruce Peterson</t>
  </si>
  <si>
    <t xml:space="preserve">         2710 N/P - JP III Senior</t>
  </si>
  <si>
    <t xml:space="preserve">         2715 N/P - K Ozelak</t>
  </si>
  <si>
    <t xml:space="preserve">         2720 N/P - P Sordelet</t>
  </si>
  <si>
    <t xml:space="preserve">         2725 N/P CAE</t>
  </si>
  <si>
    <t xml:space="preserve">         2730 N/P Cliff Neuman</t>
  </si>
  <si>
    <t xml:space="preserve">         2735 N/P Jack Zamora</t>
  </si>
  <si>
    <t xml:space="preserve">         2740 NP - EF</t>
  </si>
  <si>
    <t xml:space="preserve">         2745 NP Accrued Interest</t>
  </si>
  <si>
    <t xml:space="preserve">         2750 NP BP II</t>
  </si>
  <si>
    <t xml:space="preserve">         2755 NP Dr. FT</t>
  </si>
  <si>
    <t xml:space="preserve">         2760 NP JZ II</t>
  </si>
  <si>
    <t xml:space="preserve">         2765 NP KVB</t>
  </si>
  <si>
    <t xml:space="preserve">         2770 NP Loren Burlage</t>
  </si>
  <si>
    <t xml:space="preserve">         2775 NP PS II</t>
  </si>
  <si>
    <t xml:space="preserve">         2780 NP TT</t>
  </si>
  <si>
    <t xml:space="preserve">         2785 N/P - Caribbean Development</t>
  </si>
  <si>
    <t xml:space="preserve">         2790 Notes Payable Discount</t>
  </si>
  <si>
    <t xml:space="preserve">      Total Long-Term Liabilities</t>
  </si>
  <si>
    <t xml:space="preserve">   Total Liabilities</t>
  </si>
  <si>
    <t xml:space="preserve">   Equity</t>
  </si>
  <si>
    <t xml:space="preserve">      3000 Common Stock</t>
  </si>
  <si>
    <t xml:space="preserve">      3050 Series A Convertible Preferred</t>
  </si>
  <si>
    <t xml:space="preserve">      3100 Paid in Capital</t>
  </si>
  <si>
    <t xml:space="preserve">      3200 "B" Warrants</t>
  </si>
  <si>
    <t xml:space="preserve">      3300 Gain on Purchase Transaction</t>
  </si>
  <si>
    <t xml:space="preserve">      3400 Opening Bal Equity</t>
  </si>
  <si>
    <t xml:space="preserve">      3500 Outstanding Stock Option</t>
  </si>
  <si>
    <t xml:space="preserve">      3600 Treasury Stock</t>
  </si>
  <si>
    <t xml:space="preserve">      3800 Prepaid Services w Common Stock</t>
  </si>
  <si>
    <t xml:space="preserve">      3900 Retained Earnings</t>
  </si>
  <si>
    <t xml:space="preserve">      Net Income</t>
  </si>
  <si>
    <t xml:space="preserve">   Total Equity</t>
  </si>
  <si>
    <t>TOTAL LIABILITIES AND EQUITY</t>
  </si>
  <si>
    <t>Treasury Stock</t>
  </si>
  <si>
    <t>Series A Convertibel Preferred</t>
  </si>
  <si>
    <t>Quarter Ended July 31st</t>
  </si>
  <si>
    <t>TOTAL EQUITY</t>
  </si>
  <si>
    <t>Cashflows from Financing Activities during the quarter.</t>
  </si>
  <si>
    <t>Cash beginning of the quarter April 30th 2020</t>
  </si>
  <si>
    <t>Cash end of the quarter July 31st  2020</t>
  </si>
  <si>
    <t>Bank</t>
  </si>
  <si>
    <t>Quarter ended July 31st 2020</t>
  </si>
  <si>
    <t>July 31st</t>
  </si>
  <si>
    <t>April 30th</t>
  </si>
  <si>
    <t>Quarter Ended.</t>
  </si>
  <si>
    <t>Change in current and other Assets</t>
  </si>
  <si>
    <t>Change in Current and other Current Liabilities</t>
  </si>
  <si>
    <t>Net Increase(Decrease) in Cash during the quarter ended July 31st;</t>
  </si>
  <si>
    <t>Balance ended April 30th  2020</t>
  </si>
  <si>
    <t>Secured Convertible Notes with discount</t>
  </si>
  <si>
    <t>Balance Ended July 31st 2020</t>
  </si>
  <si>
    <t>Non Cash Adjustment to Stock Ledger and Paid in Capital GAAP</t>
  </si>
  <si>
    <t>Management Stock Options Vested</t>
  </si>
  <si>
    <t>Net Loss quarter ended July 31st;</t>
  </si>
  <si>
    <t>QIV Oct 31st</t>
  </si>
  <si>
    <t>QIV Ended October 31st;</t>
  </si>
  <si>
    <t>Profit and Loss</t>
  </si>
  <si>
    <t xml:space="preserve">   6020 Bad Debt Expense</t>
  </si>
  <si>
    <t xml:space="preserve">   6090 Employee Benefits</t>
  </si>
  <si>
    <t xml:space="preserve">   6210 Licenses and Permits</t>
  </si>
  <si>
    <t>Aug-Oct 20</t>
  </si>
  <si>
    <t xml:space="preserve">   Total 6400 Salary Expense-management</t>
  </si>
  <si>
    <t xml:space="preserve">   Salary Expense R &amp; D Lab.</t>
  </si>
  <si>
    <t xml:space="preserve">QIV Oct 31st </t>
  </si>
  <si>
    <t xml:space="preserve">Non Cash Discount Accretion </t>
  </si>
  <si>
    <t>Aug - Oct 20</t>
  </si>
  <si>
    <t>Georgia Institute of Technology</t>
  </si>
  <si>
    <t>UC Davis</t>
  </si>
  <si>
    <t>University of Manchester</t>
  </si>
  <si>
    <t>University of Minnesota</t>
  </si>
  <si>
    <t>SGA &amp; IND Expenses</t>
  </si>
  <si>
    <t>Stock Compensation and Discount Accretion</t>
  </si>
  <si>
    <t>QIV</t>
  </si>
  <si>
    <t>QIII</t>
  </si>
  <si>
    <t>Year Ended October 31st;</t>
  </si>
  <si>
    <t xml:space="preserve">Year Ended Oct 31st. </t>
  </si>
  <si>
    <t>Oct. 3st</t>
  </si>
  <si>
    <t>SGA Expenses &amp; IND Expenses</t>
  </si>
  <si>
    <t>Jan. 31st</t>
  </si>
  <si>
    <t>ADJ.</t>
  </si>
  <si>
    <t>Net Loss</t>
  </si>
  <si>
    <t>Net loss</t>
  </si>
  <si>
    <t>TB</t>
  </si>
  <si>
    <t>Non Cash Discount Accretion</t>
  </si>
  <si>
    <t>Deemed Dividend on Series A Convertible preferred stock</t>
  </si>
  <si>
    <t>Cumulative Seires A Convertible preferred stock dividend</t>
  </si>
  <si>
    <t>requirement</t>
  </si>
  <si>
    <t>Net loss available to common shareholders</t>
  </si>
  <si>
    <t>Net loss per common share, basic and diluted</t>
  </si>
  <si>
    <t>Shares used in computing net loss per common share,</t>
  </si>
  <si>
    <t>Basic and diluted</t>
  </si>
  <si>
    <t>Net Operating Loss (excludes non cash expenses)</t>
  </si>
  <si>
    <t xml:space="preserve"> Non Cash Discount Accretion </t>
  </si>
  <si>
    <t>QIV Ended October 31st; QIII ended July 31st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</si>
</sst>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0;\-#,##0.00"/>
    <numFmt numFmtId="166" formatCode="#,##0.00\ _€"/>
    <numFmt numFmtId="167" formatCode="&quot;$&quot;* #,##0.00\ _€"/>
    <numFmt numFmtId="170" formatCode="_(&quot;$&quot;* #,##0_);_(&quot;$&quot;* \(#,##0\);_(&quot;$&quot;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</font>
    <font>
      <sz val="9"/>
      <color theme="1"/>
      <name val="Calibri"/>
      <family val="2"/>
      <scheme val="minor"/>
    </font>
    <font>
      <sz val="11"/>
      <color rgb="FF404040"/>
      <name val="Arial"/>
      <family val="2"/>
    </font>
    <font>
      <sz val="11"/>
      <color rgb="FF404040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EF1"/>
        <bgColor indexed="64"/>
      </patternFill>
    </fill>
    <fill>
      <patternFill patternType="solid">
        <fgColor rgb="FFF4F5F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7">
    <xf numFmtId="0" fontId="0" fillId="0" borderId="0" xfId="0"/>
    <xf numFmtId="164" fontId="2" fillId="0" borderId="0" xfId="1" applyNumberFormat="1" applyFont="1"/>
    <xf numFmtId="0" fontId="2" fillId="2" borderId="0" xfId="1" applyNumberFormat="1" applyFont="1" applyFill="1" applyAlignment="1">
      <alignment horizontal="center"/>
    </xf>
    <xf numFmtId="0" fontId="2" fillId="0" borderId="0" xfId="1" applyNumberFormat="1" applyFont="1" applyAlignment="1">
      <alignment horizontal="center"/>
    </xf>
    <xf numFmtId="164" fontId="0" fillId="0" borderId="0" xfId="1" applyNumberFormat="1" applyFont="1"/>
    <xf numFmtId="0" fontId="0" fillId="0" borderId="0" xfId="1" applyNumberFormat="1" applyFont="1" applyAlignment="1">
      <alignment horizontal="center"/>
    </xf>
    <xf numFmtId="164" fontId="3" fillId="0" borderId="0" xfId="1" applyNumberFormat="1" applyFont="1"/>
    <xf numFmtId="0" fontId="3" fillId="0" borderId="0" xfId="0" applyFont="1"/>
    <xf numFmtId="164" fontId="0" fillId="0" borderId="1" xfId="1" applyNumberFormat="1" applyFont="1" applyBorder="1"/>
    <xf numFmtId="0" fontId="2" fillId="0" borderId="0" xfId="0" applyFont="1"/>
    <xf numFmtId="164" fontId="2" fillId="0" borderId="0" xfId="0" applyNumberFormat="1" applyFont="1"/>
    <xf numFmtId="9" fontId="2" fillId="0" borderId="0" xfId="2" applyFont="1"/>
    <xf numFmtId="0" fontId="2" fillId="4" borderId="0" xfId="1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/>
    <xf numFmtId="164" fontId="0" fillId="2" borderId="0" xfId="1" applyNumberFormat="1" applyFont="1" applyFill="1"/>
    <xf numFmtId="164" fontId="2" fillId="2" borderId="0" xfId="1" applyNumberFormat="1" applyFont="1" applyFill="1"/>
    <xf numFmtId="164" fontId="0" fillId="2" borderId="1" xfId="1" applyNumberFormat="1" applyFont="1" applyFill="1" applyBorder="1"/>
    <xf numFmtId="0" fontId="0" fillId="0" borderId="0" xfId="0"/>
    <xf numFmtId="49" fontId="4" fillId="0" borderId="0" xfId="0" applyNumberFormat="1" applyFont="1"/>
    <xf numFmtId="165" fontId="5" fillId="0" borderId="0" xfId="0" applyNumberFormat="1" applyFont="1"/>
    <xf numFmtId="165" fontId="5" fillId="0" borderId="2" xfId="0" applyNumberFormat="1" applyFont="1" applyBorder="1"/>
    <xf numFmtId="165" fontId="5" fillId="0" borderId="4" xfId="0" applyNumberFormat="1" applyFont="1" applyBorder="1"/>
    <xf numFmtId="165" fontId="4" fillId="0" borderId="5" xfId="0" applyNumberFormat="1" applyFont="1" applyBorder="1"/>
    <xf numFmtId="164" fontId="0" fillId="5" borderId="0" xfId="1" applyNumberFormat="1" applyFont="1" applyFill="1"/>
    <xf numFmtId="164" fontId="0" fillId="5" borderId="1" xfId="1" applyNumberFormat="1" applyFont="1" applyFill="1" applyBorder="1"/>
    <xf numFmtId="164" fontId="0" fillId="6" borderId="0" xfId="1" applyNumberFormat="1" applyFont="1" applyFill="1"/>
    <xf numFmtId="164" fontId="0" fillId="6" borderId="1" xfId="1" applyNumberFormat="1" applyFont="1" applyFill="1" applyBorder="1"/>
    <xf numFmtId="164" fontId="2" fillId="6" borderId="0" xfId="1" applyNumberFormat="1" applyFont="1" applyFill="1"/>
    <xf numFmtId="49" fontId="4" fillId="0" borderId="0" xfId="0" applyNumberFormat="1" applyFont="1" applyAlignment="1">
      <alignment horizontal="center"/>
    </xf>
    <xf numFmtId="0" fontId="3" fillId="0" borderId="0" xfId="1" applyNumberFormat="1" applyFont="1" applyFill="1" applyAlignment="1">
      <alignment horizontal="center"/>
    </xf>
    <xf numFmtId="165" fontId="5" fillId="2" borderId="0" xfId="0" applyNumberFormat="1" applyFont="1" applyFill="1"/>
    <xf numFmtId="164" fontId="0" fillId="4" borderId="0" xfId="1" applyNumberFormat="1" applyFont="1" applyFill="1"/>
    <xf numFmtId="165" fontId="5" fillId="4" borderId="0" xfId="0" applyNumberFormat="1" applyFont="1" applyFill="1"/>
    <xf numFmtId="165" fontId="5" fillId="5" borderId="0" xfId="0" applyNumberFormat="1" applyFont="1" applyFill="1"/>
    <xf numFmtId="164" fontId="0" fillId="3" borderId="0" xfId="1" applyNumberFormat="1" applyFont="1" applyFill="1"/>
    <xf numFmtId="165" fontId="5" fillId="3" borderId="0" xfId="0" applyNumberFormat="1" applyFont="1" applyFill="1"/>
    <xf numFmtId="164" fontId="2" fillId="0" borderId="0" xfId="1" applyNumberFormat="1" applyFont="1" applyFill="1"/>
    <xf numFmtId="0" fontId="0" fillId="0" borderId="0" xfId="0" applyFill="1"/>
    <xf numFmtId="0" fontId="2" fillId="0" borderId="0" xfId="0" applyFont="1" applyFill="1"/>
    <xf numFmtId="164" fontId="0" fillId="0" borderId="0" xfId="1" applyNumberFormat="1" applyFont="1" applyFill="1"/>
    <xf numFmtId="164" fontId="0" fillId="0" borderId="1" xfId="1" applyNumberFormat="1" applyFont="1" applyFill="1" applyBorder="1"/>
    <xf numFmtId="164" fontId="3" fillId="0" borderId="0" xfId="1" applyNumberFormat="1" applyFont="1" applyFill="1"/>
    <xf numFmtId="164" fontId="2" fillId="0" borderId="0" xfId="1" applyNumberFormat="1" applyFont="1" applyFill="1" applyBorder="1"/>
    <xf numFmtId="0" fontId="0" fillId="0" borderId="1" xfId="0" applyFill="1" applyBorder="1"/>
    <xf numFmtId="164" fontId="0" fillId="0" borderId="3" xfId="1" applyNumberFormat="1" applyFont="1" applyFill="1" applyBorder="1"/>
    <xf numFmtId="164" fontId="2" fillId="0" borderId="2" xfId="1" applyNumberFormat="1" applyFont="1" applyFill="1" applyBorder="1"/>
    <xf numFmtId="164" fontId="2" fillId="0" borderId="2" xfId="0" applyNumberFormat="1" applyFont="1" applyFill="1" applyBorder="1"/>
    <xf numFmtId="165" fontId="5" fillId="2" borderId="2" xfId="0" applyNumberFormat="1" applyFont="1" applyFill="1" applyBorder="1"/>
    <xf numFmtId="165" fontId="5" fillId="7" borderId="0" xfId="0" applyNumberFormat="1" applyFont="1" applyFill="1"/>
    <xf numFmtId="0" fontId="4" fillId="0" borderId="0" xfId="0" applyFont="1"/>
    <xf numFmtId="49" fontId="4" fillId="0" borderId="6" xfId="0" applyNumberFormat="1" applyFont="1" applyBorder="1" applyAlignment="1">
      <alignment horizontal="center"/>
    </xf>
    <xf numFmtId="165" fontId="4" fillId="2" borderId="5" xfId="0" applyNumberFormat="1" applyFont="1" applyFill="1" applyBorder="1"/>
    <xf numFmtId="0" fontId="3" fillId="0" borderId="0" xfId="0" applyFont="1" applyFill="1"/>
    <xf numFmtId="9" fontId="0" fillId="0" borderId="0" xfId="2" applyFont="1" applyFill="1" applyAlignment="1">
      <alignment horizontal="center"/>
    </xf>
    <xf numFmtId="165" fontId="5" fillId="0" borderId="1" xfId="0" applyNumberFormat="1" applyFont="1" applyBorder="1"/>
    <xf numFmtId="164" fontId="4" fillId="0" borderId="0" xfId="1" applyNumberFormat="1" applyFont="1"/>
    <xf numFmtId="164" fontId="4" fillId="0" borderId="0" xfId="1" applyNumberFormat="1" applyFont="1" applyAlignment="1">
      <alignment horizontal="center"/>
    </xf>
    <xf numFmtId="164" fontId="0" fillId="7" borderId="0" xfId="1" applyNumberFormat="1" applyFont="1" applyFill="1"/>
    <xf numFmtId="164" fontId="0" fillId="7" borderId="1" xfId="1" applyNumberFormat="1" applyFont="1" applyFill="1" applyBorder="1"/>
    <xf numFmtId="164" fontId="0" fillId="2" borderId="0" xfId="0" applyNumberFormat="1" applyFill="1"/>
    <xf numFmtId="165" fontId="5" fillId="5" borderId="1" xfId="0" applyNumberFormat="1" applyFont="1" applyFill="1" applyBorder="1"/>
    <xf numFmtId="165" fontId="5" fillId="4" borderId="1" xfId="0" applyNumberFormat="1" applyFont="1" applyFill="1" applyBorder="1"/>
    <xf numFmtId="164" fontId="0" fillId="8" borderId="1" xfId="1" applyNumberFormat="1" applyFont="1" applyFill="1" applyBorder="1"/>
    <xf numFmtId="165" fontId="5" fillId="8" borderId="0" xfId="0" applyNumberFormat="1" applyFont="1" applyFill="1"/>
    <xf numFmtId="164" fontId="2" fillId="2" borderId="2" xfId="0" applyNumberFormat="1" applyFont="1" applyFill="1" applyBorder="1"/>
    <xf numFmtId="165" fontId="5" fillId="6" borderId="0" xfId="0" applyNumberFormat="1" applyFont="1" applyFill="1"/>
    <xf numFmtId="165" fontId="5" fillId="7" borderId="1" xfId="0" applyNumberFormat="1" applyFont="1" applyFill="1" applyBorder="1"/>
    <xf numFmtId="0" fontId="2" fillId="2" borderId="0" xfId="0" applyFont="1" applyFill="1" applyAlignment="1">
      <alignment horizontal="center"/>
    </xf>
    <xf numFmtId="37" fontId="0" fillId="0" borderId="0" xfId="0" applyNumberFormat="1"/>
    <xf numFmtId="37" fontId="0" fillId="4" borderId="0" xfId="0" applyNumberFormat="1" applyFill="1"/>
    <xf numFmtId="37" fontId="0" fillId="3" borderId="0" xfId="0" applyNumberFormat="1" applyFill="1"/>
    <xf numFmtId="49" fontId="4" fillId="0" borderId="0" xfId="0" applyNumberFormat="1" applyFont="1" applyBorder="1" applyAlignment="1">
      <alignment horizontal="center"/>
    </xf>
    <xf numFmtId="165" fontId="5" fillId="3" borderId="2" xfId="0" applyNumberFormat="1" applyFont="1" applyFill="1" applyBorder="1"/>
    <xf numFmtId="165" fontId="5" fillId="0" borderId="0" xfId="0" applyNumberFormat="1" applyFont="1" applyFill="1"/>
    <xf numFmtId="165" fontId="7" fillId="5" borderId="0" xfId="0" applyNumberFormat="1" applyFont="1" applyFill="1"/>
    <xf numFmtId="165" fontId="5" fillId="0" borderId="0" xfId="0" applyNumberFormat="1" applyFont="1" applyFill="1" applyBorder="1"/>
    <xf numFmtId="164" fontId="6" fillId="6" borderId="0" xfId="1" applyNumberFormat="1" applyFont="1" applyFill="1"/>
    <xf numFmtId="164" fontId="2" fillId="0" borderId="1" xfId="1" applyNumberFormat="1" applyFont="1" applyFill="1" applyBorder="1"/>
    <xf numFmtId="164" fontId="0" fillId="0" borderId="0" xfId="0" applyNumberFormat="1" applyFill="1"/>
    <xf numFmtId="164" fontId="0" fillId="0" borderId="1" xfId="0" applyNumberFormat="1" applyFill="1" applyBorder="1"/>
    <xf numFmtId="0" fontId="2" fillId="0" borderId="0" xfId="1" applyNumberFormat="1" applyFont="1" applyFill="1" applyAlignment="1">
      <alignment horizontal="center"/>
    </xf>
    <xf numFmtId="43" fontId="0" fillId="0" borderId="0" xfId="1" applyFont="1" applyFill="1"/>
    <xf numFmtId="164" fontId="0" fillId="2" borderId="2" xfId="1" applyNumberFormat="1" applyFont="1" applyFill="1" applyBorder="1"/>
    <xf numFmtId="164" fontId="0" fillId="8" borderId="0" xfId="1" applyNumberFormat="1" applyFont="1" applyFill="1"/>
    <xf numFmtId="164" fontId="0" fillId="9" borderId="0" xfId="1" applyNumberFormat="1" applyFont="1" applyFill="1"/>
    <xf numFmtId="164" fontId="0" fillId="0" borderId="0" xfId="1" applyNumberFormat="1" applyFont="1" applyBorder="1"/>
    <xf numFmtId="49" fontId="4" fillId="0" borderId="0" xfId="0" applyNumberFormat="1" applyFont="1" applyBorder="1"/>
    <xf numFmtId="165" fontId="5" fillId="0" borderId="0" xfId="0" applyNumberFormat="1" applyFont="1" applyBorder="1"/>
    <xf numFmtId="0" fontId="3" fillId="0" borderId="0" xfId="0" applyFont="1" applyFill="1" applyAlignment="1">
      <alignment horizontal="center"/>
    </xf>
    <xf numFmtId="43" fontId="0" fillId="0" borderId="0" xfId="1" applyFont="1"/>
    <xf numFmtId="43" fontId="0" fillId="2" borderId="0" xfId="1" applyFont="1" applyFill="1"/>
    <xf numFmtId="43" fontId="2" fillId="0" borderId="0" xfId="1" applyFont="1"/>
    <xf numFmtId="43" fontId="0" fillId="5" borderId="0" xfId="1" applyFont="1" applyFill="1"/>
    <xf numFmtId="43" fontId="0" fillId="4" borderId="0" xfId="1" applyFont="1" applyFill="1"/>
    <xf numFmtId="43" fontId="0" fillId="8" borderId="0" xfId="1" applyFont="1" applyFill="1"/>
    <xf numFmtId="43" fontId="0" fillId="7" borderId="0" xfId="1" applyFont="1" applyFill="1"/>
    <xf numFmtId="43" fontId="0" fillId="8" borderId="1" xfId="1" applyFont="1" applyFill="1" applyBorder="1"/>
    <xf numFmtId="43" fontId="0" fillId="7" borderId="1" xfId="1" applyFont="1" applyFill="1" applyBorder="1"/>
    <xf numFmtId="43" fontId="0" fillId="3" borderId="0" xfId="1" applyFont="1" applyFill="1"/>
    <xf numFmtId="164" fontId="0" fillId="0" borderId="0" xfId="0" applyNumberFormat="1" applyFill="1" applyBorder="1"/>
    <xf numFmtId="0" fontId="0" fillId="0" borderId="0" xfId="0" applyAlignment="1">
      <alignment wrapText="1"/>
    </xf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166" fontId="12" fillId="0" borderId="0" xfId="0" applyNumberFormat="1" applyFont="1" applyAlignment="1">
      <alignment wrapText="1"/>
    </xf>
    <xf numFmtId="166" fontId="12" fillId="0" borderId="0" xfId="0" applyNumberFormat="1" applyFont="1" applyAlignment="1">
      <alignment horizontal="right" wrapText="1"/>
    </xf>
    <xf numFmtId="167" fontId="11" fillId="0" borderId="7" xfId="0" applyNumberFormat="1" applyFont="1" applyBorder="1" applyAlignment="1">
      <alignment horizontal="right" wrapText="1"/>
    </xf>
    <xf numFmtId="167" fontId="11" fillId="5" borderId="7" xfId="0" applyNumberFormat="1" applyFont="1" applyFill="1" applyBorder="1" applyAlignment="1">
      <alignment horizontal="right" wrapText="1"/>
    </xf>
    <xf numFmtId="166" fontId="12" fillId="5" borderId="0" xfId="0" applyNumberFormat="1" applyFont="1" applyFill="1" applyAlignment="1">
      <alignment horizontal="right" wrapText="1"/>
    </xf>
    <xf numFmtId="166" fontId="12" fillId="2" borderId="0" xfId="0" applyNumberFormat="1" applyFont="1" applyFill="1" applyAlignment="1">
      <alignment horizontal="right" wrapText="1"/>
    </xf>
    <xf numFmtId="167" fontId="11" fillId="2" borderId="7" xfId="0" applyNumberFormat="1" applyFont="1" applyFill="1" applyBorder="1" applyAlignment="1">
      <alignment horizontal="right" wrapText="1"/>
    </xf>
    <xf numFmtId="166" fontId="12" fillId="8" borderId="0" xfId="0" applyNumberFormat="1" applyFont="1" applyFill="1" applyAlignment="1">
      <alignment horizontal="right" wrapText="1"/>
    </xf>
    <xf numFmtId="166" fontId="12" fillId="3" borderId="0" xfId="0" applyNumberFormat="1" applyFont="1" applyFill="1" applyAlignment="1">
      <alignment horizontal="right" wrapText="1"/>
    </xf>
    <xf numFmtId="166" fontId="12" fillId="4" borderId="0" xfId="0" applyNumberFormat="1" applyFont="1" applyFill="1" applyAlignment="1">
      <alignment horizontal="right" wrapText="1"/>
    </xf>
    <xf numFmtId="167" fontId="11" fillId="4" borderId="7" xfId="0" applyNumberFormat="1" applyFont="1" applyFill="1" applyBorder="1" applyAlignment="1">
      <alignment horizontal="right" wrapText="1"/>
    </xf>
    <xf numFmtId="164" fontId="6" fillId="2" borderId="0" xfId="1" applyNumberFormat="1" applyFont="1" applyFill="1"/>
    <xf numFmtId="166" fontId="12" fillId="9" borderId="0" xfId="0" applyNumberFormat="1" applyFont="1" applyFill="1" applyAlignment="1">
      <alignment horizontal="right" wrapText="1"/>
    </xf>
    <xf numFmtId="166" fontId="12" fillId="7" borderId="0" xfId="0" applyNumberFormat="1" applyFont="1" applyFill="1" applyAlignment="1">
      <alignment horizontal="right" wrapText="1"/>
    </xf>
    <xf numFmtId="166" fontId="12" fillId="2" borderId="0" xfId="0" applyNumberFormat="1" applyFont="1" applyFill="1" applyAlignment="1">
      <alignment wrapText="1"/>
    </xf>
    <xf numFmtId="166" fontId="12" fillId="5" borderId="0" xfId="0" applyNumberFormat="1" applyFont="1" applyFill="1" applyAlignment="1">
      <alignment wrapText="1"/>
    </xf>
    <xf numFmtId="43" fontId="4" fillId="0" borderId="0" xfId="1" applyFont="1" applyAlignment="1">
      <alignment horizontal="center"/>
    </xf>
    <xf numFmtId="43" fontId="4" fillId="0" borderId="0" xfId="1" applyFont="1"/>
    <xf numFmtId="43" fontId="4" fillId="0" borderId="3" xfId="1" applyFont="1" applyBorder="1"/>
    <xf numFmtId="43" fontId="4" fillId="5" borderId="0" xfId="1" applyFont="1" applyFill="1"/>
    <xf numFmtId="43" fontId="4" fillId="2" borderId="0" xfId="1" applyFont="1" applyFill="1"/>
    <xf numFmtId="43" fontId="4" fillId="8" borderId="0" xfId="1" applyFont="1" applyFill="1"/>
    <xf numFmtId="43" fontId="4" fillId="4" borderId="0" xfId="1" applyFont="1" applyFill="1"/>
    <xf numFmtId="43" fontId="4" fillId="9" borderId="0" xfId="1" applyFont="1" applyFill="1"/>
    <xf numFmtId="43" fontId="4" fillId="7" borderId="0" xfId="1" applyFont="1" applyFill="1"/>
    <xf numFmtId="164" fontId="0" fillId="4" borderId="1" xfId="1" applyNumberFormat="1" applyFont="1" applyFill="1" applyBorder="1"/>
    <xf numFmtId="167" fontId="11" fillId="2" borderId="0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166" fontId="15" fillId="0" borderId="0" xfId="0" applyNumberFormat="1" applyFont="1" applyAlignment="1">
      <alignment horizontal="right" wrapText="1"/>
    </xf>
    <xf numFmtId="167" fontId="14" fillId="0" borderId="7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6" fontId="15" fillId="2" borderId="0" xfId="0" applyNumberFormat="1" applyFont="1" applyFill="1" applyAlignment="1">
      <alignment horizontal="right" wrapText="1"/>
    </xf>
    <xf numFmtId="166" fontId="15" fillId="4" borderId="0" xfId="0" applyNumberFormat="1" applyFont="1" applyFill="1" applyAlignment="1">
      <alignment horizontal="right" wrapText="1"/>
    </xf>
    <xf numFmtId="43" fontId="16" fillId="4" borderId="0" xfId="1" applyNumberFormat="1" applyFont="1" applyFill="1" applyBorder="1" applyAlignment="1">
      <alignment horizontal="center" wrapText="1"/>
    </xf>
    <xf numFmtId="43" fontId="15" fillId="0" borderId="0" xfId="1" applyNumberFormat="1" applyFont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0" fillId="2" borderId="0" xfId="0" applyFill="1"/>
    <xf numFmtId="164" fontId="0" fillId="0" borderId="0" xfId="1" applyNumberFormat="1" applyFont="1" applyFill="1" applyBorder="1"/>
    <xf numFmtId="164" fontId="2" fillId="0" borderId="0" xfId="0" applyNumberFormat="1" applyFont="1" applyFill="1" applyBorder="1"/>
    <xf numFmtId="166" fontId="15" fillId="0" borderId="0" xfId="0" applyNumberFormat="1" applyFont="1" applyAlignment="1">
      <alignment wrapText="1"/>
    </xf>
    <xf numFmtId="167" fontId="14" fillId="2" borderId="7" xfId="0" applyNumberFormat="1" applyFont="1" applyFill="1" applyBorder="1" applyAlignment="1">
      <alignment horizontal="right" wrapText="1"/>
    </xf>
    <xf numFmtId="167" fontId="14" fillId="5" borderId="7" xfId="0" applyNumberFormat="1" applyFont="1" applyFill="1" applyBorder="1" applyAlignment="1">
      <alignment horizontal="right" wrapText="1"/>
    </xf>
    <xf numFmtId="166" fontId="15" fillId="8" borderId="0" xfId="0" applyNumberFormat="1" applyFont="1" applyFill="1" applyAlignment="1">
      <alignment horizontal="right" wrapText="1"/>
    </xf>
    <xf numFmtId="167" fontId="14" fillId="7" borderId="7" xfId="0" applyNumberFormat="1" applyFont="1" applyFill="1" applyBorder="1" applyAlignment="1">
      <alignment horizontal="right" wrapText="1"/>
    </xf>
    <xf numFmtId="167" fontId="14" fillId="4" borderId="7" xfId="0" applyNumberFormat="1" applyFont="1" applyFill="1" applyBorder="1" applyAlignment="1">
      <alignment horizontal="right" wrapText="1"/>
    </xf>
    <xf numFmtId="166" fontId="15" fillId="5" borderId="0" xfId="0" applyNumberFormat="1" applyFont="1" applyFill="1" applyAlignment="1">
      <alignment horizontal="right" wrapText="1"/>
    </xf>
    <xf numFmtId="166" fontId="15" fillId="3" borderId="0" xfId="0" applyNumberFormat="1" applyFont="1" applyFill="1" applyAlignment="1">
      <alignment horizontal="right" wrapText="1"/>
    </xf>
    <xf numFmtId="0" fontId="14" fillId="2" borderId="0" xfId="0" applyFont="1" applyFill="1" applyAlignment="1">
      <alignment horizontal="left" wrapText="1"/>
    </xf>
    <xf numFmtId="167" fontId="14" fillId="3" borderId="7" xfId="0" applyNumberFormat="1" applyFont="1" applyFill="1" applyBorder="1" applyAlignment="1">
      <alignment horizontal="right" wrapText="1"/>
    </xf>
    <xf numFmtId="166" fontId="0" fillId="0" borderId="0" xfId="0" applyNumberFormat="1" applyFill="1"/>
    <xf numFmtId="166" fontId="0" fillId="0" borderId="3" xfId="0" applyNumberFormat="1" applyFill="1" applyBorder="1"/>
    <xf numFmtId="167" fontId="2" fillId="0" borderId="0" xfId="0" applyNumberFormat="1" applyFont="1"/>
    <xf numFmtId="166" fontId="0" fillId="5" borderId="0" xfId="0" applyNumberFormat="1" applyFill="1"/>
    <xf numFmtId="4" fontId="0" fillId="2" borderId="0" xfId="0" applyNumberFormat="1" applyFill="1"/>
    <xf numFmtId="44" fontId="0" fillId="0" borderId="0" xfId="0" applyNumberFormat="1" applyFill="1"/>
    <xf numFmtId="0" fontId="0" fillId="7" borderId="0" xfId="0" applyFill="1"/>
    <xf numFmtId="164" fontId="2" fillId="0" borderId="0" xfId="0" applyNumberFormat="1" applyFont="1" applyFill="1"/>
    <xf numFmtId="0" fontId="0" fillId="0" borderId="2" xfId="0" applyFont="1" applyFill="1" applyBorder="1"/>
    <xf numFmtId="164" fontId="2" fillId="0" borderId="1" xfId="0" applyNumberFormat="1" applyFont="1" applyFill="1" applyBorder="1"/>
    <xf numFmtId="0" fontId="2" fillId="0" borderId="0" xfId="0" applyFont="1" applyFill="1" applyAlignment="1">
      <alignment horizontal="center"/>
    </xf>
    <xf numFmtId="9" fontId="2" fillId="0" borderId="0" xfId="2" applyFont="1" applyFill="1"/>
    <xf numFmtId="0" fontId="0" fillId="0" borderId="0" xfId="0"/>
    <xf numFmtId="164" fontId="2" fillId="2" borderId="2" xfId="1" applyNumberFormat="1" applyFont="1" applyFill="1" applyBorder="1"/>
    <xf numFmtId="164" fontId="2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0" fillId="0" borderId="0" xfId="0"/>
    <xf numFmtId="0" fontId="19" fillId="0" borderId="0" xfId="0" applyFont="1" applyAlignment="1">
      <alignment horizontal="center"/>
    </xf>
    <xf numFmtId="43" fontId="11" fillId="0" borderId="7" xfId="1" applyFont="1" applyBorder="1" applyAlignment="1">
      <alignment horizontal="right" wrapText="1"/>
    </xf>
    <xf numFmtId="43" fontId="7" fillId="7" borderId="0" xfId="1" applyFont="1" applyFill="1" applyAlignment="1">
      <alignment horizontal="right" wrapText="1"/>
    </xf>
    <xf numFmtId="43" fontId="12" fillId="0" borderId="0" xfId="1" applyFont="1" applyAlignment="1">
      <alignment wrapText="1"/>
    </xf>
    <xf numFmtId="43" fontId="15" fillId="7" borderId="0" xfId="1" applyFont="1" applyFill="1" applyAlignment="1">
      <alignment horizontal="right" wrapText="1"/>
    </xf>
    <xf numFmtId="43" fontId="15" fillId="0" borderId="0" xfId="1" applyFont="1" applyAlignment="1">
      <alignment horizontal="right" wrapText="1"/>
    </xf>
    <xf numFmtId="43" fontId="15" fillId="0" borderId="0" xfId="1" applyFont="1" applyBorder="1" applyAlignment="1">
      <alignment horizontal="right" wrapText="1"/>
    </xf>
    <xf numFmtId="43" fontId="11" fillId="0" borderId="8" xfId="1" applyFont="1" applyBorder="1" applyAlignment="1">
      <alignment horizontal="right" wrapText="1"/>
    </xf>
    <xf numFmtId="43" fontId="0" fillId="0" borderId="0" xfId="0" applyNumberFormat="1"/>
    <xf numFmtId="43" fontId="15" fillId="0" borderId="0" xfId="1" applyFont="1" applyFill="1" applyAlignment="1">
      <alignment horizontal="right" wrapText="1"/>
    </xf>
    <xf numFmtId="43" fontId="15" fillId="3" borderId="0" xfId="1" applyFont="1" applyFill="1" applyBorder="1" applyAlignment="1">
      <alignment horizontal="right" wrapText="1"/>
    </xf>
    <xf numFmtId="43" fontId="15" fillId="3" borderId="0" xfId="1" applyFont="1" applyFill="1" applyAlignment="1">
      <alignment horizontal="right" wrapText="1"/>
    </xf>
    <xf numFmtId="43" fontId="15" fillId="4" borderId="0" xfId="1" applyFont="1" applyFill="1" applyBorder="1" applyAlignment="1">
      <alignment horizontal="right" wrapText="1"/>
    </xf>
    <xf numFmtId="43" fontId="15" fillId="4" borderId="0" xfId="1" applyFont="1" applyFill="1" applyAlignment="1">
      <alignment horizontal="right" wrapText="1"/>
    </xf>
    <xf numFmtId="43" fontId="15" fillId="5" borderId="0" xfId="1" applyFont="1" applyFill="1" applyBorder="1" applyAlignment="1">
      <alignment horizontal="right" wrapText="1"/>
    </xf>
    <xf numFmtId="43" fontId="15" fillId="5" borderId="0" xfId="1" applyFont="1" applyFill="1" applyAlignment="1">
      <alignment horizontal="right" wrapText="1"/>
    </xf>
    <xf numFmtId="43" fontId="11" fillId="2" borderId="7" xfId="1" applyFont="1" applyFill="1" applyBorder="1" applyAlignment="1">
      <alignment horizontal="right" wrapText="1"/>
    </xf>
    <xf numFmtId="0" fontId="0" fillId="3" borderId="0" xfId="0" applyFill="1"/>
    <xf numFmtId="0" fontId="0" fillId="4" borderId="0" xfId="0" applyFill="1"/>
    <xf numFmtId="43" fontId="20" fillId="0" borderId="0" xfId="1" applyFont="1" applyFill="1"/>
    <xf numFmtId="0" fontId="0" fillId="5" borderId="0" xfId="0" applyFill="1"/>
    <xf numFmtId="0" fontId="21" fillId="10" borderId="0" xfId="0" applyFont="1" applyFill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11" borderId="0" xfId="0" applyFont="1" applyFill="1" applyAlignment="1">
      <alignment horizontal="left" vertical="center"/>
    </xf>
    <xf numFmtId="0" fontId="21" fillId="12" borderId="0" xfId="0" applyFont="1" applyFill="1" applyAlignment="1">
      <alignment horizontal="right" vertical="center"/>
    </xf>
    <xf numFmtId="0" fontId="21" fillId="10" borderId="9" xfId="0" applyFont="1" applyFill="1" applyBorder="1" applyAlignment="1">
      <alignment horizontal="left" vertical="center"/>
    </xf>
    <xf numFmtId="8" fontId="22" fillId="0" borderId="9" xfId="0" applyNumberFormat="1" applyFont="1" applyBorder="1" applyAlignment="1">
      <alignment horizontal="right" vertical="center"/>
    </xf>
    <xf numFmtId="4" fontId="21" fillId="4" borderId="0" xfId="0" applyNumberFormat="1" applyFont="1" applyFill="1" applyAlignment="1">
      <alignment horizontal="right" vertical="center"/>
    </xf>
    <xf numFmtId="164" fontId="0" fillId="0" borderId="3" xfId="1" applyNumberFormat="1" applyFont="1" applyBorder="1"/>
    <xf numFmtId="164" fontId="0" fillId="5" borderId="3" xfId="1" applyNumberFormat="1" applyFont="1" applyFill="1" applyBorder="1"/>
    <xf numFmtId="1" fontId="0" fillId="0" borderId="0" xfId="0" applyNumberFormat="1"/>
    <xf numFmtId="0" fontId="0" fillId="0" borderId="1" xfId="0" applyBorder="1"/>
    <xf numFmtId="9" fontId="0" fillId="0" borderId="0" xfId="2" applyFont="1"/>
    <xf numFmtId="0" fontId="2" fillId="0" borderId="0" xfId="0" applyFont="1" applyAlignment="1">
      <alignment horizontal="center"/>
    </xf>
    <xf numFmtId="0" fontId="23" fillId="0" borderId="1" xfId="0" applyFont="1" applyBorder="1"/>
    <xf numFmtId="164" fontId="2" fillId="0" borderId="2" xfId="1" applyNumberFormat="1" applyFont="1" applyBorder="1"/>
    <xf numFmtId="164" fontId="2" fillId="0" borderId="0" xfId="1" applyNumberFormat="1" applyFont="1" applyBorder="1"/>
    <xf numFmtId="0" fontId="2" fillId="0" borderId="0" xfId="0" applyFont="1" applyBorder="1"/>
    <xf numFmtId="0" fontId="19" fillId="0" borderId="0" xfId="0" applyFont="1" applyAlignment="1">
      <alignment horizontal="center"/>
    </xf>
    <xf numFmtId="0" fontId="0" fillId="0" borderId="0" xfId="0"/>
    <xf numFmtId="0" fontId="13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4" fontId="2" fillId="0" borderId="1" xfId="1" applyNumberFormat="1" applyFont="1" applyBorder="1"/>
    <xf numFmtId="170" fontId="2" fillId="0" borderId="1" xfId="3" applyNumberFormat="1" applyFont="1" applyBorder="1"/>
    <xf numFmtId="44" fontId="2" fillId="0" borderId="1" xfId="3" applyFont="1" applyBorder="1"/>
    <xf numFmtId="44" fontId="2" fillId="0" borderId="1" xfId="3" applyNumberFormat="1" applyFont="1" applyBorder="1"/>
    <xf numFmtId="3" fontId="2" fillId="0" borderId="1" xfId="0" applyNumberFormat="1" applyFont="1" applyBorder="1"/>
    <xf numFmtId="164" fontId="24" fillId="0" borderId="0" xfId="1" applyNumberFormat="1" applyFont="1" applyFill="1"/>
    <xf numFmtId="0" fontId="24" fillId="0" borderId="0" xfId="0" applyFont="1" applyFill="1"/>
    <xf numFmtId="164" fontId="25" fillId="0" borderId="0" xfId="1" applyNumberFormat="1" applyFont="1" applyFill="1"/>
    <xf numFmtId="0" fontId="25" fillId="0" borderId="0" xfId="0" applyFont="1" applyFill="1"/>
    <xf numFmtId="0" fontId="25" fillId="0" borderId="0" xfId="0" applyFont="1"/>
    <xf numFmtId="0" fontId="24" fillId="0" borderId="0" xfId="0" applyFont="1"/>
    <xf numFmtId="164" fontId="24" fillId="0" borderId="0" xfId="1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4" fillId="0" borderId="0" xfId="1" applyNumberFormat="1" applyFont="1" applyFill="1" applyAlignment="1">
      <alignment horizontal="center"/>
    </xf>
    <xf numFmtId="164" fontId="25" fillId="0" borderId="1" xfId="1" applyNumberFormat="1" applyFont="1" applyFill="1" applyBorder="1"/>
    <xf numFmtId="164" fontId="24" fillId="0" borderId="0" xfId="1" applyNumberFormat="1" applyFont="1" applyFill="1" applyBorder="1"/>
    <xf numFmtId="0" fontId="25" fillId="0" borderId="1" xfId="0" applyFont="1" applyFill="1" applyBorder="1"/>
    <xf numFmtId="9" fontId="25" fillId="0" borderId="0" xfId="2" applyFont="1" applyFill="1" applyAlignment="1">
      <alignment horizontal="center"/>
    </xf>
    <xf numFmtId="164" fontId="24" fillId="0" borderId="1" xfId="1" applyNumberFormat="1" applyFont="1" applyFill="1" applyBorder="1"/>
    <xf numFmtId="164" fontId="24" fillId="0" borderId="0" xfId="0" applyNumberFormat="1" applyFont="1" applyFill="1"/>
    <xf numFmtId="1" fontId="25" fillId="0" borderId="0" xfId="0" applyNumberFormat="1" applyFont="1" applyFill="1"/>
    <xf numFmtId="164" fontId="24" fillId="0" borderId="0" xfId="1" applyNumberFormat="1" applyFont="1"/>
    <xf numFmtId="0" fontId="25" fillId="4" borderId="0" xfId="0" applyFont="1" applyFill="1" applyAlignment="1">
      <alignment horizontal="center"/>
    </xf>
    <xf numFmtId="0" fontId="24" fillId="0" borderId="0" xfId="1" applyNumberFormat="1" applyFont="1" applyFill="1" applyBorder="1" applyAlignment="1">
      <alignment horizontal="center"/>
    </xf>
    <xf numFmtId="0" fontId="25" fillId="0" borderId="0" xfId="0" applyFont="1" applyFill="1" applyBorder="1"/>
    <xf numFmtId="0" fontId="24" fillId="2" borderId="0" xfId="1" applyNumberFormat="1" applyFont="1" applyFill="1" applyAlignment="1">
      <alignment horizontal="center"/>
    </xf>
    <xf numFmtId="164" fontId="25" fillId="0" borderId="0" xfId="1" applyNumberFormat="1" applyFont="1"/>
    <xf numFmtId="164" fontId="24" fillId="4" borderId="0" xfId="1" applyNumberFormat="1" applyFont="1" applyFill="1"/>
    <xf numFmtId="164" fontId="25" fillId="4" borderId="0" xfId="1" applyNumberFormat="1" applyFont="1" applyFill="1"/>
    <xf numFmtId="164" fontId="25" fillId="3" borderId="0" xfId="1" applyNumberFormat="1" applyFont="1" applyFill="1"/>
    <xf numFmtId="164" fontId="25" fillId="5" borderId="0" xfId="1" applyNumberFormat="1" applyFont="1" applyFill="1"/>
    <xf numFmtId="164" fontId="25" fillId="5" borderId="1" xfId="1" applyNumberFormat="1" applyFont="1" applyFill="1" applyBorder="1"/>
    <xf numFmtId="164" fontId="25" fillId="4" borderId="0" xfId="1" applyNumberFormat="1" applyFont="1" applyFill="1" applyBorder="1"/>
    <xf numFmtId="164" fontId="25" fillId="0" borderId="1" xfId="1" applyNumberFormat="1" applyFont="1" applyBorder="1"/>
    <xf numFmtId="164" fontId="24" fillId="2" borderId="0" xfId="1" applyNumberFormat="1" applyFont="1" applyFill="1"/>
    <xf numFmtId="164" fontId="26" fillId="0" borderId="0" xfId="1" applyNumberFormat="1" applyFont="1"/>
    <xf numFmtId="1" fontId="25" fillId="0" borderId="0" xfId="0" applyNumberFormat="1" applyFont="1"/>
    <xf numFmtId="49" fontId="26" fillId="0" borderId="0" xfId="0" applyNumberFormat="1" applyFont="1" applyAlignment="1">
      <alignment horizontal="center"/>
    </xf>
    <xf numFmtId="49" fontId="26" fillId="0" borderId="6" xfId="0" applyNumberFormat="1" applyFont="1" applyBorder="1" applyAlignment="1">
      <alignment horizontal="center"/>
    </xf>
    <xf numFmtId="0" fontId="25" fillId="0" borderId="1" xfId="0" applyFont="1" applyBorder="1"/>
    <xf numFmtId="49" fontId="26" fillId="0" borderId="0" xfId="0" applyNumberFormat="1" applyFont="1"/>
    <xf numFmtId="165" fontId="27" fillId="0" borderId="0" xfId="0" applyNumberFormat="1" applyFont="1"/>
    <xf numFmtId="164" fontId="24" fillId="0" borderId="2" xfId="1" applyNumberFormat="1" applyFont="1" applyBorder="1"/>
    <xf numFmtId="165" fontId="27" fillId="4" borderId="0" xfId="0" applyNumberFormat="1" applyFont="1" applyFill="1"/>
    <xf numFmtId="165" fontId="26" fillId="0" borderId="5" xfId="0" applyNumberFormat="1" applyFont="1" applyBorder="1"/>
    <xf numFmtId="0" fontId="26" fillId="0" borderId="0" xfId="0" applyFont="1"/>
    <xf numFmtId="165" fontId="27" fillId="3" borderId="0" xfId="0" applyNumberFormat="1" applyFont="1" applyFill="1"/>
    <xf numFmtId="165" fontId="26" fillId="2" borderId="5" xfId="0" applyNumberFormat="1" applyFont="1" applyFill="1" applyBorder="1"/>
    <xf numFmtId="37" fontId="25" fillId="4" borderId="0" xfId="0" applyNumberFormat="1" applyFont="1" applyFill="1"/>
    <xf numFmtId="37" fontId="25" fillId="0" borderId="0" xfId="0" applyNumberFormat="1" applyFont="1"/>
    <xf numFmtId="37" fontId="25" fillId="3" borderId="0" xfId="0" applyNumberFormat="1" applyFont="1" applyFill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ODG%20AUDIT/2020/QII%202020/QII%202019%20FS%20and%20BS%203.20.19%20D%206.11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II 2019 IS"/>
      <sheetName val="Sales Groups"/>
      <sheetName val="2019 6 months ended"/>
      <sheetName val=" QII 2019 BS"/>
      <sheetName val="QII BS QB"/>
      <sheetName val="2019 Budget"/>
      <sheetName val="QII 2019 QB IS SUMMARY "/>
    </sheetNames>
    <sheetDataSet>
      <sheetData sheetId="0">
        <row r="34">
          <cell r="D34">
            <v>128705.55</v>
          </cell>
        </row>
        <row r="63">
          <cell r="D63">
            <v>-8880576.0500000007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29AC-586A-482D-9C5B-FE4223345A38}">
  <dimension ref="A1:AH44"/>
  <sheetViews>
    <sheetView showGridLines="0" tabSelected="1" workbookViewId="0">
      <selection sqref="A1:G44"/>
    </sheetView>
  </sheetViews>
  <sheetFormatPr defaultRowHeight="15.75" x14ac:dyDescent="0.75"/>
  <cols>
    <col min="1" max="2" width="8.7265625" style="225"/>
    <col min="3" max="3" width="33.90625" style="225" customWidth="1"/>
    <col min="4" max="4" width="13.81640625" style="170" customWidth="1"/>
    <col min="5" max="5" width="5.90625" style="170" customWidth="1"/>
    <col min="6" max="6" width="10.86328125" style="170" customWidth="1"/>
    <col min="7" max="7" width="8.26953125" style="170" customWidth="1"/>
    <col min="8" max="8" width="10.54296875" customWidth="1"/>
    <col min="10" max="10" width="10.453125" customWidth="1"/>
    <col min="13" max="13" width="24.6796875" customWidth="1"/>
    <col min="15" max="15" width="8.7265625" style="170"/>
    <col min="16" max="16" width="11.6328125" style="170" bestFit="1" customWidth="1"/>
    <col min="18" max="18" width="11.6328125" bestFit="1" customWidth="1"/>
    <col min="20" max="20" width="11.6328125" bestFit="1" customWidth="1"/>
    <col min="22" max="22" width="10.86328125" style="170" bestFit="1" customWidth="1"/>
    <col min="23" max="23" width="8.7265625" style="170"/>
    <col min="24" max="24" width="9.86328125" style="170" bestFit="1" customWidth="1"/>
    <col min="25" max="28" width="8.7265625" style="170"/>
  </cols>
  <sheetData>
    <row r="1" spans="1:34" x14ac:dyDescent="0.75">
      <c r="A1" s="221" t="s">
        <v>37</v>
      </c>
      <c r="B1" s="221"/>
      <c r="C1" s="221"/>
      <c r="D1" s="37"/>
      <c r="E1" s="37"/>
      <c r="F1" s="37"/>
      <c r="G1" s="37"/>
      <c r="H1" s="37"/>
      <c r="I1" s="38"/>
      <c r="J1" s="37"/>
      <c r="K1" s="38"/>
      <c r="M1" t="s">
        <v>37</v>
      </c>
      <c r="P1" s="205" t="s">
        <v>510</v>
      </c>
      <c r="Q1" s="205"/>
      <c r="R1" s="205" t="s">
        <v>476</v>
      </c>
      <c r="S1" s="205"/>
      <c r="T1" s="205" t="s">
        <v>477</v>
      </c>
      <c r="V1" s="205" t="s">
        <v>512</v>
      </c>
      <c r="X1" s="170" t="s">
        <v>513</v>
      </c>
      <c r="AD1" t="s">
        <v>37</v>
      </c>
    </row>
    <row r="2" spans="1:34" x14ac:dyDescent="0.75">
      <c r="A2" s="221" t="s">
        <v>508</v>
      </c>
      <c r="B2" s="221"/>
      <c r="C2" s="221"/>
      <c r="D2" s="81">
        <v>2020</v>
      </c>
      <c r="E2" s="81"/>
      <c r="F2" s="81">
        <v>2019</v>
      </c>
      <c r="G2" s="37"/>
      <c r="H2" s="81">
        <v>2020</v>
      </c>
      <c r="I2" s="38"/>
      <c r="J2" s="81">
        <v>2019</v>
      </c>
      <c r="K2" s="38"/>
      <c r="M2" t="s">
        <v>478</v>
      </c>
      <c r="P2" s="205">
        <v>2020</v>
      </c>
      <c r="Q2" s="205"/>
      <c r="R2" s="205">
        <v>2020</v>
      </c>
      <c r="S2" s="205"/>
      <c r="T2" s="205">
        <v>2020</v>
      </c>
      <c r="V2" s="205">
        <v>2020</v>
      </c>
      <c r="Z2"/>
      <c r="AD2" t="s">
        <v>509</v>
      </c>
      <c r="AG2">
        <v>2019</v>
      </c>
    </row>
    <row r="3" spans="1:34" x14ac:dyDescent="0.75">
      <c r="A3" s="222" t="s">
        <v>50</v>
      </c>
      <c r="B3" s="223"/>
      <c r="C3" s="223"/>
      <c r="D3" s="40"/>
      <c r="E3" s="40"/>
      <c r="F3" s="40"/>
      <c r="G3" s="40"/>
      <c r="H3" s="40"/>
      <c r="I3" s="38"/>
      <c r="J3" s="40"/>
      <c r="K3" s="38"/>
      <c r="M3" t="s">
        <v>50</v>
      </c>
      <c r="AD3" t="s">
        <v>50</v>
      </c>
    </row>
    <row r="4" spans="1:34" ht="10" customHeight="1" x14ac:dyDescent="0.75">
      <c r="A4" s="223"/>
      <c r="B4" s="223"/>
      <c r="C4" s="223"/>
      <c r="D4" s="40"/>
      <c r="E4" s="40"/>
      <c r="F4" s="40"/>
      <c r="G4" s="40"/>
      <c r="H4" s="40"/>
      <c r="I4" s="38"/>
      <c r="J4" s="40"/>
      <c r="K4" s="38"/>
    </row>
    <row r="5" spans="1:34" x14ac:dyDescent="0.75">
      <c r="A5" s="223" t="s">
        <v>84</v>
      </c>
      <c r="B5" s="223"/>
      <c r="C5" s="223"/>
      <c r="D5" s="40">
        <v>389404</v>
      </c>
      <c r="E5" s="40"/>
      <c r="F5" s="40">
        <v>657406</v>
      </c>
      <c r="G5" s="40"/>
      <c r="H5" s="40">
        <f>+P5+R5+T5+V5+X5</f>
        <v>389404</v>
      </c>
      <c r="I5" s="38"/>
      <c r="J5" s="4">
        <f>657745-339</f>
        <v>657406</v>
      </c>
      <c r="K5" s="38"/>
      <c r="M5" t="s">
        <v>84</v>
      </c>
      <c r="P5" s="4">
        <v>65250</v>
      </c>
      <c r="R5" s="4">
        <v>74150</v>
      </c>
      <c r="S5" s="4"/>
      <c r="T5" s="4">
        <v>82050</v>
      </c>
      <c r="V5" s="4">
        <v>167750</v>
      </c>
      <c r="X5" s="170">
        <v>204</v>
      </c>
      <c r="AD5" t="s">
        <v>84</v>
      </c>
      <c r="AG5">
        <v>657745</v>
      </c>
    </row>
    <row r="6" spans="1:34" x14ac:dyDescent="0.75">
      <c r="A6" s="223" t="s">
        <v>2</v>
      </c>
      <c r="B6" s="223"/>
      <c r="C6" s="223"/>
      <c r="D6" s="40">
        <v>251209.84000000005</v>
      </c>
      <c r="E6" s="40"/>
      <c r="F6" s="40">
        <v>207902</v>
      </c>
      <c r="G6" s="40"/>
      <c r="H6" s="40">
        <f t="shared" ref="H6:H7" si="0">+P6+R6+T6+V6+X6</f>
        <v>251209.84000000005</v>
      </c>
      <c r="I6" s="38"/>
      <c r="J6" s="4">
        <v>207902</v>
      </c>
      <c r="K6" s="38"/>
      <c r="M6" t="s">
        <v>2</v>
      </c>
      <c r="P6" s="4">
        <v>95230.840000000026</v>
      </c>
      <c r="R6" s="4">
        <v>57914.520000000004</v>
      </c>
      <c r="S6" s="4"/>
      <c r="T6" s="4">
        <v>43288</v>
      </c>
      <c r="V6" s="4">
        <v>54776.480000000003</v>
      </c>
      <c r="AD6" t="s">
        <v>2</v>
      </c>
      <c r="AG6">
        <v>207902</v>
      </c>
    </row>
    <row r="7" spans="1:34" ht="16.5" thickBot="1" x14ac:dyDescent="0.9">
      <c r="A7" s="223" t="s">
        <v>83</v>
      </c>
      <c r="B7" s="223"/>
      <c r="C7" s="223"/>
      <c r="D7" s="41">
        <v>8094.639999999963</v>
      </c>
      <c r="E7" s="40"/>
      <c r="F7" s="41">
        <v>16729</v>
      </c>
      <c r="G7" s="40"/>
      <c r="H7" s="41">
        <f t="shared" si="0"/>
        <v>8094.639999999963</v>
      </c>
      <c r="I7" s="38"/>
      <c r="J7" s="8">
        <v>16729</v>
      </c>
      <c r="K7" s="38"/>
      <c r="M7" t="s">
        <v>83</v>
      </c>
      <c r="P7" s="8">
        <v>1407.1199999999662</v>
      </c>
      <c r="R7" s="8">
        <v>0</v>
      </c>
      <c r="S7" s="4"/>
      <c r="T7" s="8">
        <v>3293</v>
      </c>
      <c r="V7" s="203">
        <v>3394.5199999999968</v>
      </c>
      <c r="AD7" t="s">
        <v>83</v>
      </c>
      <c r="AG7">
        <v>16729</v>
      </c>
    </row>
    <row r="8" spans="1:34" ht="16" x14ac:dyDescent="0.8">
      <c r="A8" s="221" t="s">
        <v>4</v>
      </c>
      <c r="B8" s="221"/>
      <c r="C8" s="221"/>
      <c r="D8" s="42">
        <f>SUM(D5:D7)</f>
        <v>648708.4800000001</v>
      </c>
      <c r="E8" s="42"/>
      <c r="F8" s="42">
        <f>SUM(F5:F7)</f>
        <v>882037</v>
      </c>
      <c r="G8" s="42"/>
      <c r="H8" s="43">
        <f>SUM(H5:H7)</f>
        <v>648708.4800000001</v>
      </c>
      <c r="I8" s="38"/>
      <c r="J8" s="42">
        <f>SUM(J5:J7)</f>
        <v>882037</v>
      </c>
      <c r="K8" s="38"/>
      <c r="M8" t="s">
        <v>4</v>
      </c>
      <c r="P8" s="1">
        <f>SUM(P5:P7)</f>
        <v>161887.96</v>
      </c>
      <c r="R8" s="1">
        <v>132064.52000000002</v>
      </c>
      <c r="S8" s="4"/>
      <c r="T8" s="1">
        <v>128631</v>
      </c>
      <c r="V8" s="1">
        <v>128631</v>
      </c>
      <c r="AD8" t="s">
        <v>4</v>
      </c>
      <c r="AG8">
        <v>882376</v>
      </c>
    </row>
    <row r="9" spans="1:34" ht="10.75" customHeight="1" x14ac:dyDescent="0.75">
      <c r="A9" s="223"/>
      <c r="B9" s="223"/>
      <c r="C9" s="223"/>
      <c r="D9" s="40"/>
      <c r="E9" s="40"/>
      <c r="F9" s="40"/>
      <c r="G9" s="40"/>
      <c r="H9" s="38"/>
      <c r="I9" s="38"/>
      <c r="J9" s="40"/>
      <c r="K9" s="38"/>
      <c r="P9" s="4"/>
      <c r="R9" s="4"/>
      <c r="S9" s="4"/>
      <c r="T9" s="4"/>
    </row>
    <row r="10" spans="1:34" x14ac:dyDescent="0.75">
      <c r="A10" s="223" t="s">
        <v>5</v>
      </c>
      <c r="B10" s="224"/>
      <c r="C10" s="224"/>
      <c r="D10" s="40">
        <v>216982.46999999997</v>
      </c>
      <c r="E10" s="40"/>
      <c r="F10" s="40">
        <f>+J10</f>
        <v>281672.54000000004</v>
      </c>
      <c r="G10" s="38"/>
      <c r="H10" s="142">
        <f t="shared" ref="H10" si="1">+P10+R10+T10+V10+X10</f>
        <v>216982.46999999997</v>
      </c>
      <c r="I10" s="38"/>
      <c r="J10" s="40">
        <f>257900.54+23772</f>
        <v>281672.54000000004</v>
      </c>
      <c r="K10" s="38"/>
      <c r="M10" t="s">
        <v>5</v>
      </c>
      <c r="P10" s="4">
        <v>65638.64</v>
      </c>
      <c r="R10" s="4">
        <v>48274.149999999994</v>
      </c>
      <c r="S10" s="4"/>
      <c r="T10" s="4">
        <v>46727</v>
      </c>
      <c r="V10" s="4">
        <v>56327.68</v>
      </c>
      <c r="X10" s="170">
        <v>15</v>
      </c>
      <c r="AD10" t="s">
        <v>5</v>
      </c>
      <c r="AG10">
        <v>257900.54</v>
      </c>
    </row>
    <row r="11" spans="1:34" ht="9.5" customHeight="1" thickBot="1" x14ac:dyDescent="0.9">
      <c r="A11" s="223"/>
      <c r="B11" s="223"/>
      <c r="C11" s="223"/>
      <c r="D11" s="41"/>
      <c r="E11" s="40"/>
      <c r="F11" s="41"/>
      <c r="G11" s="40"/>
      <c r="H11" s="44"/>
      <c r="I11" s="38"/>
      <c r="J11" s="41"/>
      <c r="K11" s="38"/>
      <c r="P11" s="8"/>
      <c r="R11" s="203"/>
      <c r="T11" s="203"/>
      <c r="V11" s="203"/>
    </row>
    <row r="12" spans="1:34" x14ac:dyDescent="0.75">
      <c r="A12" s="221" t="s">
        <v>6</v>
      </c>
      <c r="B12" s="221"/>
      <c r="C12" s="221"/>
      <c r="D12" s="37">
        <f>+D8-D10</f>
        <v>431726.01000000013</v>
      </c>
      <c r="E12" s="165">
        <v>0.66551621153464813</v>
      </c>
      <c r="F12" s="37">
        <f>+F8-F10</f>
        <v>600364.46</v>
      </c>
      <c r="G12" s="165">
        <v>0.68065677516929557</v>
      </c>
      <c r="H12" s="37">
        <f>+H8-H10</f>
        <v>431726.01000000013</v>
      </c>
      <c r="I12" s="54">
        <f>+H12/H8</f>
        <v>0.66551621153464813</v>
      </c>
      <c r="J12" s="37">
        <f>+J8-J10</f>
        <v>600364.46</v>
      </c>
      <c r="K12" s="54">
        <f>+J12/J8</f>
        <v>0.68065677516929557</v>
      </c>
      <c r="M12" t="s">
        <v>6</v>
      </c>
      <c r="P12" s="1">
        <f>+P8-P10</f>
        <v>96249.319999999992</v>
      </c>
      <c r="R12" s="1">
        <f>+R8-R10</f>
        <v>83790.370000000024</v>
      </c>
      <c r="S12" s="204">
        <v>0.63446541130047651</v>
      </c>
      <c r="T12" s="1">
        <f>+T8-T10</f>
        <v>81904</v>
      </c>
      <c r="U12" s="204">
        <v>0.63673609005605181</v>
      </c>
      <c r="V12" s="1">
        <f>+V8-V10</f>
        <v>72303.320000000007</v>
      </c>
      <c r="W12" s="204">
        <v>0.75067577703237598</v>
      </c>
      <c r="X12" s="204"/>
      <c r="Y12" s="204"/>
      <c r="Z12" s="204"/>
      <c r="AA12" s="204"/>
      <c r="AB12" s="204"/>
      <c r="AD12" t="s">
        <v>6</v>
      </c>
      <c r="AG12">
        <v>624475.46</v>
      </c>
      <c r="AH12">
        <v>0.70772035957460311</v>
      </c>
    </row>
    <row r="13" spans="1:34" x14ac:dyDescent="0.75">
      <c r="A13" s="223"/>
      <c r="B13" s="223"/>
      <c r="C13" s="223"/>
      <c r="D13" s="40"/>
      <c r="E13" s="40"/>
      <c r="F13" s="40"/>
      <c r="G13" s="40"/>
      <c r="H13" s="38"/>
      <c r="I13" s="38"/>
      <c r="J13" s="40"/>
      <c r="K13" s="38"/>
      <c r="P13" s="4"/>
    </row>
    <row r="14" spans="1:34" x14ac:dyDescent="0.75">
      <c r="A14" s="223" t="s">
        <v>504</v>
      </c>
      <c r="B14" s="223"/>
      <c r="C14" s="223"/>
      <c r="D14" s="40">
        <f>378165.39+139440.74-1</f>
        <v>517605.13</v>
      </c>
      <c r="E14" s="40"/>
      <c r="F14" s="40">
        <f>389037+70-19785+1</f>
        <v>369323</v>
      </c>
      <c r="G14" s="40"/>
      <c r="H14" s="142">
        <f t="shared" ref="H14:H18" si="2">+P14+R14+T14+V14+X14</f>
        <v>378165.39000000007</v>
      </c>
      <c r="I14" s="38"/>
      <c r="J14" s="4">
        <v>220550.03000000006</v>
      </c>
      <c r="K14" s="38"/>
      <c r="M14" t="s">
        <v>511</v>
      </c>
      <c r="P14" s="4">
        <v>134425.56000000006</v>
      </c>
      <c r="Q14" s="4"/>
      <c r="R14" s="4">
        <v>99358.83</v>
      </c>
      <c r="S14" s="4"/>
      <c r="T14" s="4">
        <v>79351</v>
      </c>
      <c r="V14" s="4">
        <v>65030</v>
      </c>
      <c r="AD14" t="s">
        <v>12</v>
      </c>
      <c r="AG14">
        <v>220550.03000000006</v>
      </c>
    </row>
    <row r="15" spans="1:34" x14ac:dyDescent="0.75">
      <c r="A15" s="223" t="s">
        <v>505</v>
      </c>
      <c r="B15" s="223"/>
      <c r="C15" s="223"/>
      <c r="D15" s="40">
        <v>0</v>
      </c>
      <c r="E15" s="40"/>
      <c r="F15" s="40">
        <v>0</v>
      </c>
      <c r="G15" s="40"/>
      <c r="H15" s="142">
        <f t="shared" si="2"/>
        <v>131134</v>
      </c>
      <c r="I15" s="38"/>
      <c r="J15" s="4">
        <v>0</v>
      </c>
      <c r="K15" s="38"/>
      <c r="M15" s="170"/>
      <c r="N15" s="170"/>
      <c r="P15" s="4">
        <v>131134</v>
      </c>
      <c r="Q15" s="4"/>
      <c r="R15" s="4"/>
      <c r="S15" s="4"/>
      <c r="T15" s="4"/>
      <c r="V15" s="4"/>
      <c r="AD15" t="s">
        <v>13</v>
      </c>
      <c r="AG15">
        <v>47660.85</v>
      </c>
    </row>
    <row r="16" spans="1:34" x14ac:dyDescent="0.75">
      <c r="A16" s="223" t="s">
        <v>13</v>
      </c>
      <c r="B16" s="223"/>
      <c r="C16" s="223"/>
      <c r="D16" s="40">
        <v>73354.12</v>
      </c>
      <c r="E16" s="40"/>
      <c r="F16" s="40">
        <v>47660.85</v>
      </c>
      <c r="G16" s="40"/>
      <c r="H16" s="142">
        <f t="shared" si="2"/>
        <v>73354.12</v>
      </c>
      <c r="I16" s="38"/>
      <c r="J16" s="4">
        <v>47660.85</v>
      </c>
      <c r="K16" s="38"/>
      <c r="M16" t="s">
        <v>13</v>
      </c>
      <c r="P16" s="4">
        <v>36970.43</v>
      </c>
      <c r="Q16" s="4"/>
      <c r="R16" s="4">
        <v>18369.509999999998</v>
      </c>
      <c r="S16" s="4"/>
      <c r="T16" s="4">
        <v>9443</v>
      </c>
      <c r="V16" s="4">
        <v>8571.18</v>
      </c>
      <c r="AD16" t="s">
        <v>95</v>
      </c>
      <c r="AG16">
        <v>220786.31</v>
      </c>
    </row>
    <row r="17" spans="1:33" x14ac:dyDescent="0.75">
      <c r="A17" s="223" t="s">
        <v>95</v>
      </c>
      <c r="B17" s="223"/>
      <c r="C17" s="223"/>
      <c r="D17" s="40">
        <v>451136.47</v>
      </c>
      <c r="E17" s="40"/>
      <c r="F17" s="40">
        <v>242623.67</v>
      </c>
      <c r="G17" s="40"/>
      <c r="H17" s="142">
        <f t="shared" si="2"/>
        <v>424041.94999999995</v>
      </c>
      <c r="I17" s="38"/>
      <c r="J17" s="4">
        <v>220786.31</v>
      </c>
      <c r="K17" s="38"/>
      <c r="M17" t="s">
        <v>95</v>
      </c>
      <c r="P17" s="4">
        <v>91846.64</v>
      </c>
      <c r="Q17" s="4"/>
      <c r="R17" s="4">
        <v>130026.4</v>
      </c>
      <c r="S17" s="4"/>
      <c r="T17" s="4">
        <v>127304</v>
      </c>
      <c r="V17" s="4">
        <v>74864.91</v>
      </c>
      <c r="AD17" t="s">
        <v>8</v>
      </c>
      <c r="AG17">
        <v>194787.71</v>
      </c>
    </row>
    <row r="18" spans="1:33" ht="16.5" thickBot="1" x14ac:dyDescent="0.9">
      <c r="A18" s="223" t="s">
        <v>8</v>
      </c>
      <c r="B18" s="223"/>
      <c r="C18" s="223"/>
      <c r="D18" s="41">
        <v>284318.83</v>
      </c>
      <c r="E18" s="40"/>
      <c r="F18" s="41">
        <f>194787.71-39499</f>
        <v>155288.71</v>
      </c>
      <c r="G18" s="40"/>
      <c r="H18" s="142">
        <f t="shared" si="2"/>
        <v>284318.83</v>
      </c>
      <c r="I18" s="38"/>
      <c r="J18" s="8">
        <v>194787.71</v>
      </c>
      <c r="K18" s="38"/>
      <c r="M18" t="s">
        <v>8</v>
      </c>
      <c r="P18" s="8">
        <v>85325.54</v>
      </c>
      <c r="Q18" s="4"/>
      <c r="R18" s="8">
        <v>88687.01999999999</v>
      </c>
      <c r="S18" s="4"/>
      <c r="T18" s="8">
        <v>65387</v>
      </c>
      <c r="V18" s="8">
        <v>44919.270000000004</v>
      </c>
      <c r="AD18" t="s">
        <v>51</v>
      </c>
      <c r="AG18">
        <v>683784.9</v>
      </c>
    </row>
    <row r="19" spans="1:33" x14ac:dyDescent="0.75">
      <c r="A19" s="221" t="s">
        <v>51</v>
      </c>
      <c r="B19" s="223"/>
      <c r="C19" s="223"/>
      <c r="D19" s="37">
        <f>SUM(D14:D18)</f>
        <v>1326414.55</v>
      </c>
      <c r="E19" s="40"/>
      <c r="F19" s="37">
        <f>SUM(F14:F18)</f>
        <v>814896.23</v>
      </c>
      <c r="G19" s="40"/>
      <c r="H19" s="37">
        <f>SUM(H14:H18)</f>
        <v>1291014.29</v>
      </c>
      <c r="I19" s="38"/>
      <c r="J19" s="37">
        <f>SUM(J14:J18)</f>
        <v>683784.9</v>
      </c>
      <c r="K19" s="38"/>
      <c r="M19" t="s">
        <v>51</v>
      </c>
      <c r="P19" s="1">
        <v>479702.17000000004</v>
      </c>
      <c r="Q19" s="4"/>
      <c r="R19" s="1">
        <v>336441.76</v>
      </c>
      <c r="S19" s="4"/>
      <c r="T19" s="1">
        <v>281485</v>
      </c>
      <c r="V19" s="1">
        <v>281485</v>
      </c>
    </row>
    <row r="20" spans="1:33" ht="16.5" thickBot="1" x14ac:dyDescent="0.9">
      <c r="A20" s="223"/>
      <c r="B20" s="223"/>
      <c r="C20" s="223"/>
      <c r="D20" s="41"/>
      <c r="E20" s="40"/>
      <c r="F20" s="41"/>
      <c r="G20" s="40"/>
      <c r="H20" s="44"/>
      <c r="I20" s="38"/>
      <c r="J20" s="41"/>
      <c r="K20" s="38"/>
      <c r="P20" s="8"/>
      <c r="R20" s="203"/>
      <c r="T20" s="206"/>
      <c r="V20" s="203"/>
      <c r="AD20" t="s">
        <v>14</v>
      </c>
      <c r="AG20">
        <v>-59309.440000000061</v>
      </c>
    </row>
    <row r="21" spans="1:33" x14ac:dyDescent="0.75">
      <c r="A21" s="221" t="s">
        <v>525</v>
      </c>
      <c r="B21" s="221"/>
      <c r="C21" s="221"/>
      <c r="D21" s="37">
        <f>+D12-D19</f>
        <v>-894688.53999999992</v>
      </c>
      <c r="E21" s="37"/>
      <c r="F21" s="37">
        <f>+F12-F19</f>
        <v>-214531.77000000002</v>
      </c>
      <c r="G21" s="37"/>
      <c r="H21" s="37">
        <f>+H12-H19</f>
        <v>-859288.27999999991</v>
      </c>
      <c r="I21" s="38"/>
      <c r="J21" s="37">
        <f>+J12-J19</f>
        <v>-83420.440000000061</v>
      </c>
      <c r="K21" s="38"/>
      <c r="M21" s="1" t="s">
        <v>230</v>
      </c>
      <c r="N21" s="1"/>
      <c r="O21" s="1"/>
      <c r="P21" s="1">
        <v>-383452.85000000003</v>
      </c>
      <c r="Q21" s="1"/>
      <c r="R21" s="1">
        <v>-252651.38999999998</v>
      </c>
      <c r="S21" s="1"/>
      <c r="T21" s="1">
        <v>-199581</v>
      </c>
      <c r="V21" s="1">
        <v>-199581</v>
      </c>
    </row>
    <row r="22" spans="1:33" ht="11.75" customHeight="1" x14ac:dyDescent="0.75">
      <c r="A22" s="224"/>
      <c r="B22" s="224"/>
      <c r="C22" s="224"/>
      <c r="D22" s="38"/>
      <c r="E22" s="38"/>
      <c r="F22" s="38"/>
      <c r="G22" s="38"/>
      <c r="H22" s="38"/>
      <c r="I22" s="38"/>
      <c r="J22" s="37"/>
      <c r="K22" s="38"/>
      <c r="P22" s="4"/>
      <c r="AD22" t="s">
        <v>52</v>
      </c>
      <c r="AG22">
        <v>-58464.9</v>
      </c>
    </row>
    <row r="23" spans="1:33" x14ac:dyDescent="0.75">
      <c r="A23" s="224" t="s">
        <v>52</v>
      </c>
      <c r="B23" s="224"/>
      <c r="C23" s="224"/>
      <c r="D23" s="40">
        <f>+H23</f>
        <v>-75101.17</v>
      </c>
      <c r="E23" s="40"/>
      <c r="F23" s="40">
        <v>-53354</v>
      </c>
      <c r="G23" s="38"/>
      <c r="H23" s="142">
        <f t="shared" ref="H23:H27" si="3">+P23+R23+T23+V23+X23</f>
        <v>-75101.17</v>
      </c>
      <c r="I23" s="38"/>
      <c r="J23" s="4">
        <v>-58464.9</v>
      </c>
      <c r="K23" s="38"/>
      <c r="M23" t="s">
        <v>52</v>
      </c>
      <c r="P23" s="4">
        <v>-20116.28</v>
      </c>
      <c r="Q23" s="4"/>
      <c r="R23" s="4">
        <v>-13557.59</v>
      </c>
      <c r="S23" s="4"/>
      <c r="T23" s="4">
        <v>-22380</v>
      </c>
      <c r="V23" s="4">
        <v>-19508</v>
      </c>
      <c r="X23" s="170">
        <v>460.7</v>
      </c>
      <c r="AD23" t="s">
        <v>48</v>
      </c>
      <c r="AG23">
        <v>0</v>
      </c>
    </row>
    <row r="24" spans="1:33" x14ac:dyDescent="0.75">
      <c r="A24" s="224" t="s">
        <v>48</v>
      </c>
      <c r="B24" s="224"/>
      <c r="C24" s="224"/>
      <c r="D24" s="40">
        <v>-317547.43</v>
      </c>
      <c r="E24" s="40"/>
      <c r="F24" s="40">
        <v>-78679</v>
      </c>
      <c r="G24" s="38"/>
      <c r="H24" s="142">
        <f t="shared" si="3"/>
        <v>-148503.38</v>
      </c>
      <c r="I24" s="38"/>
      <c r="J24" s="4">
        <v>-108548.85</v>
      </c>
      <c r="K24" s="38"/>
      <c r="M24" t="s">
        <v>48</v>
      </c>
      <c r="P24" s="4">
        <v>-93200.61</v>
      </c>
      <c r="Q24" s="4"/>
      <c r="R24" s="4">
        <v>-55302.770000000004</v>
      </c>
      <c r="S24" s="4"/>
      <c r="T24" s="4">
        <v>0</v>
      </c>
      <c r="V24" s="4">
        <v>0</v>
      </c>
      <c r="AD24" t="s">
        <v>38</v>
      </c>
      <c r="AG24">
        <v>-93188.86</v>
      </c>
    </row>
    <row r="25" spans="1:33" x14ac:dyDescent="0.75">
      <c r="A25" s="223" t="s">
        <v>38</v>
      </c>
      <c r="B25" s="224"/>
      <c r="C25" s="224"/>
      <c r="D25" s="40">
        <f>+H25</f>
        <v>-87340.950000000012</v>
      </c>
      <c r="E25" s="40"/>
      <c r="F25" s="40">
        <v>-37076</v>
      </c>
      <c r="G25" s="38"/>
      <c r="H25" s="142">
        <f t="shared" si="3"/>
        <v>-87340.950000000012</v>
      </c>
      <c r="I25" s="38"/>
      <c r="J25" s="4">
        <v>-93188.86</v>
      </c>
      <c r="K25" s="38"/>
      <c r="M25" t="s">
        <v>38</v>
      </c>
      <c r="P25" s="4">
        <v>-21954.639999999999</v>
      </c>
      <c r="Q25" s="4"/>
      <c r="R25" s="4">
        <v>-21739.71</v>
      </c>
      <c r="S25" s="4"/>
      <c r="T25" s="4">
        <v>-24884</v>
      </c>
      <c r="V25" s="4">
        <v>-9425</v>
      </c>
      <c r="X25" s="4">
        <v>-9337.6</v>
      </c>
      <c r="AD25" t="s">
        <v>39</v>
      </c>
      <c r="AG25">
        <v>-36459.35</v>
      </c>
    </row>
    <row r="26" spans="1:33" x14ac:dyDescent="0.75">
      <c r="A26" s="223" t="s">
        <v>39</v>
      </c>
      <c r="B26" s="224"/>
      <c r="C26" s="224"/>
      <c r="D26" s="40">
        <f>+H26</f>
        <v>-37177.680000000008</v>
      </c>
      <c r="E26" s="40"/>
      <c r="F26" s="40">
        <v>-81659</v>
      </c>
      <c r="G26" s="38"/>
      <c r="H26" s="142">
        <f t="shared" si="3"/>
        <v>-37177.680000000008</v>
      </c>
      <c r="I26" s="38"/>
      <c r="J26" s="4">
        <v>-36459.35</v>
      </c>
      <c r="K26" s="38"/>
      <c r="M26" t="s">
        <v>39</v>
      </c>
      <c r="P26" s="4">
        <v>-9345.2199999999993</v>
      </c>
      <c r="Q26" s="4"/>
      <c r="R26" s="4">
        <v>-10136.94</v>
      </c>
      <c r="S26" s="4"/>
      <c r="T26" s="4">
        <v>-9986</v>
      </c>
      <c r="V26" s="4">
        <v>-24678</v>
      </c>
      <c r="X26" s="4">
        <v>16968.48</v>
      </c>
    </row>
    <row r="27" spans="1:33" x14ac:dyDescent="0.75">
      <c r="A27" s="224" t="s">
        <v>498</v>
      </c>
      <c r="B27" s="224"/>
      <c r="C27" s="224"/>
      <c r="D27" s="40">
        <v>-150907</v>
      </c>
      <c r="E27" s="40"/>
      <c r="F27" s="40">
        <v>-144576</v>
      </c>
      <c r="G27" s="38"/>
      <c r="H27" s="142">
        <f t="shared" si="3"/>
        <v>-37933</v>
      </c>
      <c r="I27" s="38"/>
      <c r="J27" s="40">
        <v>-192262</v>
      </c>
      <c r="K27" s="38"/>
      <c r="M27" s="170" t="s">
        <v>498</v>
      </c>
      <c r="P27" s="4">
        <v>-37933</v>
      </c>
      <c r="Q27" s="4"/>
      <c r="R27" s="4"/>
      <c r="S27" s="4"/>
      <c r="T27" s="4"/>
      <c r="V27" s="4"/>
      <c r="AD27" t="s">
        <v>15</v>
      </c>
      <c r="AG27">
        <v>-247422.55000000008</v>
      </c>
    </row>
    <row r="28" spans="1:33" ht="7.25" customHeight="1" thickBot="1" x14ac:dyDescent="0.9">
      <c r="A28" s="224"/>
      <c r="B28" s="224"/>
      <c r="C28" s="224"/>
      <c r="D28" s="41"/>
      <c r="E28" s="40"/>
      <c r="F28" s="41"/>
      <c r="G28" s="38"/>
      <c r="H28" s="44"/>
      <c r="I28" s="38"/>
      <c r="J28" s="41"/>
      <c r="K28" s="38"/>
      <c r="M28" s="170"/>
      <c r="P28" s="8"/>
      <c r="Q28" s="4"/>
      <c r="R28" s="8"/>
      <c r="S28" s="4"/>
      <c r="T28" s="8"/>
      <c r="V28" s="8"/>
    </row>
    <row r="29" spans="1:33" x14ac:dyDescent="0.75">
      <c r="A29" s="222" t="s">
        <v>515</v>
      </c>
      <c r="B29" s="222"/>
      <c r="C29" s="222"/>
      <c r="D29" s="37">
        <f>SUM(D21:D28)</f>
        <v>-1562762.7699999998</v>
      </c>
      <c r="E29" s="37"/>
      <c r="F29" s="37">
        <f>SUM(F21:F28)</f>
        <v>-609875.77</v>
      </c>
      <c r="G29" s="39"/>
      <c r="H29" s="43">
        <f>SUM(H21:H28)</f>
        <v>-1245344.46</v>
      </c>
      <c r="I29" s="38"/>
      <c r="J29" s="43">
        <f>SUM(J21:J28)</f>
        <v>-572344.4</v>
      </c>
      <c r="K29" s="170"/>
      <c r="M29" s="9" t="s">
        <v>15</v>
      </c>
      <c r="P29" s="208">
        <f>SUM(P23:P28)+P21</f>
        <v>-566002.60000000009</v>
      </c>
      <c r="Q29" s="209"/>
      <c r="R29" s="208">
        <f>SUM(R23:R28)+R21</f>
        <v>-353388.4</v>
      </c>
      <c r="S29" s="209"/>
      <c r="T29" s="208">
        <f>SUM(T23:T28)+T21</f>
        <v>-256831</v>
      </c>
      <c r="V29" s="208">
        <f>SUM(V23:V28)+V21</f>
        <v>-253192</v>
      </c>
    </row>
    <row r="30" spans="1:33" ht="10.75" customHeight="1" x14ac:dyDescent="0.75">
      <c r="A30" s="224"/>
      <c r="B30" s="224"/>
      <c r="C30" s="224"/>
      <c r="D30" s="38"/>
      <c r="E30" s="38"/>
      <c r="F30" s="38"/>
      <c r="H30" s="170"/>
      <c r="I30" s="170"/>
      <c r="J30" s="170"/>
      <c r="K30" s="170"/>
      <c r="P30" s="4"/>
      <c r="R30" s="4"/>
      <c r="T30" s="4"/>
      <c r="V30" s="4"/>
    </row>
    <row r="31" spans="1:33" x14ac:dyDescent="0.75">
      <c r="A31" s="224" t="s">
        <v>108</v>
      </c>
      <c r="B31" s="224"/>
      <c r="C31" s="224"/>
      <c r="D31" s="40">
        <v>216.05</v>
      </c>
      <c r="E31" s="40"/>
      <c r="F31" s="40">
        <v>70</v>
      </c>
      <c r="H31" s="202">
        <f>+'QIV IS 2020'!B87</f>
        <v>33.1</v>
      </c>
      <c r="I31" s="170"/>
      <c r="J31" s="202">
        <v>0</v>
      </c>
      <c r="K31" s="170"/>
      <c r="M31" s="170" t="s">
        <v>108</v>
      </c>
      <c r="P31" s="4">
        <v>33.1</v>
      </c>
      <c r="R31" s="4">
        <v>33.1</v>
      </c>
      <c r="T31" s="4">
        <v>33.1</v>
      </c>
      <c r="V31" s="4">
        <v>33.1</v>
      </c>
    </row>
    <row r="32" spans="1:33" ht="8.25" customHeight="1" thickBot="1" x14ac:dyDescent="0.9">
      <c r="A32" s="224"/>
      <c r="B32" s="224"/>
      <c r="C32" s="224"/>
      <c r="D32" s="41"/>
      <c r="E32" s="40"/>
      <c r="F32" s="41"/>
      <c r="H32" s="203"/>
      <c r="I32" s="170"/>
      <c r="J32" s="203"/>
      <c r="K32" s="170"/>
      <c r="M32" s="170"/>
      <c r="P32" s="8"/>
      <c r="R32" s="8"/>
      <c r="T32" s="8"/>
      <c r="V32" s="8"/>
    </row>
    <row r="33" spans="1:22" ht="16.5" thickBot="1" x14ac:dyDescent="0.9">
      <c r="A33" s="222" t="s">
        <v>514</v>
      </c>
      <c r="B33" s="224"/>
      <c r="C33" s="224"/>
      <c r="D33" s="37">
        <f>+D29+D31</f>
        <v>-1562546.7199999997</v>
      </c>
      <c r="E33" s="40"/>
      <c r="F33" s="37">
        <f>+F29+F31</f>
        <v>-609805.77</v>
      </c>
      <c r="H33" s="207">
        <f>+H29+H31</f>
        <v>-1245311.3599999999</v>
      </c>
      <c r="I33" s="170"/>
      <c r="J33" s="207">
        <f>+J29+J31</f>
        <v>-572344.4</v>
      </c>
      <c r="K33" s="170"/>
      <c r="M33" s="9" t="s">
        <v>32</v>
      </c>
      <c r="P33" s="1">
        <f>+P29+P31</f>
        <v>-565969.50000000012</v>
      </c>
      <c r="Q33" s="9"/>
      <c r="R33" s="1">
        <f>+R29+R31</f>
        <v>-353355.30000000005</v>
      </c>
      <c r="S33" s="9"/>
      <c r="T33" s="1">
        <f>+T29+T31</f>
        <v>-256797.9</v>
      </c>
      <c r="V33" s="1">
        <f>+V29+V31</f>
        <v>-253158.9</v>
      </c>
    </row>
    <row r="34" spans="1:22" x14ac:dyDescent="0.75">
      <c r="D34" s="4"/>
      <c r="E34" s="4"/>
      <c r="F34" s="4"/>
    </row>
    <row r="35" spans="1:22" x14ac:dyDescent="0.75">
      <c r="A35" s="225" t="s">
        <v>518</v>
      </c>
      <c r="D35" s="4">
        <v>-26464</v>
      </c>
    </row>
    <row r="36" spans="1:22" x14ac:dyDescent="0.75">
      <c r="A36" s="225" t="s">
        <v>519</v>
      </c>
      <c r="D36" s="4"/>
    </row>
    <row r="37" spans="1:22" ht="16.5" thickBot="1" x14ac:dyDescent="0.9">
      <c r="A37" s="225" t="s">
        <v>520</v>
      </c>
      <c r="D37" s="8">
        <v>-48516</v>
      </c>
      <c r="F37" s="203"/>
    </row>
    <row r="39" spans="1:22" ht="16.5" thickBot="1" x14ac:dyDescent="0.9">
      <c r="A39" s="226" t="s">
        <v>521</v>
      </c>
      <c r="D39" s="217">
        <f>+D33+D35+D37</f>
        <v>-1637526.7199999997</v>
      </c>
      <c r="F39" s="217">
        <f>+F33+F35+F37</f>
        <v>-609805.77</v>
      </c>
    </row>
    <row r="41" spans="1:22" ht="16.5" thickBot="1" x14ac:dyDescent="0.9">
      <c r="A41" s="226" t="s">
        <v>522</v>
      </c>
      <c r="D41" s="218">
        <v>-0.04</v>
      </c>
      <c r="F41" s="219">
        <v>-0.01</v>
      </c>
    </row>
    <row r="43" spans="1:22" x14ac:dyDescent="0.75">
      <c r="A43" s="226" t="s">
        <v>523</v>
      </c>
    </row>
    <row r="44" spans="1:22" ht="16.5" thickBot="1" x14ac:dyDescent="0.9">
      <c r="A44" s="226" t="s">
        <v>524</v>
      </c>
      <c r="D44" s="220">
        <v>46036213</v>
      </c>
      <c r="F44" s="216">
        <v>46011786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9D29-CB4E-46D2-8557-41A25F9366EE}">
  <dimension ref="A1:N55"/>
  <sheetViews>
    <sheetView showGridLines="0" workbookViewId="0">
      <selection sqref="A1:G32"/>
    </sheetView>
  </sheetViews>
  <sheetFormatPr defaultRowHeight="15.75" x14ac:dyDescent="0.75"/>
  <cols>
    <col min="1" max="2" width="8.7265625" style="225"/>
    <col min="3" max="3" width="31.7265625" style="225" customWidth="1"/>
    <col min="4" max="4" width="11.58984375" style="225" customWidth="1"/>
    <col min="5" max="5" width="7.81640625" style="225" customWidth="1"/>
    <col min="6" max="6" width="12.58984375" style="225" customWidth="1"/>
    <col min="7" max="7" width="8.81640625" style="225" bestFit="1" customWidth="1"/>
    <col min="8" max="12" width="8.7265625" style="225"/>
    <col min="13" max="13" width="13.54296875" style="225" customWidth="1"/>
    <col min="14" max="14" width="10.5" style="225" bestFit="1" customWidth="1"/>
    <col min="15" max="16384" width="8.7265625" style="225"/>
  </cols>
  <sheetData>
    <row r="1" spans="1:14" x14ac:dyDescent="0.75">
      <c r="A1" s="221" t="s">
        <v>37</v>
      </c>
      <c r="B1" s="221"/>
      <c r="C1" s="221"/>
      <c r="D1" s="221"/>
      <c r="E1" s="224"/>
      <c r="F1" s="221"/>
      <c r="G1" s="224"/>
      <c r="N1" s="238" t="s">
        <v>516</v>
      </c>
    </row>
    <row r="2" spans="1:14" x14ac:dyDescent="0.75">
      <c r="A2" s="221" t="s">
        <v>489</v>
      </c>
      <c r="B2" s="221"/>
      <c r="C2" s="221"/>
      <c r="D2" s="239">
        <v>2020</v>
      </c>
      <c r="E2" s="240"/>
      <c r="F2" s="239">
        <v>2019</v>
      </c>
      <c r="G2" s="224"/>
      <c r="K2" s="237" t="s">
        <v>37</v>
      </c>
      <c r="L2" s="237"/>
      <c r="M2" s="237"/>
      <c r="N2" s="237"/>
    </row>
    <row r="3" spans="1:14" x14ac:dyDescent="0.75">
      <c r="A3" s="222" t="s">
        <v>50</v>
      </c>
      <c r="B3" s="223"/>
      <c r="C3" s="223"/>
      <c r="D3" s="223"/>
      <c r="E3" s="224"/>
      <c r="F3" s="223"/>
      <c r="G3" s="224"/>
      <c r="K3" s="237" t="s">
        <v>488</v>
      </c>
      <c r="L3" s="237"/>
      <c r="M3" s="237"/>
      <c r="N3" s="241">
        <v>2019</v>
      </c>
    </row>
    <row r="4" spans="1:14" x14ac:dyDescent="0.75">
      <c r="A4" s="223"/>
      <c r="B4" s="223"/>
      <c r="C4" s="223"/>
      <c r="D4" s="223"/>
      <c r="E4" s="224"/>
      <c r="F4" s="223"/>
      <c r="G4" s="224"/>
      <c r="K4" s="237" t="s">
        <v>50</v>
      </c>
      <c r="L4" s="242"/>
      <c r="M4" s="242"/>
      <c r="N4" s="242"/>
    </row>
    <row r="5" spans="1:14" x14ac:dyDescent="0.75">
      <c r="A5" s="223" t="s">
        <v>84</v>
      </c>
      <c r="B5" s="223"/>
      <c r="C5" s="223"/>
      <c r="D5" s="223">
        <f>+'QIV IS 2020'!B62</f>
        <v>65250</v>
      </c>
      <c r="E5" s="224"/>
      <c r="F5" s="223">
        <f>+N6</f>
        <v>179470</v>
      </c>
      <c r="G5" s="224"/>
      <c r="K5" s="242"/>
      <c r="L5" s="242"/>
      <c r="M5" s="242"/>
      <c r="N5" s="242"/>
    </row>
    <row r="6" spans="1:14" x14ac:dyDescent="0.75">
      <c r="A6" s="223" t="s">
        <v>2</v>
      </c>
      <c r="B6" s="223"/>
      <c r="C6" s="223"/>
      <c r="D6" s="223">
        <f>+'QIV IS 2020'!B63</f>
        <v>95230.840000000026</v>
      </c>
      <c r="E6" s="224"/>
      <c r="F6" s="223">
        <f>+N7</f>
        <v>70171</v>
      </c>
      <c r="G6" s="224"/>
      <c r="K6" s="242" t="s">
        <v>84</v>
      </c>
      <c r="L6" s="242"/>
      <c r="M6" s="242"/>
      <c r="N6" s="242">
        <v>179470</v>
      </c>
    </row>
    <row r="7" spans="1:14" ht="16.5" thickBot="1" x14ac:dyDescent="0.9">
      <c r="A7" s="223" t="s">
        <v>83</v>
      </c>
      <c r="B7" s="223"/>
      <c r="C7" s="223"/>
      <c r="D7" s="230">
        <f>+'QIV IS 2020'!B64</f>
        <v>1407.1199999999662</v>
      </c>
      <c r="E7" s="224"/>
      <c r="F7" s="230">
        <f>+N8</f>
        <v>1748</v>
      </c>
      <c r="G7" s="224"/>
      <c r="K7" s="242" t="s">
        <v>2</v>
      </c>
      <c r="L7" s="242"/>
      <c r="M7" s="242"/>
      <c r="N7" s="242">
        <v>70171</v>
      </c>
    </row>
    <row r="8" spans="1:14" x14ac:dyDescent="0.75">
      <c r="A8" s="221" t="s">
        <v>4</v>
      </c>
      <c r="B8" s="221"/>
      <c r="C8" s="221"/>
      <c r="D8" s="231">
        <f>SUM(D5:D7)</f>
        <v>161887.96</v>
      </c>
      <c r="E8" s="224"/>
      <c r="F8" s="221">
        <f>SUM(F5:F7)</f>
        <v>251389</v>
      </c>
      <c r="G8" s="224"/>
      <c r="K8" s="242" t="s">
        <v>83</v>
      </c>
      <c r="L8" s="242"/>
      <c r="M8" s="242"/>
      <c r="N8" s="242">
        <v>1748</v>
      </c>
    </row>
    <row r="9" spans="1:14" x14ac:dyDescent="0.75">
      <c r="A9" s="223"/>
      <c r="B9" s="223"/>
      <c r="C9" s="223"/>
      <c r="D9" s="224"/>
      <c r="E9" s="224"/>
      <c r="F9" s="223"/>
      <c r="G9" s="224"/>
      <c r="K9" s="237" t="s">
        <v>4</v>
      </c>
      <c r="L9" s="237"/>
      <c r="M9" s="237"/>
      <c r="N9" s="243">
        <f>SUM(N6:N8)</f>
        <v>251389</v>
      </c>
    </row>
    <row r="10" spans="1:14" x14ac:dyDescent="0.75">
      <c r="A10" s="223" t="s">
        <v>5</v>
      </c>
      <c r="B10" s="224"/>
      <c r="C10" s="224"/>
      <c r="D10" s="223">
        <f>+'QIV IS 2020'!B67</f>
        <v>65638.64</v>
      </c>
      <c r="E10" s="224"/>
      <c r="F10" s="223">
        <f>+N11</f>
        <v>96921.45</v>
      </c>
      <c r="G10" s="224"/>
      <c r="K10" s="242"/>
      <c r="L10" s="242"/>
      <c r="M10" s="242"/>
      <c r="N10" s="242"/>
    </row>
    <row r="11" spans="1:14" ht="16.5" thickBot="1" x14ac:dyDescent="0.9">
      <c r="A11" s="223"/>
      <c r="B11" s="223"/>
      <c r="C11" s="223"/>
      <c r="D11" s="232"/>
      <c r="E11" s="224"/>
      <c r="F11" s="230"/>
      <c r="G11" s="224"/>
      <c r="K11" s="242" t="s">
        <v>5</v>
      </c>
      <c r="L11" s="242"/>
      <c r="M11" s="242"/>
      <c r="N11" s="244">
        <v>96921.45</v>
      </c>
    </row>
    <row r="12" spans="1:14" x14ac:dyDescent="0.75">
      <c r="A12" s="221" t="s">
        <v>6</v>
      </c>
      <c r="B12" s="221"/>
      <c r="C12" s="221"/>
      <c r="D12" s="221">
        <f>+D8-D10</f>
        <v>96249.319999999992</v>
      </c>
      <c r="E12" s="233">
        <f>+D12/D8</f>
        <v>0.59454279367038787</v>
      </c>
      <c r="F12" s="221">
        <f>+F8-F10</f>
        <v>154467.54999999999</v>
      </c>
      <c r="G12" s="233">
        <f>+F12/F8</f>
        <v>0.61445628090330118</v>
      </c>
      <c r="K12" s="242"/>
      <c r="L12" s="242"/>
      <c r="M12" s="242"/>
      <c r="N12" s="242"/>
    </row>
    <row r="13" spans="1:14" x14ac:dyDescent="0.75">
      <c r="A13" s="223"/>
      <c r="B13" s="223"/>
      <c r="C13" s="223"/>
      <c r="D13" s="224"/>
      <c r="E13" s="224"/>
      <c r="F13" s="223"/>
      <c r="G13" s="224"/>
      <c r="K13" s="237" t="s">
        <v>6</v>
      </c>
      <c r="L13" s="237"/>
      <c r="M13" s="237"/>
      <c r="N13" s="243">
        <f>+N9-N11</f>
        <v>154467.54999999999</v>
      </c>
    </row>
    <row r="14" spans="1:14" x14ac:dyDescent="0.75">
      <c r="A14" s="223" t="s">
        <v>504</v>
      </c>
      <c r="B14" s="223"/>
      <c r="C14" s="223"/>
      <c r="D14" s="223">
        <f>+'QIV IS 2020'!B71-1</f>
        <v>265558.56000000006</v>
      </c>
      <c r="E14" s="224"/>
      <c r="F14" s="223">
        <f>+N15</f>
        <v>63860</v>
      </c>
      <c r="G14" s="224"/>
      <c r="K14" s="242"/>
      <c r="L14" s="242"/>
      <c r="M14" s="242"/>
      <c r="N14" s="242"/>
    </row>
    <row r="15" spans="1:14" x14ac:dyDescent="0.75">
      <c r="A15" s="223" t="s">
        <v>13</v>
      </c>
      <c r="B15" s="223"/>
      <c r="C15" s="223"/>
      <c r="D15" s="223">
        <f>+'QIV IS 2020'!B72</f>
        <v>36970.43</v>
      </c>
      <c r="E15" s="224"/>
      <c r="F15" s="223">
        <f>+N16</f>
        <v>14377.509999999998</v>
      </c>
      <c r="G15" s="224"/>
      <c r="K15" s="242" t="s">
        <v>12</v>
      </c>
      <c r="L15" s="242"/>
      <c r="M15" s="242"/>
      <c r="N15" s="244">
        <v>63860</v>
      </c>
    </row>
    <row r="16" spans="1:14" x14ac:dyDescent="0.75">
      <c r="A16" s="223" t="s">
        <v>95</v>
      </c>
      <c r="B16" s="223"/>
      <c r="C16" s="223"/>
      <c r="D16" s="223">
        <f>+'QIV IS 2020'!B73</f>
        <v>91846.64</v>
      </c>
      <c r="E16" s="224"/>
      <c r="F16" s="223">
        <f>+N17</f>
        <v>53517.97</v>
      </c>
      <c r="G16" s="224"/>
      <c r="K16" s="245" t="s">
        <v>13</v>
      </c>
      <c r="L16" s="245"/>
      <c r="M16" s="245"/>
      <c r="N16" s="245">
        <v>14377.509999999998</v>
      </c>
    </row>
    <row r="17" spans="1:14" ht="16.5" thickBot="1" x14ac:dyDescent="0.9">
      <c r="A17" s="223" t="s">
        <v>8</v>
      </c>
      <c r="B17" s="223"/>
      <c r="C17" s="223"/>
      <c r="D17" s="230">
        <f>+'QIV IS 2020'!B74</f>
        <v>85325.54</v>
      </c>
      <c r="E17" s="224"/>
      <c r="F17" s="230">
        <f>+N18</f>
        <v>45026.880000000005</v>
      </c>
      <c r="G17" s="224"/>
      <c r="K17" s="244" t="s">
        <v>109</v>
      </c>
      <c r="L17" s="244"/>
      <c r="M17" s="244"/>
      <c r="N17" s="244">
        <v>53517.97</v>
      </c>
    </row>
    <row r="18" spans="1:14" ht="16.5" thickBot="1" x14ac:dyDescent="0.9">
      <c r="A18" s="221" t="s">
        <v>51</v>
      </c>
      <c r="B18" s="223"/>
      <c r="C18" s="223"/>
      <c r="D18" s="221">
        <f>SUM(D14:D17)</f>
        <v>479701.17000000004</v>
      </c>
      <c r="E18" s="224"/>
      <c r="F18" s="221">
        <f>SUM(F14:F17)</f>
        <v>176782.36</v>
      </c>
      <c r="G18" s="224"/>
      <c r="K18" s="246" t="s">
        <v>8</v>
      </c>
      <c r="L18" s="246"/>
      <c r="M18" s="246"/>
      <c r="N18" s="247">
        <v>45026.880000000005</v>
      </c>
    </row>
    <row r="19" spans="1:14" ht="16.5" thickBot="1" x14ac:dyDescent="0.9">
      <c r="A19" s="223"/>
      <c r="B19" s="223"/>
      <c r="C19" s="223"/>
      <c r="D19" s="232"/>
      <c r="E19" s="224"/>
      <c r="F19" s="230"/>
      <c r="G19" s="224"/>
      <c r="K19" s="237" t="s">
        <v>51</v>
      </c>
      <c r="L19" s="242"/>
      <c r="M19" s="242"/>
      <c r="N19" s="237">
        <f>SUM(N15:N18)</f>
        <v>176782.36</v>
      </c>
    </row>
    <row r="20" spans="1:14" x14ac:dyDescent="0.75">
      <c r="A20" s="221" t="s">
        <v>525</v>
      </c>
      <c r="B20" s="221"/>
      <c r="C20" s="221"/>
      <c r="D20" s="221">
        <f>+D12-D18</f>
        <v>-383451.85000000003</v>
      </c>
      <c r="E20" s="224"/>
      <c r="F20" s="221">
        <f>+F12-F18</f>
        <v>-22314.809999999998</v>
      </c>
      <c r="G20" s="224"/>
      <c r="K20" s="242"/>
      <c r="L20" s="242"/>
      <c r="M20" s="242"/>
      <c r="N20" s="242"/>
    </row>
    <row r="21" spans="1:14" x14ac:dyDescent="0.75">
      <c r="A21" s="224"/>
      <c r="B21" s="224"/>
      <c r="C21" s="224"/>
      <c r="D21" s="224"/>
      <c r="E21" s="224"/>
      <c r="F21" s="221"/>
      <c r="G21" s="224"/>
      <c r="K21" s="237" t="s">
        <v>14</v>
      </c>
      <c r="L21" s="237"/>
      <c r="M21" s="237"/>
      <c r="N21" s="243">
        <f>+N13-N19</f>
        <v>-22314.809999999998</v>
      </c>
    </row>
    <row r="22" spans="1:14" x14ac:dyDescent="0.75">
      <c r="A22" s="224" t="s">
        <v>52</v>
      </c>
      <c r="B22" s="224"/>
      <c r="C22" s="224"/>
      <c r="D22" s="223">
        <f>+'QIV IS 2020'!B79</f>
        <v>-20116.28</v>
      </c>
      <c r="E22" s="224"/>
      <c r="F22" s="223">
        <f>+N23</f>
        <v>-19138</v>
      </c>
      <c r="G22" s="224"/>
      <c r="K22" s="242"/>
      <c r="L22" s="242"/>
      <c r="M22" s="242"/>
      <c r="N22" s="242"/>
    </row>
    <row r="23" spans="1:14" x14ac:dyDescent="0.75">
      <c r="A23" s="224" t="s">
        <v>48</v>
      </c>
      <c r="B23" s="224"/>
      <c r="C23" s="224"/>
      <c r="D23" s="223">
        <f>+'QIV IS 2020'!B80</f>
        <v>-93200.61</v>
      </c>
      <c r="E23" s="224"/>
      <c r="F23" s="223">
        <f>+N24</f>
        <v>-17369</v>
      </c>
      <c r="G23" s="224"/>
      <c r="K23" s="242" t="s">
        <v>52</v>
      </c>
      <c r="L23" s="242"/>
      <c r="M23" s="242"/>
      <c r="N23" s="244">
        <v>-19138</v>
      </c>
    </row>
    <row r="24" spans="1:14" x14ac:dyDescent="0.75">
      <c r="A24" s="223" t="s">
        <v>38</v>
      </c>
      <c r="B24" s="224"/>
      <c r="C24" s="224"/>
      <c r="D24" s="242">
        <f>+'QIV IS 2020'!B81</f>
        <v>-21954.639999999999</v>
      </c>
      <c r="E24" s="224"/>
      <c r="F24" s="223">
        <f>+N25</f>
        <v>-21954</v>
      </c>
      <c r="G24" s="224"/>
      <c r="K24" s="242" t="s">
        <v>82</v>
      </c>
      <c r="L24" s="242"/>
      <c r="M24" s="242"/>
      <c r="N24" s="244">
        <v>-17369</v>
      </c>
    </row>
    <row r="25" spans="1:14" x14ac:dyDescent="0.75">
      <c r="A25" s="223" t="s">
        <v>39</v>
      </c>
      <c r="B25" s="224"/>
      <c r="C25" s="224"/>
      <c r="D25" s="223">
        <f>+'QIV IS 2020'!B82</f>
        <v>-9345.2199999999993</v>
      </c>
      <c r="E25" s="224"/>
      <c r="F25" s="223">
        <f>+N26</f>
        <v>-9948</v>
      </c>
      <c r="G25" s="224"/>
      <c r="K25" s="242" t="s">
        <v>38</v>
      </c>
      <c r="L25" s="242"/>
      <c r="M25" s="242"/>
      <c r="N25" s="244">
        <v>-21954</v>
      </c>
    </row>
    <row r="26" spans="1:14" x14ac:dyDescent="0.75">
      <c r="A26" s="225" t="s">
        <v>526</v>
      </c>
      <c r="B26" s="224"/>
      <c r="C26" s="224"/>
      <c r="D26" s="223">
        <f>+'QIV IS 2020'!B83</f>
        <v>-37933</v>
      </c>
      <c r="E26" s="224"/>
      <c r="F26" s="223">
        <f>+N27</f>
        <v>-37933</v>
      </c>
      <c r="G26" s="224"/>
      <c r="K26" s="242" t="s">
        <v>39</v>
      </c>
      <c r="L26" s="242"/>
      <c r="M26" s="242"/>
      <c r="N26" s="248">
        <v>-9948</v>
      </c>
    </row>
    <row r="27" spans="1:14" ht="16.5" thickBot="1" x14ac:dyDescent="0.9">
      <c r="B27" s="224"/>
      <c r="C27" s="224"/>
      <c r="D27" s="232"/>
      <c r="E27" s="224"/>
      <c r="F27" s="230"/>
      <c r="G27" s="224"/>
      <c r="K27" s="242" t="s">
        <v>517</v>
      </c>
      <c r="L27" s="242"/>
      <c r="M27" s="242"/>
      <c r="N27" s="249">
        <v>-37933</v>
      </c>
    </row>
    <row r="28" spans="1:14" x14ac:dyDescent="0.75">
      <c r="A28" s="222" t="s">
        <v>15</v>
      </c>
      <c r="B28" s="222"/>
      <c r="C28" s="222"/>
      <c r="D28" s="231">
        <f>SUM(D20:D27)</f>
        <v>-566001.6</v>
      </c>
      <c r="E28" s="224"/>
      <c r="F28" s="231">
        <f>SUM(F20:F27)</f>
        <v>-128656.81</v>
      </c>
      <c r="K28" s="237" t="s">
        <v>15</v>
      </c>
      <c r="L28" s="237"/>
      <c r="M28" s="237"/>
      <c r="N28" s="250">
        <f>SUM(N21:N27)</f>
        <v>-128656.81</v>
      </c>
    </row>
    <row r="29" spans="1:14" x14ac:dyDescent="0.75">
      <c r="D29" s="240"/>
      <c r="K29" s="251"/>
      <c r="L29" s="251"/>
      <c r="M29" s="251"/>
      <c r="N29" s="242"/>
    </row>
    <row r="30" spans="1:14" ht="16.5" thickBot="1" x14ac:dyDescent="0.9">
      <c r="A30" s="225" t="s">
        <v>108</v>
      </c>
      <c r="D30" s="252">
        <f>+'QIV IS 2020'!B87</f>
        <v>33.1</v>
      </c>
      <c r="F30" s="252">
        <v>0</v>
      </c>
      <c r="M30" s="253"/>
      <c r="N30" s="254" t="s">
        <v>150</v>
      </c>
    </row>
    <row r="31" spans="1:14" ht="17.25" thickTop="1" thickBot="1" x14ac:dyDescent="0.9">
      <c r="D31" s="255"/>
      <c r="F31" s="255"/>
      <c r="M31" s="256" t="s">
        <v>155</v>
      </c>
      <c r="N31" s="257">
        <v>404.27</v>
      </c>
    </row>
    <row r="32" spans="1:14" ht="16.5" thickBot="1" x14ac:dyDescent="0.9">
      <c r="A32" s="226" t="s">
        <v>32</v>
      </c>
      <c r="D32" s="258">
        <f>+D28+D30</f>
        <v>-565968.5</v>
      </c>
      <c r="F32" s="258">
        <f>+F28+F30</f>
        <v>-128656.81</v>
      </c>
      <c r="M32" s="256" t="s">
        <v>156</v>
      </c>
      <c r="N32" s="257">
        <v>622.77</v>
      </c>
    </row>
    <row r="33" spans="13:14" x14ac:dyDescent="0.75">
      <c r="M33" s="256" t="s">
        <v>157</v>
      </c>
      <c r="N33" s="257">
        <v>2121.27</v>
      </c>
    </row>
    <row r="34" spans="13:14" x14ac:dyDescent="0.75">
      <c r="M34" s="256" t="s">
        <v>87</v>
      </c>
      <c r="N34" s="257">
        <v>7587.61</v>
      </c>
    </row>
    <row r="35" spans="13:14" x14ac:dyDescent="0.75">
      <c r="M35" s="256" t="s">
        <v>158</v>
      </c>
      <c r="N35" s="257">
        <v>1736.31</v>
      </c>
    </row>
    <row r="36" spans="13:14" x14ac:dyDescent="0.75">
      <c r="M36" s="256" t="s">
        <v>110</v>
      </c>
      <c r="N36" s="257">
        <v>3928.84</v>
      </c>
    </row>
    <row r="37" spans="13:14" x14ac:dyDescent="0.75">
      <c r="M37" s="256" t="s">
        <v>159</v>
      </c>
      <c r="N37" s="257">
        <v>511.89</v>
      </c>
    </row>
    <row r="38" spans="13:14" x14ac:dyDescent="0.75">
      <c r="M38" s="256" t="s">
        <v>160</v>
      </c>
      <c r="N38" s="257">
        <v>1140</v>
      </c>
    </row>
    <row r="39" spans="13:14" x14ac:dyDescent="0.75">
      <c r="M39" s="256" t="s">
        <v>88</v>
      </c>
      <c r="N39" s="259">
        <v>130300</v>
      </c>
    </row>
    <row r="40" spans="13:14" x14ac:dyDescent="0.75">
      <c r="M40" s="256" t="s">
        <v>111</v>
      </c>
      <c r="N40" s="259">
        <v>5500</v>
      </c>
    </row>
    <row r="41" spans="13:14" x14ac:dyDescent="0.75">
      <c r="M41" s="256" t="s">
        <v>89</v>
      </c>
      <c r="N41" s="257">
        <v>47530</v>
      </c>
    </row>
    <row r="42" spans="13:14" x14ac:dyDescent="0.75">
      <c r="M42" s="256" t="s">
        <v>161</v>
      </c>
      <c r="N42" s="257">
        <v>536.37</v>
      </c>
    </row>
    <row r="43" spans="13:14" x14ac:dyDescent="0.75">
      <c r="M43" s="256" t="s">
        <v>162</v>
      </c>
      <c r="N43" s="257">
        <v>2326.27</v>
      </c>
    </row>
    <row r="44" spans="13:14" x14ac:dyDescent="0.75">
      <c r="M44" s="256" t="s">
        <v>163</v>
      </c>
      <c r="N44" s="257">
        <v>528.46</v>
      </c>
    </row>
    <row r="45" spans="13:14" x14ac:dyDescent="0.75">
      <c r="M45" s="256" t="s">
        <v>90</v>
      </c>
      <c r="N45" s="259">
        <v>45370.6</v>
      </c>
    </row>
    <row r="46" spans="13:14" ht="16.5" thickBot="1" x14ac:dyDescent="0.9">
      <c r="M46" s="256" t="s">
        <v>164</v>
      </c>
      <c r="N46" s="257">
        <v>1120.51</v>
      </c>
    </row>
    <row r="47" spans="13:14" ht="16.5" thickBot="1" x14ac:dyDescent="0.9">
      <c r="M47" s="256"/>
      <c r="N47" s="260">
        <v>251265.17</v>
      </c>
    </row>
    <row r="48" spans="13:14" ht="17.25" thickTop="1" thickBot="1" x14ac:dyDescent="0.9">
      <c r="M48" s="261" t="s">
        <v>113</v>
      </c>
      <c r="N48" s="262">
        <v>1824.52</v>
      </c>
    </row>
    <row r="49" spans="12:14" ht="16.5" thickBot="1" x14ac:dyDescent="0.9">
      <c r="M49" s="261"/>
      <c r="N49" s="263">
        <v>253089.69</v>
      </c>
    </row>
    <row r="50" spans="12:14" ht="16.5" thickTop="1" x14ac:dyDescent="0.75">
      <c r="M50" s="261"/>
      <c r="N50" s="261"/>
    </row>
    <row r="51" spans="12:14" x14ac:dyDescent="0.75">
      <c r="L51" s="261" t="s">
        <v>84</v>
      </c>
      <c r="N51" s="264">
        <v>181170.6</v>
      </c>
    </row>
    <row r="52" spans="12:14" x14ac:dyDescent="0.75">
      <c r="L52" s="261" t="s">
        <v>92</v>
      </c>
      <c r="N52" s="265">
        <v>70094.570000000007</v>
      </c>
    </row>
    <row r="53" spans="12:14" ht="16.5" thickBot="1" x14ac:dyDescent="0.9">
      <c r="L53" s="261" t="s">
        <v>113</v>
      </c>
      <c r="N53" s="266">
        <v>1824.52</v>
      </c>
    </row>
    <row r="54" spans="12:14" ht="16.5" thickBot="1" x14ac:dyDescent="0.9">
      <c r="M54" s="261"/>
      <c r="N54" s="263">
        <v>253089.69</v>
      </c>
    </row>
    <row r="55" spans="12:14" ht="16.5" thickTop="1" x14ac:dyDescent="0.7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2880-3310-447F-9C07-828E2EE82AA5}">
  <dimension ref="A1:I116"/>
  <sheetViews>
    <sheetView workbookViewId="0">
      <selection activeCell="B81" sqref="B81"/>
    </sheetView>
  </sheetViews>
  <sheetFormatPr defaultRowHeight="14.75" x14ac:dyDescent="0.75"/>
  <cols>
    <col min="1" max="1" width="41.6328125" style="166" customWidth="1"/>
    <col min="2" max="2" width="15.40625" style="90" customWidth="1"/>
    <col min="3" max="3" width="10.86328125" bestFit="1" customWidth="1"/>
    <col min="7" max="7" width="13.5" customWidth="1"/>
  </cols>
  <sheetData>
    <row r="1" spans="1:9" s="166" customFormat="1" x14ac:dyDescent="0.75">
      <c r="B1" s="90"/>
    </row>
    <row r="2" spans="1:9" s="166" customFormat="1" x14ac:dyDescent="0.75">
      <c r="B2" s="90"/>
    </row>
    <row r="3" spans="1:9" ht="18" x14ac:dyDescent="0.8">
      <c r="A3" s="210" t="s">
        <v>37</v>
      </c>
      <c r="B3" s="211"/>
      <c r="C3" s="4"/>
      <c r="D3" s="4"/>
      <c r="E3" s="4"/>
      <c r="F3" s="4"/>
      <c r="G3" s="4"/>
      <c r="H3" s="4"/>
    </row>
    <row r="4" spans="1:9" ht="18" x14ac:dyDescent="0.8">
      <c r="A4" s="210" t="s">
        <v>490</v>
      </c>
      <c r="B4" s="211"/>
      <c r="C4" s="29"/>
      <c r="D4" s="29"/>
      <c r="E4" s="29"/>
      <c r="F4" s="29"/>
      <c r="G4" s="29"/>
    </row>
    <row r="5" spans="1:9" s="166" customFormat="1" ht="18" x14ac:dyDescent="0.8">
      <c r="A5" s="171"/>
      <c r="B5" s="90"/>
      <c r="D5" s="29"/>
      <c r="E5" s="29"/>
      <c r="F5" s="29"/>
      <c r="G5" s="29"/>
      <c r="H5" s="72"/>
    </row>
    <row r="6" spans="1:9" ht="15.5" thickBot="1" x14ac:dyDescent="0.9">
      <c r="B6" s="212" t="s">
        <v>494</v>
      </c>
      <c r="C6" s="213"/>
      <c r="D6" s="29"/>
      <c r="E6" s="29"/>
      <c r="F6" s="29"/>
      <c r="G6" s="29"/>
      <c r="H6" s="51" t="s">
        <v>150</v>
      </c>
      <c r="I6" s="166"/>
    </row>
    <row r="7" spans="1:9" ht="15.5" thickTop="1" x14ac:dyDescent="0.75">
      <c r="C7" s="29"/>
      <c r="D7" s="29"/>
      <c r="E7" s="29"/>
      <c r="F7" s="29"/>
      <c r="G7" s="29"/>
      <c r="H7" s="72"/>
      <c r="I7" s="166"/>
    </row>
    <row r="8" spans="1:9" x14ac:dyDescent="0.75">
      <c r="A8" s="101"/>
      <c r="C8" s="29"/>
      <c r="D8" s="29"/>
      <c r="E8" s="29"/>
      <c r="F8" s="29"/>
      <c r="G8" s="29"/>
      <c r="H8" s="72"/>
      <c r="I8" s="166"/>
    </row>
    <row r="9" spans="1:9" x14ac:dyDescent="0.75">
      <c r="B9" s="174"/>
      <c r="C9" s="29"/>
      <c r="D9" s="19"/>
      <c r="E9" s="19"/>
      <c r="F9" s="19"/>
      <c r="G9" s="19"/>
      <c r="H9" s="20"/>
    </row>
    <row r="10" spans="1:9" x14ac:dyDescent="0.75">
      <c r="A10" s="103" t="s">
        <v>59</v>
      </c>
      <c r="B10" s="187">
        <v>161887.96</v>
      </c>
      <c r="C10" s="29"/>
      <c r="D10" s="19"/>
      <c r="E10" s="19" t="s">
        <v>59</v>
      </c>
      <c r="F10" s="19"/>
      <c r="G10" s="19"/>
      <c r="H10" s="31">
        <v>253089.69</v>
      </c>
    </row>
    <row r="11" spans="1:9" x14ac:dyDescent="0.75">
      <c r="A11" s="103"/>
      <c r="C11" s="29"/>
      <c r="D11" s="19"/>
      <c r="E11" s="19" t="s">
        <v>97</v>
      </c>
      <c r="F11" s="19"/>
      <c r="G11" s="19"/>
      <c r="H11" s="20"/>
    </row>
    <row r="12" spans="1:9" ht="15.5" thickBot="1" x14ac:dyDescent="0.9">
      <c r="A12" s="103" t="s">
        <v>241</v>
      </c>
      <c r="B12" s="172">
        <v>65638.64</v>
      </c>
      <c r="D12" s="19"/>
      <c r="E12" s="19"/>
      <c r="F12" s="19" t="s">
        <v>5</v>
      </c>
      <c r="G12" s="19"/>
      <c r="H12" s="20">
        <v>73150.86</v>
      </c>
    </row>
    <row r="13" spans="1:9" ht="15.5" thickBot="1" x14ac:dyDescent="0.9">
      <c r="A13" s="103" t="s">
        <v>242</v>
      </c>
      <c r="B13" s="187">
        <v>65638.64</v>
      </c>
      <c r="C13" s="19"/>
      <c r="D13" s="19"/>
      <c r="E13" s="19" t="s">
        <v>98</v>
      </c>
      <c r="F13" s="19"/>
      <c r="G13" s="19"/>
      <c r="H13" s="48">
        <f>ROUND(SUM(H11:H12),5)</f>
        <v>73150.86</v>
      </c>
    </row>
    <row r="14" spans="1:9" x14ac:dyDescent="0.75">
      <c r="A14" s="103" t="s">
        <v>6</v>
      </c>
      <c r="B14" s="187">
        <v>96249.319999999992</v>
      </c>
      <c r="C14" s="19"/>
      <c r="D14" s="19" t="s">
        <v>6</v>
      </c>
      <c r="E14" s="19"/>
      <c r="F14" s="19"/>
      <c r="G14" s="19"/>
      <c r="H14" s="31">
        <f>ROUND(H10-H13,5)</f>
        <v>179938.83</v>
      </c>
    </row>
    <row r="15" spans="1:9" x14ac:dyDescent="0.75">
      <c r="A15" s="103" t="s">
        <v>243</v>
      </c>
      <c r="B15" s="174"/>
      <c r="C15" s="19"/>
      <c r="D15" s="19"/>
      <c r="E15" s="19" t="s">
        <v>60</v>
      </c>
      <c r="F15" s="19"/>
      <c r="G15" s="19"/>
      <c r="H15" s="20"/>
    </row>
    <row r="16" spans="1:9" x14ac:dyDescent="0.75">
      <c r="A16" s="132" t="s">
        <v>244</v>
      </c>
      <c r="B16" s="175">
        <v>0</v>
      </c>
      <c r="C16" s="19"/>
      <c r="D16" s="19"/>
      <c r="E16" s="19"/>
      <c r="F16" s="19" t="s">
        <v>7</v>
      </c>
      <c r="G16" s="19"/>
      <c r="H16" s="34">
        <v>10362.040000000001</v>
      </c>
    </row>
    <row r="17" spans="1:8" x14ac:dyDescent="0.75">
      <c r="A17" s="103" t="s">
        <v>491</v>
      </c>
      <c r="B17" s="180">
        <v>13211</v>
      </c>
      <c r="C17" s="19"/>
      <c r="D17" s="19" t="s">
        <v>61</v>
      </c>
      <c r="E17" s="19"/>
      <c r="F17" s="34">
        <v>0</v>
      </c>
    </row>
    <row r="18" spans="1:8" x14ac:dyDescent="0.75">
      <c r="A18" s="103" t="s">
        <v>247</v>
      </c>
      <c r="B18" s="183">
        <v>811.87</v>
      </c>
      <c r="C18" s="19"/>
      <c r="D18" s="19" t="s">
        <v>62</v>
      </c>
      <c r="E18" s="19"/>
      <c r="F18" s="34">
        <v>270</v>
      </c>
    </row>
    <row r="19" spans="1:8" x14ac:dyDescent="0.75">
      <c r="A19" s="103" t="s">
        <v>248</v>
      </c>
      <c r="B19" s="186">
        <v>15000</v>
      </c>
      <c r="C19" s="19"/>
      <c r="D19" s="19" t="s">
        <v>63</v>
      </c>
      <c r="E19" s="19"/>
      <c r="F19" s="34">
        <v>481.55</v>
      </c>
    </row>
    <row r="20" spans="1:8" x14ac:dyDescent="0.75">
      <c r="A20" s="103" t="s">
        <v>250</v>
      </c>
      <c r="B20" s="173">
        <v>20116.28</v>
      </c>
      <c r="C20" s="19"/>
      <c r="D20" s="19"/>
      <c r="E20" s="19"/>
      <c r="F20" s="19" t="s">
        <v>64</v>
      </c>
      <c r="G20" s="19"/>
      <c r="H20" s="49">
        <v>1854.01</v>
      </c>
    </row>
    <row r="21" spans="1:8" x14ac:dyDescent="0.75">
      <c r="A21" s="103" t="s">
        <v>251</v>
      </c>
      <c r="B21" s="176">
        <v>260.97000000000003</v>
      </c>
      <c r="C21" s="19"/>
      <c r="D21" s="19"/>
      <c r="E21" s="19"/>
      <c r="F21" s="19" t="s">
        <v>65</v>
      </c>
      <c r="G21" s="19"/>
      <c r="H21" s="20">
        <v>39948.68</v>
      </c>
    </row>
    <row r="22" spans="1:8" x14ac:dyDescent="0.75">
      <c r="A22" s="103" t="s">
        <v>492</v>
      </c>
      <c r="B22" s="176">
        <v>85</v>
      </c>
      <c r="C22" s="19"/>
      <c r="D22" s="19"/>
      <c r="E22" s="19"/>
      <c r="F22" s="19" t="s">
        <v>66</v>
      </c>
      <c r="G22" s="19"/>
      <c r="H22" s="33">
        <v>770.32</v>
      </c>
    </row>
    <row r="23" spans="1:8" x14ac:dyDescent="0.75">
      <c r="A23" s="103" t="s">
        <v>252</v>
      </c>
      <c r="B23" s="186">
        <v>680.64</v>
      </c>
      <c r="C23" s="19"/>
      <c r="D23" s="19"/>
      <c r="E23" s="19"/>
      <c r="F23" s="19" t="s">
        <v>93</v>
      </c>
      <c r="G23" s="19"/>
      <c r="H23" s="34">
        <v>1306.77</v>
      </c>
    </row>
    <row r="24" spans="1:8" x14ac:dyDescent="0.75">
      <c r="A24" s="103" t="s">
        <v>255</v>
      </c>
      <c r="B24" s="177">
        <v>7473.84</v>
      </c>
      <c r="C24" s="19"/>
      <c r="D24" s="19"/>
      <c r="E24" s="19"/>
      <c r="F24" s="19" t="s">
        <v>67</v>
      </c>
      <c r="G24" s="19"/>
      <c r="H24" s="49">
        <v>18579.23</v>
      </c>
    </row>
    <row r="25" spans="1:8" x14ac:dyDescent="0.75">
      <c r="A25" s="103" t="s">
        <v>258</v>
      </c>
      <c r="B25" s="177">
        <v>7636.5199999999995</v>
      </c>
      <c r="C25" s="19"/>
      <c r="D25" s="19"/>
      <c r="E25" s="19"/>
      <c r="F25" s="19" t="s">
        <v>68</v>
      </c>
      <c r="G25" s="19"/>
      <c r="H25" s="20">
        <v>132</v>
      </c>
    </row>
    <row r="26" spans="1:8" x14ac:dyDescent="0.75">
      <c r="A26" s="103" t="s">
        <v>493</v>
      </c>
      <c r="B26" s="176">
        <v>175</v>
      </c>
      <c r="C26" s="19"/>
      <c r="D26" s="19"/>
      <c r="E26" s="19"/>
      <c r="F26" s="19" t="s">
        <v>85</v>
      </c>
      <c r="G26" s="19"/>
      <c r="H26" s="34">
        <v>-5605.53</v>
      </c>
    </row>
    <row r="27" spans="1:8" x14ac:dyDescent="0.75">
      <c r="A27" s="103" t="s">
        <v>259</v>
      </c>
      <c r="B27" s="182">
        <v>2737.44</v>
      </c>
      <c r="C27" s="19"/>
      <c r="D27" s="19"/>
      <c r="E27" s="19"/>
      <c r="F27" s="19" t="s">
        <v>69</v>
      </c>
      <c r="G27" s="19"/>
      <c r="H27" s="20">
        <v>6698.21</v>
      </c>
    </row>
    <row r="28" spans="1:8" x14ac:dyDescent="0.75">
      <c r="A28" s="103" t="s">
        <v>260</v>
      </c>
      <c r="B28" s="186">
        <v>509.55</v>
      </c>
      <c r="C28" s="19"/>
      <c r="D28" s="19"/>
      <c r="E28" s="19"/>
      <c r="F28" s="19" t="s">
        <v>100</v>
      </c>
      <c r="G28" s="19"/>
      <c r="H28" s="20"/>
    </row>
    <row r="29" spans="1:8" x14ac:dyDescent="0.75">
      <c r="A29" s="103" t="s">
        <v>261</v>
      </c>
      <c r="B29" s="176">
        <v>15.34</v>
      </c>
      <c r="C29" s="19"/>
      <c r="D29" s="19"/>
      <c r="E29" s="19"/>
      <c r="F29" s="19"/>
      <c r="G29" s="19" t="s">
        <v>121</v>
      </c>
      <c r="H29" s="20">
        <v>6258.17</v>
      </c>
    </row>
    <row r="30" spans="1:8" x14ac:dyDescent="0.75">
      <c r="A30" s="103" t="s">
        <v>263</v>
      </c>
      <c r="B30" s="184">
        <v>78606.64</v>
      </c>
      <c r="C30" s="19"/>
      <c r="D30" s="19"/>
      <c r="E30" s="19"/>
      <c r="F30" s="19"/>
      <c r="G30" s="19" t="s">
        <v>122</v>
      </c>
      <c r="H30" s="20">
        <v>1745.91</v>
      </c>
    </row>
    <row r="31" spans="1:8" x14ac:dyDescent="0.75">
      <c r="A31" s="103" t="s">
        <v>264</v>
      </c>
      <c r="B31" s="184">
        <v>5940</v>
      </c>
      <c r="C31" s="19"/>
      <c r="D31" s="19"/>
      <c r="E31" s="19"/>
      <c r="F31" s="19"/>
      <c r="G31" s="19" t="s">
        <v>123</v>
      </c>
      <c r="H31" s="49">
        <v>9331.6200000000008</v>
      </c>
    </row>
    <row r="32" spans="1:8" ht="15.5" thickBot="1" x14ac:dyDescent="0.9">
      <c r="A32" s="103" t="s">
        <v>265</v>
      </c>
      <c r="B32" s="184">
        <v>7300</v>
      </c>
      <c r="C32" s="19"/>
      <c r="D32" s="19"/>
      <c r="E32" s="19"/>
      <c r="F32" s="19"/>
      <c r="G32" s="19" t="s">
        <v>124</v>
      </c>
      <c r="H32" s="67">
        <v>24266.93</v>
      </c>
    </row>
    <row r="33" spans="1:8" x14ac:dyDescent="0.75">
      <c r="A33" s="103" t="s">
        <v>269</v>
      </c>
      <c r="B33" s="185">
        <v>4801.72</v>
      </c>
      <c r="C33" s="19"/>
      <c r="D33" s="19"/>
      <c r="E33" s="19"/>
      <c r="F33" s="19" t="s">
        <v>125</v>
      </c>
      <c r="G33" s="19"/>
      <c r="H33" s="20">
        <f>ROUND(SUM(H28:H32),5)</f>
        <v>41602.629999999997</v>
      </c>
    </row>
    <row r="34" spans="1:8" x14ac:dyDescent="0.75">
      <c r="A34" s="103" t="s">
        <v>272</v>
      </c>
      <c r="B34" s="181">
        <v>29042.49</v>
      </c>
      <c r="C34" s="19"/>
      <c r="D34" s="19"/>
      <c r="E34" s="19"/>
      <c r="F34" s="19" t="s">
        <v>70</v>
      </c>
      <c r="G34" s="19"/>
      <c r="H34" s="20">
        <v>60</v>
      </c>
    </row>
    <row r="35" spans="1:8" x14ac:dyDescent="0.75">
      <c r="A35" s="103" t="s">
        <v>276</v>
      </c>
      <c r="B35" s="177">
        <v>4249.2</v>
      </c>
      <c r="C35" s="19"/>
      <c r="D35" s="19"/>
      <c r="E35" s="19"/>
      <c r="F35" s="19" t="s">
        <v>126</v>
      </c>
      <c r="G35" s="19"/>
      <c r="H35" s="20">
        <v>-4519.66</v>
      </c>
    </row>
    <row r="36" spans="1:8" x14ac:dyDescent="0.75">
      <c r="A36" s="103" t="s">
        <v>277</v>
      </c>
      <c r="B36" s="186">
        <v>671.24</v>
      </c>
      <c r="C36" s="19"/>
      <c r="D36" s="19"/>
      <c r="E36" s="19"/>
      <c r="F36" s="19" t="s">
        <v>71</v>
      </c>
      <c r="G36" s="19"/>
      <c r="H36" s="36">
        <v>610.74</v>
      </c>
    </row>
    <row r="37" spans="1:8" x14ac:dyDescent="0.75">
      <c r="A37" s="132" t="s">
        <v>495</v>
      </c>
      <c r="B37" s="190">
        <f>12500*3+10000*3+5000*3+25000*3</f>
        <v>157500</v>
      </c>
      <c r="C37" s="19"/>
      <c r="D37" s="19"/>
      <c r="E37" s="19"/>
      <c r="F37" s="19" t="s">
        <v>73</v>
      </c>
      <c r="G37" s="19"/>
      <c r="H37" s="33">
        <v>52747.65</v>
      </c>
    </row>
    <row r="38" spans="1:8" x14ac:dyDescent="0.75">
      <c r="A38" s="132" t="s">
        <v>496</v>
      </c>
      <c r="B38" s="185">
        <f>204452.59-157500</f>
        <v>46952.59</v>
      </c>
      <c r="C38" s="19"/>
      <c r="D38" s="19"/>
      <c r="E38" s="19"/>
      <c r="F38" s="19" t="s">
        <v>74</v>
      </c>
      <c r="G38" s="19"/>
      <c r="H38" s="36">
        <v>7170.57</v>
      </c>
    </row>
    <row r="39" spans="1:8" x14ac:dyDescent="0.75">
      <c r="A39" s="103" t="s">
        <v>281</v>
      </c>
      <c r="B39" s="176">
        <v>64317.22</v>
      </c>
      <c r="C39" s="19"/>
      <c r="D39" s="19"/>
      <c r="E39" s="19"/>
      <c r="F39" s="19" t="s">
        <v>76</v>
      </c>
      <c r="G39" s="19"/>
      <c r="H39" s="34">
        <v>675</v>
      </c>
    </row>
    <row r="40" spans="1:8" x14ac:dyDescent="0.75">
      <c r="A40" s="103" t="s">
        <v>282</v>
      </c>
      <c r="B40" s="176">
        <v>2034.07</v>
      </c>
      <c r="C40" s="19"/>
      <c r="D40" s="19"/>
      <c r="E40" s="19"/>
      <c r="F40" s="19" t="s">
        <v>77</v>
      </c>
      <c r="G40" s="19"/>
      <c r="H40" s="34">
        <v>23719.05</v>
      </c>
    </row>
    <row r="41" spans="1:8" x14ac:dyDescent="0.75">
      <c r="A41" s="103" t="s">
        <v>283</v>
      </c>
      <c r="B41" s="175">
        <v>93200.61</v>
      </c>
      <c r="C41" s="19"/>
      <c r="D41" s="19"/>
      <c r="E41" s="19"/>
      <c r="F41" s="19" t="s">
        <v>78</v>
      </c>
      <c r="G41" s="19"/>
      <c r="H41" s="20">
        <v>1800</v>
      </c>
    </row>
    <row r="42" spans="1:8" x14ac:dyDescent="0.75">
      <c r="A42" s="103" t="s">
        <v>284</v>
      </c>
      <c r="B42" s="186">
        <v>16709.8</v>
      </c>
      <c r="C42" s="19"/>
      <c r="D42" s="19"/>
      <c r="E42" s="19"/>
      <c r="F42" s="19" t="s">
        <v>79</v>
      </c>
      <c r="G42" s="19"/>
      <c r="H42" s="34">
        <v>13818</v>
      </c>
    </row>
    <row r="43" spans="1:8" x14ac:dyDescent="0.75">
      <c r="A43" s="103" t="s">
        <v>290</v>
      </c>
      <c r="B43" s="181">
        <v>5190.5</v>
      </c>
      <c r="C43" s="19"/>
      <c r="D43" s="19"/>
      <c r="E43" s="19"/>
      <c r="F43" s="19" t="s">
        <v>80</v>
      </c>
      <c r="G43" s="19"/>
      <c r="H43" s="36">
        <v>6596.2</v>
      </c>
    </row>
    <row r="44" spans="1:8" ht="15.5" thickBot="1" x14ac:dyDescent="0.9">
      <c r="A44" s="103" t="s">
        <v>294</v>
      </c>
      <c r="B44" s="177">
        <v>4028.09</v>
      </c>
      <c r="C44" s="19"/>
      <c r="D44" s="19"/>
      <c r="E44" s="19"/>
      <c r="F44" s="19" t="s">
        <v>81</v>
      </c>
      <c r="G44" s="19"/>
      <c r="H44" s="20">
        <v>7477.33</v>
      </c>
    </row>
    <row r="45" spans="1:8" ht="15.5" thickBot="1" x14ac:dyDescent="0.9">
      <c r="A45" s="103" t="s">
        <v>296</v>
      </c>
      <c r="B45" s="176">
        <v>574.64</v>
      </c>
      <c r="C45" s="19"/>
      <c r="D45" s="19"/>
      <c r="E45" s="19" t="s">
        <v>102</v>
      </c>
      <c r="F45" s="19"/>
      <c r="G45" s="19"/>
      <c r="H45" s="21">
        <f>ROUND(SUM(H15:H27)+SUM(H33:H44),5)</f>
        <v>225803.24</v>
      </c>
    </row>
    <row r="46" spans="1:8" x14ac:dyDescent="0.75">
      <c r="A46" s="103" t="s">
        <v>297</v>
      </c>
      <c r="B46" s="176">
        <v>3186.8</v>
      </c>
      <c r="C46" s="19"/>
      <c r="D46" s="19"/>
      <c r="E46" s="19"/>
      <c r="F46" s="19"/>
      <c r="G46" s="19"/>
      <c r="H46" s="20">
        <f>ROUND(H9+H14-H45,5)</f>
        <v>-45864.41</v>
      </c>
    </row>
    <row r="47" spans="1:8" x14ac:dyDescent="0.75">
      <c r="A47" s="103" t="s">
        <v>298</v>
      </c>
      <c r="B47" s="175">
        <v>9345.2199999999993</v>
      </c>
      <c r="C47" s="19"/>
      <c r="D47" s="19"/>
      <c r="E47" s="19"/>
      <c r="F47" s="19"/>
      <c r="G47" s="19"/>
      <c r="H47" s="20"/>
    </row>
    <row r="48" spans="1:8" x14ac:dyDescent="0.75">
      <c r="A48" s="103" t="s">
        <v>299</v>
      </c>
      <c r="B48" s="175">
        <v>21954.639999999999</v>
      </c>
      <c r="C48" s="19"/>
      <c r="D48" s="19" t="s">
        <v>105</v>
      </c>
      <c r="E48" s="19"/>
      <c r="F48" s="19"/>
      <c r="G48" s="19"/>
      <c r="H48" s="20"/>
    </row>
    <row r="49" spans="1:8" ht="15.5" thickBot="1" x14ac:dyDescent="0.9">
      <c r="A49" s="103" t="s">
        <v>300</v>
      </c>
      <c r="B49" s="175">
        <v>37933</v>
      </c>
      <c r="C49" s="19" t="s">
        <v>103</v>
      </c>
      <c r="D49" s="19"/>
      <c r="E49" s="19" t="s">
        <v>106</v>
      </c>
      <c r="F49" s="19"/>
      <c r="G49" s="19"/>
      <c r="H49" s="20">
        <v>0.12</v>
      </c>
    </row>
    <row r="50" spans="1:8" ht="15.5" thickBot="1" x14ac:dyDescent="0.9">
      <c r="A50" s="19" t="s">
        <v>102</v>
      </c>
      <c r="B50" s="178">
        <f>SUM(B17:B49)</f>
        <v>662251.92000000004</v>
      </c>
      <c r="D50" s="19" t="s">
        <v>107</v>
      </c>
      <c r="E50" s="19"/>
      <c r="F50" s="19"/>
      <c r="G50" s="19"/>
      <c r="H50" s="22">
        <f>ROUND(SUM(H48:H49),5)</f>
        <v>0.12</v>
      </c>
    </row>
    <row r="51" spans="1:8" ht="15.5" thickBot="1" x14ac:dyDescent="0.9">
      <c r="A51" s="103" t="s">
        <v>302</v>
      </c>
      <c r="B51" s="172">
        <f>+B14-B50</f>
        <v>-566002.60000000009</v>
      </c>
      <c r="D51" s="19"/>
      <c r="E51" s="19"/>
      <c r="F51" s="19"/>
      <c r="G51" s="19"/>
      <c r="H51" s="22">
        <f>ROUND(H47+H50,5)</f>
        <v>0.12</v>
      </c>
    </row>
    <row r="52" spans="1:8" ht="15.5" thickBot="1" x14ac:dyDescent="0.9">
      <c r="A52" s="103" t="s">
        <v>108</v>
      </c>
      <c r="B52" s="172">
        <v>33.1</v>
      </c>
      <c r="C52" s="19"/>
      <c r="D52" s="19"/>
      <c r="E52" s="19"/>
      <c r="F52" s="19"/>
      <c r="G52" s="19"/>
      <c r="H52" s="23">
        <f>ROUND(H46+H51,5)</f>
        <v>-45864.29</v>
      </c>
    </row>
    <row r="53" spans="1:8" ht="15.5" thickTop="1" x14ac:dyDescent="0.75">
      <c r="A53" s="103" t="s">
        <v>32</v>
      </c>
      <c r="B53" s="172">
        <f>+B51+B52</f>
        <v>-565969.50000000012</v>
      </c>
      <c r="C53" s="179">
        <f>+B53-B55</f>
        <v>0</v>
      </c>
      <c r="D53" s="4"/>
      <c r="E53" s="4"/>
      <c r="F53" s="4"/>
      <c r="G53" s="4"/>
      <c r="H53" s="4"/>
    </row>
    <row r="54" spans="1:8" x14ac:dyDescent="0.75">
      <c r="C54" s="19"/>
      <c r="D54" s="4"/>
      <c r="E54" s="4"/>
      <c r="F54" s="4"/>
      <c r="G54" s="4"/>
      <c r="H54" s="4"/>
    </row>
    <row r="55" spans="1:8" x14ac:dyDescent="0.75">
      <c r="B55" s="172">
        <v>-565969.50000000012</v>
      </c>
      <c r="C55" s="19"/>
      <c r="D55" s="4"/>
      <c r="E55" s="4"/>
      <c r="F55" s="4"/>
      <c r="G55" s="4"/>
      <c r="H55" s="4"/>
    </row>
    <row r="56" spans="1:8" x14ac:dyDescent="0.75">
      <c r="C56" s="19" t="s">
        <v>108</v>
      </c>
      <c r="D56" s="4"/>
      <c r="E56" s="4"/>
      <c r="F56" s="4"/>
      <c r="G56" s="4"/>
      <c r="H56" s="4"/>
    </row>
    <row r="57" spans="1:8" x14ac:dyDescent="0.75">
      <c r="C57" s="19"/>
      <c r="D57" s="4"/>
      <c r="E57" s="4"/>
      <c r="F57" s="4"/>
      <c r="G57" s="4"/>
      <c r="H57" s="4"/>
    </row>
    <row r="58" spans="1:8" x14ac:dyDescent="0.75">
      <c r="A58" s="1" t="s">
        <v>37</v>
      </c>
      <c r="B58" s="92"/>
      <c r="C58" s="1"/>
      <c r="D58" s="1"/>
      <c r="E58" s="1" t="s">
        <v>37</v>
      </c>
      <c r="F58" s="1"/>
      <c r="G58" s="1"/>
      <c r="H58" s="1"/>
    </row>
    <row r="59" spans="1:8" x14ac:dyDescent="0.75">
      <c r="A59" s="1" t="s">
        <v>497</v>
      </c>
      <c r="B59" s="2">
        <v>2020</v>
      </c>
      <c r="C59" s="1"/>
      <c r="E59" s="1" t="s">
        <v>497</v>
      </c>
      <c r="F59" s="1"/>
      <c r="G59" s="1"/>
      <c r="H59" s="2">
        <v>2019</v>
      </c>
    </row>
    <row r="60" spans="1:8" x14ac:dyDescent="0.75">
      <c r="A60" s="1" t="s">
        <v>50</v>
      </c>
      <c r="C60" s="4"/>
      <c r="D60" s="4"/>
      <c r="E60" s="1" t="s">
        <v>50</v>
      </c>
      <c r="F60" s="4"/>
      <c r="G60" s="4"/>
      <c r="H60" s="4"/>
    </row>
    <row r="61" spans="1:8" x14ac:dyDescent="0.75">
      <c r="C61" s="4"/>
      <c r="D61" s="4"/>
      <c r="E61" s="4"/>
      <c r="F61" s="4"/>
      <c r="G61" s="4"/>
      <c r="H61" s="4"/>
    </row>
    <row r="62" spans="1:8" x14ac:dyDescent="0.75">
      <c r="A62" s="166" t="s">
        <v>84</v>
      </c>
      <c r="B62" s="4">
        <f>+B110</f>
        <v>65250</v>
      </c>
      <c r="C62" s="4"/>
      <c r="E62" s="4" t="s">
        <v>84</v>
      </c>
      <c r="F62" s="4"/>
      <c r="G62" s="4"/>
      <c r="H62" s="4">
        <v>181171</v>
      </c>
    </row>
    <row r="63" spans="1:8" x14ac:dyDescent="0.75">
      <c r="A63" s="166" t="s">
        <v>2</v>
      </c>
      <c r="B63" s="4">
        <f>+B111</f>
        <v>95230.840000000026</v>
      </c>
      <c r="C63" s="4"/>
      <c r="E63" s="4" t="s">
        <v>2</v>
      </c>
      <c r="F63" s="4"/>
      <c r="G63" s="4"/>
      <c r="H63" s="4">
        <v>70171</v>
      </c>
    </row>
    <row r="64" spans="1:8" x14ac:dyDescent="0.75">
      <c r="A64" s="166" t="s">
        <v>83</v>
      </c>
      <c r="B64" s="200">
        <f>+B112</f>
        <v>1407.1199999999662</v>
      </c>
      <c r="C64" s="4"/>
      <c r="E64" s="4" t="s">
        <v>83</v>
      </c>
      <c r="F64" s="4"/>
      <c r="G64" s="4"/>
      <c r="H64" s="200">
        <v>1748</v>
      </c>
    </row>
    <row r="65" spans="1:8" ht="16" x14ac:dyDescent="0.8">
      <c r="A65" s="9" t="s">
        <v>4</v>
      </c>
      <c r="B65" s="16">
        <v>161887.96</v>
      </c>
      <c r="E65" s="6" t="s">
        <v>4</v>
      </c>
      <c r="F65" s="6"/>
      <c r="G65" s="6"/>
      <c r="H65" s="16">
        <f>+H10</f>
        <v>253089.69</v>
      </c>
    </row>
    <row r="66" spans="1:8" x14ac:dyDescent="0.75">
      <c r="B66" s="4"/>
      <c r="C66" s="4"/>
      <c r="E66" s="4"/>
      <c r="F66" s="4"/>
      <c r="G66" s="4"/>
      <c r="H66" s="4"/>
    </row>
    <row r="67" spans="1:8" x14ac:dyDescent="0.75">
      <c r="A67" s="166" t="s">
        <v>5</v>
      </c>
      <c r="B67" s="15">
        <f>+B13</f>
        <v>65638.64</v>
      </c>
      <c r="C67" s="4"/>
      <c r="E67" s="4" t="s">
        <v>5</v>
      </c>
      <c r="F67" s="4"/>
      <c r="G67" s="4"/>
      <c r="H67" s="15">
        <f>+H13</f>
        <v>73150.86</v>
      </c>
    </row>
    <row r="68" spans="1:8" x14ac:dyDescent="0.75">
      <c r="B68" s="4"/>
      <c r="C68" s="4"/>
      <c r="E68" s="4"/>
      <c r="F68" s="4"/>
      <c r="G68" s="4"/>
      <c r="H68" s="4"/>
    </row>
    <row r="69" spans="1:8" x14ac:dyDescent="0.75">
      <c r="A69" s="9" t="s">
        <v>6</v>
      </c>
      <c r="B69" s="16">
        <f>+B65-B67</f>
        <v>96249.319999999992</v>
      </c>
      <c r="C69" s="4"/>
      <c r="E69" s="1" t="s">
        <v>6</v>
      </c>
      <c r="F69" s="1"/>
      <c r="G69" s="1"/>
      <c r="H69" s="16">
        <f>+H65-H67</f>
        <v>179938.83000000002</v>
      </c>
    </row>
    <row r="70" spans="1:8" x14ac:dyDescent="0.75">
      <c r="B70" s="4"/>
      <c r="C70" s="4"/>
      <c r="E70" s="4"/>
      <c r="F70" s="4"/>
      <c r="G70" s="4"/>
      <c r="H70" s="4"/>
    </row>
    <row r="71" spans="1:8" x14ac:dyDescent="0.75">
      <c r="A71" s="166" t="s">
        <v>12</v>
      </c>
      <c r="B71" s="4">
        <f>+B75-B74-B73-B72</f>
        <v>265559.56000000006</v>
      </c>
      <c r="C71" s="4"/>
      <c r="E71" s="4" t="s">
        <v>12</v>
      </c>
      <c r="F71" s="4"/>
      <c r="G71" s="4"/>
      <c r="H71" s="4">
        <f>+H75-H72-H73-H74</f>
        <v>59600.639999999985</v>
      </c>
    </row>
    <row r="72" spans="1:8" x14ac:dyDescent="0.75">
      <c r="A72" s="188" t="s">
        <v>13</v>
      </c>
      <c r="B72" s="35">
        <f>+B27+B34+B43</f>
        <v>36970.43</v>
      </c>
      <c r="C72" s="4"/>
      <c r="E72" s="35" t="s">
        <v>13</v>
      </c>
      <c r="F72" s="35"/>
      <c r="G72" s="35"/>
      <c r="H72" s="35">
        <f>+H36+H38+H43</f>
        <v>14377.509999999998</v>
      </c>
    </row>
    <row r="73" spans="1:8" x14ac:dyDescent="0.75">
      <c r="A73" s="189" t="s">
        <v>109</v>
      </c>
      <c r="B73" s="32">
        <f>+B30+B31+B32</f>
        <v>91846.64</v>
      </c>
      <c r="C73" s="4"/>
      <c r="E73" s="32" t="s">
        <v>109</v>
      </c>
      <c r="F73" s="32"/>
      <c r="G73" s="32"/>
      <c r="H73" s="32">
        <f>+H22+H37</f>
        <v>53517.97</v>
      </c>
    </row>
    <row r="74" spans="1:8" ht="15.5" thickBot="1" x14ac:dyDescent="0.9">
      <c r="A74" s="191" t="s">
        <v>8</v>
      </c>
      <c r="B74" s="201">
        <f>+B42+B38+B36+B33+B28+B23+B19</f>
        <v>85325.54</v>
      </c>
      <c r="C74" s="4"/>
      <c r="E74" s="24" t="s">
        <v>8</v>
      </c>
      <c r="F74" s="24"/>
      <c r="G74" s="24"/>
      <c r="H74" s="25">
        <f>+H16+F17+F18+F19+H23+H26+H39+H40+H42</f>
        <v>45026.880000000005</v>
      </c>
    </row>
    <row r="75" spans="1:8" x14ac:dyDescent="0.75">
      <c r="A75" s="9" t="s">
        <v>51</v>
      </c>
      <c r="B75" s="1">
        <f>+B50-B49-B48-B47-B20-B16-B41</f>
        <v>479702.17000000004</v>
      </c>
      <c r="C75" s="4"/>
      <c r="E75" s="1" t="s">
        <v>51</v>
      </c>
      <c r="F75" s="4"/>
      <c r="G75" s="4"/>
      <c r="H75" s="1">
        <f>226554.79-H20-H24-H31-H32</f>
        <v>172523</v>
      </c>
    </row>
    <row r="76" spans="1:8" x14ac:dyDescent="0.75">
      <c r="B76" s="4"/>
      <c r="C76" s="4"/>
      <c r="E76" s="4"/>
      <c r="F76" s="4"/>
      <c r="G76" s="4"/>
      <c r="H76" s="4"/>
    </row>
    <row r="77" spans="1:8" x14ac:dyDescent="0.75">
      <c r="A77" s="9" t="s">
        <v>14</v>
      </c>
      <c r="B77" s="1">
        <f>+B69-B75</f>
        <v>-383452.85000000003</v>
      </c>
      <c r="C77" s="4"/>
      <c r="E77" s="1" t="s">
        <v>14</v>
      </c>
      <c r="F77" s="1"/>
      <c r="G77" s="1"/>
      <c r="H77" s="16">
        <f>+H69-H75</f>
        <v>7415.8300000000163</v>
      </c>
    </row>
    <row r="78" spans="1:8" x14ac:dyDescent="0.75">
      <c r="B78" s="4"/>
      <c r="C78" s="4"/>
      <c r="E78" s="4"/>
      <c r="F78" s="4"/>
      <c r="G78" s="4"/>
      <c r="H78" s="4"/>
    </row>
    <row r="79" spans="1:8" x14ac:dyDescent="0.75">
      <c r="A79" s="166" t="s">
        <v>52</v>
      </c>
      <c r="B79" s="58">
        <f>-B16-B20</f>
        <v>-20116.28</v>
      </c>
      <c r="C79" s="4"/>
      <c r="E79" s="4" t="s">
        <v>52</v>
      </c>
      <c r="F79" s="4"/>
      <c r="G79" s="4"/>
      <c r="H79" s="58">
        <f>-H20-H24</f>
        <v>-20433.239999999998</v>
      </c>
    </row>
    <row r="80" spans="1:8" x14ac:dyDescent="0.75">
      <c r="A80" s="166" t="s">
        <v>82</v>
      </c>
      <c r="B80" s="58">
        <f>-B41</f>
        <v>-93200.61</v>
      </c>
      <c r="C80" s="4"/>
      <c r="E80" s="4" t="s">
        <v>82</v>
      </c>
      <c r="F80" s="4"/>
      <c r="G80" s="4"/>
      <c r="H80" s="4"/>
    </row>
    <row r="81" spans="1:8" x14ac:dyDescent="0.75">
      <c r="A81" s="166" t="s">
        <v>38</v>
      </c>
      <c r="B81" s="58">
        <f>-B48</f>
        <v>-21954.639999999999</v>
      </c>
      <c r="C81" s="4"/>
      <c r="E81" s="4" t="s">
        <v>38</v>
      </c>
      <c r="F81" s="4"/>
      <c r="G81" s="4"/>
      <c r="H81" s="58">
        <f>-H32</f>
        <v>-24266.93</v>
      </c>
    </row>
    <row r="82" spans="1:8" ht="15.5" thickBot="1" x14ac:dyDescent="0.9">
      <c r="A82" s="166" t="s">
        <v>39</v>
      </c>
      <c r="B82" s="58">
        <f>-B47</f>
        <v>-9345.2199999999993</v>
      </c>
      <c r="C82" s="4"/>
      <c r="E82" s="4" t="s">
        <v>39</v>
      </c>
      <c r="F82" s="4"/>
      <c r="G82" s="4"/>
      <c r="H82" s="59">
        <f>-H31</f>
        <v>-9331.6200000000008</v>
      </c>
    </row>
    <row r="83" spans="1:8" s="166" customFormat="1" x14ac:dyDescent="0.75">
      <c r="A83" s="166" t="s">
        <v>498</v>
      </c>
      <c r="B83" s="58">
        <f>-B49</f>
        <v>-37933</v>
      </c>
      <c r="C83" s="4"/>
      <c r="E83" s="4"/>
      <c r="F83" s="4"/>
      <c r="G83" s="4"/>
      <c r="H83" s="142"/>
    </row>
    <row r="84" spans="1:8" x14ac:dyDescent="0.75">
      <c r="B84" s="4"/>
      <c r="C84" s="4"/>
      <c r="E84" s="4"/>
      <c r="F84" s="4"/>
      <c r="G84" s="4"/>
      <c r="H84" s="4"/>
    </row>
    <row r="85" spans="1:8" x14ac:dyDescent="0.75">
      <c r="A85" s="9" t="s">
        <v>302</v>
      </c>
      <c r="B85" s="1">
        <f>SUM(B77:B83)</f>
        <v>-566002.6</v>
      </c>
      <c r="C85" s="4"/>
      <c r="E85" s="1" t="s">
        <v>302</v>
      </c>
      <c r="F85" s="1"/>
      <c r="G85" s="1"/>
      <c r="H85" s="16">
        <f>+H77+H79+H80+H81+H82</f>
        <v>-46615.959999999985</v>
      </c>
    </row>
    <row r="86" spans="1:8" x14ac:dyDescent="0.75">
      <c r="B86" s="4"/>
      <c r="C86" s="4"/>
      <c r="E86" s="1"/>
      <c r="F86" s="1"/>
      <c r="G86" s="1"/>
    </row>
    <row r="87" spans="1:8" x14ac:dyDescent="0.75">
      <c r="A87" s="166" t="s">
        <v>108</v>
      </c>
      <c r="B87" s="4">
        <f>+B52</f>
        <v>33.1</v>
      </c>
      <c r="C87" s="4"/>
      <c r="D87" s="4"/>
      <c r="E87" s="166" t="s">
        <v>108</v>
      </c>
      <c r="F87" s="1"/>
      <c r="G87" s="1"/>
    </row>
    <row r="88" spans="1:8" x14ac:dyDescent="0.75">
      <c r="B88" s="4"/>
      <c r="C88" s="4"/>
      <c r="D88" s="4"/>
      <c r="E88" s="166"/>
      <c r="F88" s="1"/>
      <c r="G88" s="1"/>
    </row>
    <row r="89" spans="1:8" x14ac:dyDescent="0.75">
      <c r="A89" s="9" t="s">
        <v>32</v>
      </c>
      <c r="B89" s="1">
        <f>+B85+B87</f>
        <v>-565969.5</v>
      </c>
      <c r="C89" s="4"/>
      <c r="D89" s="4"/>
      <c r="E89" s="9" t="s">
        <v>32</v>
      </c>
      <c r="F89" s="1"/>
      <c r="G89" s="1"/>
      <c r="H89" s="10">
        <f>+H87+H85</f>
        <v>-46615.959999999985</v>
      </c>
    </row>
    <row r="90" spans="1:8" x14ac:dyDescent="0.75">
      <c r="C90" s="4"/>
      <c r="D90" s="4"/>
      <c r="E90" s="56"/>
      <c r="F90" s="56"/>
      <c r="G90" s="56"/>
      <c r="H90" s="4"/>
    </row>
    <row r="91" spans="1:8" ht="15.5" thickBot="1" x14ac:dyDescent="0.9">
      <c r="B91" s="51" t="s">
        <v>499</v>
      </c>
      <c r="C91" s="4"/>
      <c r="D91" s="4"/>
      <c r="E91" s="166"/>
      <c r="F91" s="166"/>
      <c r="G91" s="29"/>
      <c r="H91" s="51" t="s">
        <v>150</v>
      </c>
    </row>
    <row r="92" spans="1:8" ht="15.5" thickTop="1" x14ac:dyDescent="0.75">
      <c r="C92" s="4"/>
      <c r="D92" s="4"/>
      <c r="E92" s="166"/>
      <c r="F92" s="166"/>
      <c r="G92" s="19" t="s">
        <v>155</v>
      </c>
      <c r="H92" s="20">
        <v>404.27</v>
      </c>
    </row>
    <row r="93" spans="1:8" x14ac:dyDescent="0.75">
      <c r="A93" s="192" t="s">
        <v>310</v>
      </c>
      <c r="B93" s="193">
        <v>11301.29</v>
      </c>
      <c r="C93" s="4"/>
      <c r="D93" s="4"/>
      <c r="E93" s="166"/>
      <c r="F93" s="166"/>
      <c r="G93" s="19" t="s">
        <v>156</v>
      </c>
      <c r="H93" s="20">
        <v>622.77</v>
      </c>
    </row>
    <row r="94" spans="1:8" x14ac:dyDescent="0.75">
      <c r="A94" s="192" t="s">
        <v>87</v>
      </c>
      <c r="B94" s="193">
        <v>8376.77</v>
      </c>
      <c r="C94" s="4"/>
      <c r="D94" s="4"/>
      <c r="E94" s="166"/>
      <c r="F94" s="166"/>
      <c r="G94" s="19" t="s">
        <v>157</v>
      </c>
      <c r="H94" s="20">
        <v>2121.27</v>
      </c>
    </row>
    <row r="95" spans="1:8" x14ac:dyDescent="0.75">
      <c r="A95" s="192" t="s">
        <v>158</v>
      </c>
      <c r="B95" s="193">
        <v>1269.0999999999999</v>
      </c>
      <c r="C95" s="4"/>
      <c r="D95" s="4"/>
      <c r="E95" s="166"/>
      <c r="F95" s="166"/>
      <c r="G95" s="19" t="s">
        <v>87</v>
      </c>
      <c r="H95" s="20">
        <v>7587.61</v>
      </c>
    </row>
    <row r="96" spans="1:8" x14ac:dyDescent="0.75">
      <c r="A96" s="192" t="s">
        <v>500</v>
      </c>
      <c r="B96" s="194">
        <v>230.39</v>
      </c>
      <c r="C96" s="4"/>
      <c r="D96" s="4"/>
      <c r="E96" s="166"/>
      <c r="F96" s="166"/>
      <c r="G96" s="19" t="s">
        <v>158</v>
      </c>
      <c r="H96" s="20">
        <v>1736.31</v>
      </c>
    </row>
    <row r="97" spans="1:8" x14ac:dyDescent="0.75">
      <c r="A97" s="192" t="s">
        <v>110</v>
      </c>
      <c r="B97" s="194">
        <v>410</v>
      </c>
      <c r="C97" s="4"/>
      <c r="D97" s="4"/>
      <c r="E97" s="166"/>
      <c r="F97" s="166"/>
      <c r="G97" s="19" t="s">
        <v>110</v>
      </c>
      <c r="H97" s="20">
        <v>3928.84</v>
      </c>
    </row>
    <row r="98" spans="1:8" x14ac:dyDescent="0.75">
      <c r="A98" s="192" t="s">
        <v>160</v>
      </c>
      <c r="B98" s="193">
        <v>1123.2</v>
      </c>
      <c r="C98" s="4"/>
      <c r="D98" s="4"/>
      <c r="E98" s="166"/>
      <c r="F98" s="166"/>
      <c r="G98" s="19" t="s">
        <v>159</v>
      </c>
      <c r="H98" s="20">
        <v>511.89</v>
      </c>
    </row>
    <row r="99" spans="1:8" x14ac:dyDescent="0.75">
      <c r="A99" s="192" t="s">
        <v>88</v>
      </c>
      <c r="B99" s="199">
        <v>58250</v>
      </c>
      <c r="C99" s="4"/>
      <c r="D99" s="4"/>
      <c r="E99" s="166"/>
      <c r="F99" s="166"/>
      <c r="G99" s="19" t="s">
        <v>160</v>
      </c>
      <c r="H99" s="20">
        <v>1140</v>
      </c>
    </row>
    <row r="100" spans="1:8" x14ac:dyDescent="0.75">
      <c r="A100" s="192" t="s">
        <v>111</v>
      </c>
      <c r="B100" s="199">
        <v>7000</v>
      </c>
      <c r="C100" s="4"/>
      <c r="D100" s="4"/>
      <c r="E100" s="166"/>
      <c r="F100" s="166"/>
      <c r="G100" s="19" t="s">
        <v>88</v>
      </c>
      <c r="H100" s="33">
        <v>130300</v>
      </c>
    </row>
    <row r="101" spans="1:8" x14ac:dyDescent="0.75">
      <c r="A101" s="192" t="s">
        <v>89</v>
      </c>
      <c r="B101" s="193">
        <v>65234.400000000001</v>
      </c>
      <c r="C101" s="4"/>
      <c r="D101" s="4"/>
      <c r="E101" s="166"/>
      <c r="F101" s="166"/>
      <c r="G101" s="19" t="s">
        <v>111</v>
      </c>
      <c r="H101" s="33">
        <v>5500</v>
      </c>
    </row>
    <row r="102" spans="1:8" x14ac:dyDescent="0.75">
      <c r="A102" s="192" t="s">
        <v>164</v>
      </c>
      <c r="B102" s="193">
        <v>2183.0700000000002</v>
      </c>
      <c r="C102" s="4"/>
      <c r="D102" s="4"/>
      <c r="E102" s="166"/>
      <c r="F102" s="166"/>
      <c r="G102" s="19" t="s">
        <v>89</v>
      </c>
      <c r="H102" s="20">
        <v>47530</v>
      </c>
    </row>
    <row r="103" spans="1:8" x14ac:dyDescent="0.75">
      <c r="A103" s="192" t="s">
        <v>501</v>
      </c>
      <c r="B103" s="194">
        <v>539.98</v>
      </c>
      <c r="C103" s="4"/>
      <c r="D103" s="4"/>
      <c r="E103" s="166"/>
      <c r="F103" s="166"/>
      <c r="G103" s="19" t="s">
        <v>161</v>
      </c>
      <c r="H103" s="20">
        <v>536.37</v>
      </c>
    </row>
    <row r="104" spans="1:8" x14ac:dyDescent="0.75">
      <c r="A104" s="195" t="s">
        <v>112</v>
      </c>
      <c r="B104" s="196">
        <v>539.98</v>
      </c>
      <c r="C104" s="4"/>
      <c r="D104" s="4"/>
      <c r="E104" s="166"/>
      <c r="F104" s="166"/>
      <c r="G104" s="19" t="s">
        <v>162</v>
      </c>
      <c r="H104" s="20">
        <v>2326.27</v>
      </c>
    </row>
    <row r="105" spans="1:8" x14ac:dyDescent="0.75">
      <c r="A105" s="192" t="s">
        <v>201</v>
      </c>
      <c r="B105" s="194">
        <v>626.72</v>
      </c>
      <c r="C105" s="4"/>
      <c r="D105" s="166"/>
      <c r="E105" s="166"/>
      <c r="F105" s="166"/>
      <c r="G105" s="19" t="s">
        <v>163</v>
      </c>
      <c r="H105" s="20">
        <v>528.46</v>
      </c>
    </row>
    <row r="106" spans="1:8" x14ac:dyDescent="0.75">
      <c r="A106" s="192" t="s">
        <v>502</v>
      </c>
      <c r="B106" s="193">
        <v>2911.15</v>
      </c>
      <c r="C106" s="4"/>
      <c r="D106" s="166"/>
      <c r="E106" s="166"/>
      <c r="F106" s="166"/>
      <c r="G106" s="19" t="s">
        <v>90</v>
      </c>
      <c r="H106" s="33">
        <v>45370.6</v>
      </c>
    </row>
    <row r="107" spans="1:8" ht="15.5" thickBot="1" x14ac:dyDescent="0.9">
      <c r="A107" s="192" t="s">
        <v>503</v>
      </c>
      <c r="B107" s="194">
        <v>484.79</v>
      </c>
      <c r="C107" s="4"/>
      <c r="D107" s="166"/>
      <c r="E107" s="166"/>
      <c r="F107" s="166"/>
      <c r="G107" s="19" t="s">
        <v>164</v>
      </c>
      <c r="H107" s="20">
        <v>1120.51</v>
      </c>
    </row>
    <row r="108" spans="1:8" ht="15.5" thickBot="1" x14ac:dyDescent="0.9">
      <c r="A108" s="197" t="s">
        <v>91</v>
      </c>
      <c r="B108" s="198">
        <f>SUM(B93:B107)</f>
        <v>160480.84000000003</v>
      </c>
      <c r="C108" s="4"/>
      <c r="D108" s="166"/>
      <c r="E108" s="166"/>
      <c r="F108" s="166"/>
      <c r="G108" s="19"/>
      <c r="H108" s="23">
        <f>ROUND(SUM(H92:H107),5)</f>
        <v>251265.17</v>
      </c>
    </row>
    <row r="109" spans="1:8" ht="16.25" thickTop="1" thickBot="1" x14ac:dyDescent="0.9">
      <c r="C109" s="4"/>
      <c r="D109" s="166"/>
      <c r="E109" s="166"/>
      <c r="F109" s="166"/>
      <c r="G109" s="50" t="s">
        <v>113</v>
      </c>
      <c r="H109" s="36">
        <v>1824.52</v>
      </c>
    </row>
    <row r="110" spans="1:8" ht="15.5" thickBot="1" x14ac:dyDescent="0.9">
      <c r="A110" s="50" t="s">
        <v>84</v>
      </c>
      <c r="B110" s="70">
        <f>+B99+B100</f>
        <v>65250</v>
      </c>
      <c r="E110" s="166"/>
      <c r="F110" s="166"/>
      <c r="G110" s="50"/>
      <c r="H110" s="52">
        <f>+H108+H109</f>
        <v>253089.69</v>
      </c>
    </row>
    <row r="111" spans="1:8" ht="15.5" thickTop="1" x14ac:dyDescent="0.75">
      <c r="A111" s="50" t="s">
        <v>92</v>
      </c>
      <c r="B111" s="69">
        <f>+B108-B110</f>
        <v>95230.840000000026</v>
      </c>
      <c r="E111" s="166"/>
      <c r="F111" s="166"/>
      <c r="G111" s="50"/>
      <c r="H111" s="50"/>
    </row>
    <row r="112" spans="1:8" ht="15.5" thickBot="1" x14ac:dyDescent="0.9">
      <c r="A112" s="50" t="s">
        <v>113</v>
      </c>
      <c r="B112" s="71">
        <f>+B113-B111-B110</f>
        <v>1407.1199999999662</v>
      </c>
      <c r="E112" s="166"/>
      <c r="F112" s="50" t="s">
        <v>84</v>
      </c>
      <c r="G112" s="166"/>
      <c r="H112" s="70">
        <f>+H100+H101+H106</f>
        <v>181170.6</v>
      </c>
    </row>
    <row r="113" spans="2:8" ht="15.5" thickBot="1" x14ac:dyDescent="0.9">
      <c r="B113" s="52">
        <f>+B65</f>
        <v>161887.96</v>
      </c>
      <c r="E113" s="166"/>
      <c r="F113" s="50" t="s">
        <v>92</v>
      </c>
      <c r="G113" s="166"/>
      <c r="H113" s="69">
        <f>+H115-H114-H112</f>
        <v>70094.570000000007</v>
      </c>
    </row>
    <row r="114" spans="2:8" ht="16.25" thickTop="1" thickBot="1" x14ac:dyDescent="0.9">
      <c r="C114" s="166"/>
      <c r="E114" s="166"/>
      <c r="F114" s="50" t="s">
        <v>113</v>
      </c>
      <c r="G114" s="166"/>
      <c r="H114" s="71">
        <f>+H109</f>
        <v>1824.52</v>
      </c>
    </row>
    <row r="115" spans="2:8" ht="15.5" thickBot="1" x14ac:dyDescent="0.9">
      <c r="E115" s="166"/>
      <c r="F115" s="166"/>
      <c r="G115" s="50"/>
      <c r="H115" s="52">
        <f>+H110</f>
        <v>253089.69</v>
      </c>
    </row>
    <row r="116" spans="2:8" ht="15.5" thickTop="1" x14ac:dyDescent="0.75"/>
  </sheetData>
  <mergeCells count="3">
    <mergeCell ref="A3:B3"/>
    <mergeCell ref="A4:B4"/>
    <mergeCell ref="B6:C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E623-D258-45DB-9AE3-D27F41C43101}">
  <dimension ref="A1:K33"/>
  <sheetViews>
    <sheetView showGridLines="0" workbookViewId="0">
      <selection sqref="A1:G32"/>
    </sheetView>
  </sheetViews>
  <sheetFormatPr defaultRowHeight="15.75" x14ac:dyDescent="0.75"/>
  <cols>
    <col min="1" max="1" width="26.953125" style="225" customWidth="1"/>
    <col min="2" max="2" width="10.953125" style="225" customWidth="1"/>
    <col min="3" max="4" width="10.26953125" style="225" customWidth="1"/>
    <col min="5" max="5" width="8.7265625" style="225"/>
    <col min="6" max="6" width="13.08984375" style="225" customWidth="1"/>
    <col min="7" max="16384" width="8.7265625" style="225"/>
  </cols>
  <sheetData>
    <row r="1" spans="1:7" x14ac:dyDescent="0.75">
      <c r="A1" s="221" t="s">
        <v>37</v>
      </c>
      <c r="B1" s="221"/>
      <c r="C1" s="221"/>
      <c r="D1" s="227" t="s">
        <v>506</v>
      </c>
      <c r="E1" s="228"/>
      <c r="F1" s="227" t="s">
        <v>507</v>
      </c>
      <c r="G1" s="224"/>
    </row>
    <row r="2" spans="1:7" x14ac:dyDescent="0.75">
      <c r="A2" s="221" t="s">
        <v>527</v>
      </c>
      <c r="B2" s="221"/>
      <c r="C2" s="221"/>
      <c r="D2" s="229">
        <v>2020</v>
      </c>
      <c r="E2" s="224"/>
      <c r="F2" s="229">
        <v>2020</v>
      </c>
      <c r="G2" s="224"/>
    </row>
    <row r="3" spans="1:7" x14ac:dyDescent="0.75">
      <c r="A3" s="222" t="s">
        <v>50</v>
      </c>
      <c r="B3" s="223"/>
      <c r="C3" s="223"/>
      <c r="D3" s="223"/>
      <c r="E3" s="224"/>
      <c r="F3" s="223"/>
      <c r="G3" s="224"/>
    </row>
    <row r="4" spans="1:7" x14ac:dyDescent="0.75">
      <c r="A4" s="223"/>
      <c r="B4" s="223"/>
      <c r="C4" s="223"/>
      <c r="D4" s="223"/>
      <c r="E4" s="224"/>
      <c r="F4" s="223"/>
      <c r="G4" s="224"/>
    </row>
    <row r="5" spans="1:7" x14ac:dyDescent="0.75">
      <c r="A5" s="223" t="s">
        <v>84</v>
      </c>
      <c r="B5" s="223"/>
      <c r="C5" s="223"/>
      <c r="D5" s="223">
        <v>65250</v>
      </c>
      <c r="E5" s="224"/>
      <c r="F5" s="223">
        <v>74150</v>
      </c>
      <c r="G5" s="224"/>
    </row>
    <row r="6" spans="1:7" x14ac:dyDescent="0.75">
      <c r="A6" s="223" t="s">
        <v>2</v>
      </c>
      <c r="B6" s="223"/>
      <c r="C6" s="223"/>
      <c r="D6" s="223">
        <v>95230.840000000026</v>
      </c>
      <c r="E6" s="224"/>
      <c r="F6" s="223">
        <v>57914.520000000004</v>
      </c>
      <c r="G6" s="224"/>
    </row>
    <row r="7" spans="1:7" ht="16.5" thickBot="1" x14ac:dyDescent="0.9">
      <c r="A7" s="223" t="s">
        <v>83</v>
      </c>
      <c r="B7" s="223"/>
      <c r="C7" s="223"/>
      <c r="D7" s="230">
        <v>1407.1199999999662</v>
      </c>
      <c r="E7" s="224"/>
      <c r="F7" s="230">
        <v>203</v>
      </c>
      <c r="G7" s="224"/>
    </row>
    <row r="8" spans="1:7" x14ac:dyDescent="0.75">
      <c r="A8" s="221" t="s">
        <v>4</v>
      </c>
      <c r="B8" s="221"/>
      <c r="C8" s="221"/>
      <c r="D8" s="231">
        <v>161887.96</v>
      </c>
      <c r="E8" s="224"/>
      <c r="F8" s="231">
        <f>SUM(F5:F7)</f>
        <v>132267.52000000002</v>
      </c>
      <c r="G8" s="224"/>
    </row>
    <row r="9" spans="1:7" x14ac:dyDescent="0.75">
      <c r="A9" s="223"/>
      <c r="B9" s="223"/>
      <c r="C9" s="223"/>
      <c r="D9" s="224"/>
      <c r="E9" s="224"/>
      <c r="F9" s="224"/>
      <c r="G9" s="224"/>
    </row>
    <row r="10" spans="1:7" x14ac:dyDescent="0.75">
      <c r="A10" s="223" t="s">
        <v>5</v>
      </c>
      <c r="B10" s="224"/>
      <c r="C10" s="224"/>
      <c r="D10" s="223">
        <v>65638.64</v>
      </c>
      <c r="E10" s="224"/>
      <c r="F10" s="223">
        <v>48274.149999999994</v>
      </c>
      <c r="G10" s="224"/>
    </row>
    <row r="11" spans="1:7" ht="16.5" thickBot="1" x14ac:dyDescent="0.9">
      <c r="A11" s="223"/>
      <c r="B11" s="223"/>
      <c r="C11" s="223"/>
      <c r="D11" s="232"/>
      <c r="E11" s="224"/>
      <c r="F11" s="232"/>
      <c r="G11" s="224"/>
    </row>
    <row r="12" spans="1:7" x14ac:dyDescent="0.75">
      <c r="A12" s="221" t="s">
        <v>6</v>
      </c>
      <c r="B12" s="221"/>
      <c r="C12" s="221"/>
      <c r="D12" s="221">
        <f>+D8-D10</f>
        <v>96249.319999999992</v>
      </c>
      <c r="E12" s="233">
        <v>0.59454279367038787</v>
      </c>
      <c r="F12" s="221">
        <f>+F8-F10</f>
        <v>83993.370000000024</v>
      </c>
      <c r="G12" s="233">
        <v>0.63446817912805709</v>
      </c>
    </row>
    <row r="13" spans="1:7" x14ac:dyDescent="0.75">
      <c r="A13" s="223"/>
      <c r="B13" s="223"/>
      <c r="C13" s="223"/>
      <c r="D13" s="224"/>
      <c r="E13" s="224"/>
      <c r="F13" s="224"/>
      <c r="G13" s="224"/>
    </row>
    <row r="14" spans="1:7" x14ac:dyDescent="0.75">
      <c r="A14" s="223" t="s">
        <v>504</v>
      </c>
      <c r="B14" s="223"/>
      <c r="C14" s="223"/>
      <c r="D14" s="223">
        <v>265559</v>
      </c>
      <c r="E14" s="224"/>
      <c r="F14" s="223">
        <v>182229</v>
      </c>
      <c r="G14" s="224"/>
    </row>
    <row r="15" spans="1:7" x14ac:dyDescent="0.75">
      <c r="A15" s="223" t="s">
        <v>13</v>
      </c>
      <c r="B15" s="223"/>
      <c r="C15" s="223"/>
      <c r="D15" s="223">
        <v>36970.43</v>
      </c>
      <c r="E15" s="224"/>
      <c r="F15" s="223">
        <v>18369.509999999998</v>
      </c>
      <c r="G15" s="224"/>
    </row>
    <row r="16" spans="1:7" x14ac:dyDescent="0.75">
      <c r="A16" s="223" t="s">
        <v>95</v>
      </c>
      <c r="B16" s="223"/>
      <c r="C16" s="223"/>
      <c r="D16" s="223">
        <v>91846.64</v>
      </c>
      <c r="E16" s="224"/>
      <c r="F16" s="223">
        <v>58042</v>
      </c>
      <c r="G16" s="224"/>
    </row>
    <row r="17" spans="1:11" ht="16.5" thickBot="1" x14ac:dyDescent="0.9">
      <c r="A17" s="223" t="s">
        <v>8</v>
      </c>
      <c r="B17" s="223"/>
      <c r="C17" s="223"/>
      <c r="D17" s="230">
        <v>85325.54</v>
      </c>
      <c r="E17" s="224"/>
      <c r="F17" s="230">
        <v>88687.01999999999</v>
      </c>
      <c r="G17" s="224"/>
    </row>
    <row r="18" spans="1:11" x14ac:dyDescent="0.75">
      <c r="A18" s="221" t="s">
        <v>51</v>
      </c>
      <c r="B18" s="223"/>
      <c r="C18" s="223"/>
      <c r="D18" s="221">
        <f>SUM(D14:D17)</f>
        <v>479701.61</v>
      </c>
      <c r="E18" s="224"/>
      <c r="F18" s="221">
        <f>SUM(F14:F17)</f>
        <v>347327.53</v>
      </c>
      <c r="G18" s="224"/>
    </row>
    <row r="19" spans="1:11" ht="16.5" thickBot="1" x14ac:dyDescent="0.9">
      <c r="A19" s="221"/>
      <c r="B19" s="223"/>
      <c r="C19" s="223"/>
      <c r="D19" s="234"/>
      <c r="E19" s="224"/>
      <c r="F19" s="234"/>
      <c r="G19" s="224"/>
    </row>
    <row r="20" spans="1:11" x14ac:dyDescent="0.75">
      <c r="A20" s="221" t="s">
        <v>525</v>
      </c>
      <c r="D20" s="235">
        <f>+D12-D18</f>
        <v>-383452.29</v>
      </c>
      <c r="E20" s="222"/>
      <c r="F20" s="235">
        <f>+F12-F18</f>
        <v>-263334.16000000003</v>
      </c>
      <c r="G20" s="224"/>
      <c r="J20" s="223"/>
      <c r="K20" s="223"/>
    </row>
    <row r="21" spans="1:11" x14ac:dyDescent="0.75">
      <c r="A21" s="224"/>
      <c r="B21" s="224"/>
      <c r="C21" s="224"/>
      <c r="D21" s="224"/>
      <c r="E21" s="224"/>
      <c r="F21" s="224"/>
      <c r="G21" s="224"/>
    </row>
    <row r="22" spans="1:11" x14ac:dyDescent="0.75">
      <c r="A22" s="224" t="s">
        <v>52</v>
      </c>
      <c r="B22" s="224"/>
      <c r="C22" s="224"/>
      <c r="D22" s="223">
        <v>-20116.28</v>
      </c>
      <c r="E22" s="224"/>
      <c r="F22" s="223">
        <v>-18812</v>
      </c>
      <c r="G22" s="224"/>
    </row>
    <row r="23" spans="1:11" x14ac:dyDescent="0.75">
      <c r="A23" s="224" t="s">
        <v>48</v>
      </c>
      <c r="B23" s="224"/>
      <c r="C23" s="224"/>
      <c r="D23" s="223">
        <v>-93200.61</v>
      </c>
      <c r="E23" s="224"/>
      <c r="F23" s="223">
        <v>-42739</v>
      </c>
      <c r="G23" s="224"/>
    </row>
    <row r="24" spans="1:11" x14ac:dyDescent="0.75">
      <c r="A24" s="223" t="s">
        <v>38</v>
      </c>
      <c r="B24" s="224"/>
      <c r="C24" s="224"/>
      <c r="D24" s="223">
        <v>-21954.639999999999</v>
      </c>
      <c r="E24" s="224"/>
      <c r="F24" s="223">
        <v>-21955</v>
      </c>
      <c r="G24" s="224"/>
    </row>
    <row r="25" spans="1:11" x14ac:dyDescent="0.75">
      <c r="A25" s="223" t="s">
        <v>39</v>
      </c>
      <c r="B25" s="224"/>
      <c r="C25" s="224"/>
      <c r="D25" s="223">
        <v>-9345.2199999999993</v>
      </c>
      <c r="E25" s="224"/>
      <c r="F25" s="223">
        <v>-9345</v>
      </c>
      <c r="G25" s="224"/>
    </row>
    <row r="26" spans="1:11" x14ac:dyDescent="0.75">
      <c r="A26" s="225" t="s">
        <v>526</v>
      </c>
      <c r="B26" s="224"/>
      <c r="C26" s="224"/>
      <c r="D26" s="223">
        <v>-37933</v>
      </c>
      <c r="E26" s="224"/>
      <c r="F26" s="223">
        <v>-37933</v>
      </c>
      <c r="G26" s="224"/>
    </row>
    <row r="27" spans="1:11" ht="16.5" thickBot="1" x14ac:dyDescent="0.9">
      <c r="B27" s="224"/>
      <c r="C27" s="224"/>
      <c r="D27" s="232"/>
      <c r="E27" s="224"/>
      <c r="F27" s="232"/>
      <c r="G27" s="224"/>
    </row>
    <row r="28" spans="1:11" x14ac:dyDescent="0.75">
      <c r="A28" s="222" t="s">
        <v>15</v>
      </c>
      <c r="C28" s="222"/>
      <c r="D28" s="231">
        <f>SUM(D20:D27)</f>
        <v>-566002.03999999992</v>
      </c>
      <c r="E28" s="224"/>
      <c r="F28" s="231">
        <f>SUM(F20:F27)</f>
        <v>-394118.16000000003</v>
      </c>
      <c r="G28" s="224"/>
    </row>
    <row r="29" spans="1:11" x14ac:dyDescent="0.75">
      <c r="D29" s="224"/>
      <c r="E29" s="224"/>
      <c r="F29" s="224"/>
      <c r="G29" s="224"/>
    </row>
    <row r="30" spans="1:11" x14ac:dyDescent="0.75">
      <c r="A30" s="225" t="s">
        <v>108</v>
      </c>
      <c r="D30" s="236">
        <v>33.1</v>
      </c>
      <c r="E30" s="224"/>
      <c r="F30" s="236">
        <v>65</v>
      </c>
      <c r="G30" s="224"/>
    </row>
    <row r="31" spans="1:11" ht="16.5" thickBot="1" x14ac:dyDescent="0.9">
      <c r="D31" s="232"/>
      <c r="E31" s="224"/>
      <c r="F31" s="232"/>
      <c r="G31" s="224"/>
    </row>
    <row r="32" spans="1:11" ht="16.5" thickBot="1" x14ac:dyDescent="0.9">
      <c r="A32" s="226" t="s">
        <v>32</v>
      </c>
      <c r="D32" s="234">
        <f>+D30+D28</f>
        <v>-565968.93999999994</v>
      </c>
      <c r="E32" s="224"/>
      <c r="F32" s="234">
        <f>+F30+F28</f>
        <v>-394053.16000000003</v>
      </c>
      <c r="G32" s="224"/>
    </row>
    <row r="33" spans="4:7" x14ac:dyDescent="0.75">
      <c r="D33" s="224"/>
      <c r="E33" s="224"/>
      <c r="F33" s="224"/>
      <c r="G33" s="22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08"/>
  <sheetViews>
    <sheetView topLeftCell="A21" workbookViewId="0">
      <pane xSplit="7670" ySplit="2080" topLeftCell="A145" activePane="bottomRight"/>
      <selection activeCell="A44" sqref="A1:XFD1048576"/>
      <selection pane="topRight" activeCell="C45" sqref="C45"/>
      <selection pane="bottomLeft" activeCell="C13" sqref="C13"/>
      <selection pane="bottomRight" activeCell="C153" sqref="C153"/>
    </sheetView>
  </sheetViews>
  <sheetFormatPr defaultRowHeight="14.75" x14ac:dyDescent="0.75"/>
  <cols>
    <col min="1" max="1" width="1.54296875" style="38" customWidth="1"/>
    <col min="2" max="2" width="5.1796875" style="38" customWidth="1"/>
    <col min="3" max="3" width="51.81640625" style="38" customWidth="1"/>
    <col min="4" max="4" width="11.7265625" style="38" customWidth="1"/>
    <col min="5" max="5" width="7.6328125" style="38" customWidth="1"/>
    <col min="6" max="6" width="11" style="38" customWidth="1"/>
    <col min="7" max="7" width="6.04296875" style="38" customWidth="1"/>
    <col min="8" max="8" width="12.26953125" style="40" customWidth="1"/>
    <col min="9" max="9" width="8.7265625" style="38"/>
    <col min="10" max="10" width="12.1796875" style="38" customWidth="1"/>
    <col min="11" max="11" width="8.7265625" style="38"/>
    <col min="12" max="12" width="11.54296875" style="38" customWidth="1"/>
    <col min="13" max="13" width="8.7265625" style="38"/>
    <col min="14" max="14" width="11.26953125" style="38" customWidth="1"/>
    <col min="15" max="15" width="8.7265625" style="38"/>
    <col min="16" max="16" width="11.6328125" style="38" customWidth="1"/>
    <col min="17" max="16384" width="8.7265625" style="38"/>
  </cols>
  <sheetData>
    <row r="1" spans="1:8" x14ac:dyDescent="0.75">
      <c r="A1" s="37" t="s">
        <v>37</v>
      </c>
      <c r="B1" s="37"/>
      <c r="C1" s="37"/>
      <c r="D1" s="37"/>
      <c r="F1" s="37"/>
    </row>
    <row r="2" spans="1:8" x14ac:dyDescent="0.75">
      <c r="A2" s="37" t="s">
        <v>233</v>
      </c>
      <c r="B2" s="37"/>
      <c r="C2" s="37"/>
      <c r="D2" s="81">
        <v>2020</v>
      </c>
      <c r="F2" s="81">
        <v>2019</v>
      </c>
    </row>
    <row r="3" spans="1:8" x14ac:dyDescent="0.75">
      <c r="A3" s="39" t="s">
        <v>50</v>
      </c>
      <c r="B3" s="40"/>
      <c r="C3" s="40"/>
      <c r="D3" s="40"/>
      <c r="F3" s="40"/>
    </row>
    <row r="4" spans="1:8" x14ac:dyDescent="0.75">
      <c r="A4" s="40"/>
      <c r="B4" s="40"/>
      <c r="C4" s="40"/>
      <c r="D4" s="40"/>
      <c r="F4" s="40"/>
    </row>
    <row r="5" spans="1:8" x14ac:dyDescent="0.75">
      <c r="A5" s="40" t="s">
        <v>84</v>
      </c>
      <c r="B5" s="40"/>
      <c r="C5" s="40"/>
      <c r="D5" s="40">
        <f>+' QIII QB IS SUMMARY '!H51</f>
        <v>74150</v>
      </c>
      <c r="F5" s="40">
        <v>175533</v>
      </c>
      <c r="H5" s="38"/>
    </row>
    <row r="6" spans="1:8" ht="14" customHeight="1" x14ac:dyDescent="0.75">
      <c r="A6" s="40" t="s">
        <v>2</v>
      </c>
      <c r="B6" s="40"/>
      <c r="C6" s="40"/>
      <c r="D6" s="40">
        <f>+' QIII QB IS SUMMARY '!H52-1</f>
        <v>57914.520000000004</v>
      </c>
      <c r="F6" s="40">
        <v>49658</v>
      </c>
      <c r="H6" s="38"/>
    </row>
    <row r="7" spans="1:8" ht="15.5" thickBot="1" x14ac:dyDescent="0.9">
      <c r="A7" s="40" t="s">
        <v>83</v>
      </c>
      <c r="B7" s="40"/>
      <c r="C7" s="40"/>
      <c r="D7" s="41">
        <f>+' QIII QB IS SUMMARY '!H53</f>
        <v>0</v>
      </c>
      <c r="F7" s="41">
        <v>0</v>
      </c>
      <c r="H7" s="38"/>
    </row>
    <row r="8" spans="1:8" ht="16" x14ac:dyDescent="0.8">
      <c r="A8" s="42" t="s">
        <v>4</v>
      </c>
      <c r="B8" s="42"/>
      <c r="C8" s="42"/>
      <c r="D8" s="43">
        <f>+' QIII QB IS SUMMARY '!H6</f>
        <v>132065.51999999999</v>
      </c>
      <c r="F8" s="42">
        <f>SUM(F5:F7)</f>
        <v>225191</v>
      </c>
      <c r="H8" s="38"/>
    </row>
    <row r="9" spans="1:8" x14ac:dyDescent="0.75">
      <c r="A9" s="40"/>
      <c r="B9" s="40"/>
      <c r="C9" s="40"/>
      <c r="F9" s="40"/>
    </row>
    <row r="10" spans="1:8" x14ac:dyDescent="0.75">
      <c r="A10" s="40" t="s">
        <v>5</v>
      </c>
      <c r="D10" s="40">
        <f>+' QIII QB IS SUMMARY '!H12</f>
        <v>48274.149999999994</v>
      </c>
      <c r="F10" s="40">
        <v>75623</v>
      </c>
    </row>
    <row r="11" spans="1:8" ht="15.5" thickBot="1" x14ac:dyDescent="0.9">
      <c r="A11" s="40"/>
      <c r="B11" s="40"/>
      <c r="C11" s="40"/>
      <c r="D11" s="44"/>
      <c r="F11" s="41"/>
    </row>
    <row r="12" spans="1:8" x14ac:dyDescent="0.75">
      <c r="A12" s="37" t="s">
        <v>6</v>
      </c>
      <c r="B12" s="37"/>
      <c r="C12" s="37"/>
      <c r="D12" s="37">
        <f>+D8-D10</f>
        <v>83791.37</v>
      </c>
      <c r="E12" s="54">
        <f>+D12/D8</f>
        <v>0.63446817912805709</v>
      </c>
      <c r="F12" s="37">
        <f>+F8-F10</f>
        <v>149568</v>
      </c>
      <c r="G12" s="54">
        <f>+F12/F8</f>
        <v>0.66418284922576831</v>
      </c>
    </row>
    <row r="13" spans="1:8" x14ac:dyDescent="0.75">
      <c r="A13" s="40"/>
      <c r="B13" s="40"/>
      <c r="C13" s="40"/>
      <c r="F13" s="40"/>
    </row>
    <row r="14" spans="1:8" x14ac:dyDescent="0.75">
      <c r="A14" s="40" t="s">
        <v>12</v>
      </c>
      <c r="B14" s="40"/>
      <c r="C14" s="40"/>
      <c r="D14" s="40">
        <f>+' QIII QB IS SUMMARY '!H60</f>
        <v>99358.83</v>
      </c>
      <c r="F14" s="40">
        <v>77387</v>
      </c>
    </row>
    <row r="15" spans="1:8" x14ac:dyDescent="0.75">
      <c r="A15" s="40" t="s">
        <v>13</v>
      </c>
      <c r="B15" s="40"/>
      <c r="C15" s="40"/>
      <c r="D15" s="40">
        <f>+' QIII QB IS SUMMARY '!H61</f>
        <v>18369.509999999998</v>
      </c>
      <c r="F15" s="40">
        <v>12524</v>
      </c>
    </row>
    <row r="16" spans="1:8" x14ac:dyDescent="0.75">
      <c r="A16" s="40" t="s">
        <v>95</v>
      </c>
      <c r="B16" s="40"/>
      <c r="C16" s="40"/>
      <c r="D16" s="40">
        <f>+' QIII QB IS SUMMARY '!H62</f>
        <v>130026.4</v>
      </c>
      <c r="F16" s="40">
        <v>66035</v>
      </c>
    </row>
    <row r="17" spans="1:8" ht="15.5" thickBot="1" x14ac:dyDescent="0.9">
      <c r="A17" s="40" t="s">
        <v>8</v>
      </c>
      <c r="B17" s="40"/>
      <c r="C17" s="40"/>
      <c r="D17" s="41">
        <f>+' QIII QB IS SUMMARY '!H63</f>
        <v>88687.01999999999</v>
      </c>
      <c r="F17" s="41">
        <v>38736</v>
      </c>
    </row>
    <row r="18" spans="1:8" x14ac:dyDescent="0.75">
      <c r="A18" s="37" t="s">
        <v>51</v>
      </c>
      <c r="B18" s="40"/>
      <c r="C18" s="40"/>
      <c r="D18" s="37">
        <f>+D14+D15+D16+D17</f>
        <v>336441.76</v>
      </c>
      <c r="F18" s="37">
        <f>SUM(F14:F17)</f>
        <v>194682</v>
      </c>
    </row>
    <row r="19" spans="1:8" ht="15.5" thickBot="1" x14ac:dyDescent="0.9">
      <c r="A19" s="40"/>
      <c r="B19" s="40"/>
      <c r="C19" s="40"/>
      <c r="D19" s="44"/>
      <c r="F19" s="41"/>
    </row>
    <row r="20" spans="1:8" x14ac:dyDescent="0.75">
      <c r="A20" s="37" t="s">
        <v>230</v>
      </c>
      <c r="B20" s="37"/>
      <c r="C20" s="37"/>
      <c r="D20" s="37">
        <f>+D12-D18</f>
        <v>-252650.39</v>
      </c>
      <c r="F20" s="37">
        <f>+F12-F18</f>
        <v>-45114</v>
      </c>
    </row>
    <row r="21" spans="1:8" x14ac:dyDescent="0.75">
      <c r="F21" s="37"/>
    </row>
    <row r="22" spans="1:8" x14ac:dyDescent="0.75">
      <c r="A22" s="38" t="s">
        <v>52</v>
      </c>
      <c r="D22" s="40">
        <f>+' QIII QB IS SUMMARY '!H69</f>
        <v>-13557.59</v>
      </c>
      <c r="F22" s="40">
        <v>-13627</v>
      </c>
    </row>
    <row r="23" spans="1:8" x14ac:dyDescent="0.75">
      <c r="A23" s="38" t="s">
        <v>48</v>
      </c>
      <c r="D23" s="40">
        <f>+' QIII QB IS SUMMARY '!H70</f>
        <v>-55302.770000000004</v>
      </c>
      <c r="F23" s="40"/>
    </row>
    <row r="24" spans="1:8" x14ac:dyDescent="0.75">
      <c r="A24" s="40" t="s">
        <v>39</v>
      </c>
      <c r="D24" s="40">
        <f>+' QIII QB IS SUMMARY '!H71</f>
        <v>-21739.71</v>
      </c>
      <c r="F24" s="40">
        <v>-23614</v>
      </c>
    </row>
    <row r="25" spans="1:8" x14ac:dyDescent="0.75">
      <c r="A25" s="40" t="s">
        <v>38</v>
      </c>
      <c r="D25" s="40">
        <f>+' QIII QB IS SUMMARY '!H72</f>
        <v>-10136.94</v>
      </c>
      <c r="F25" s="40">
        <v>-9193</v>
      </c>
    </row>
    <row r="26" spans="1:8" ht="15.5" thickBot="1" x14ac:dyDescent="0.9">
      <c r="D26" s="44"/>
      <c r="F26" s="41"/>
    </row>
    <row r="27" spans="1:8" ht="14.5" customHeight="1" thickBot="1" x14ac:dyDescent="0.9">
      <c r="A27" s="39" t="s">
        <v>15</v>
      </c>
      <c r="B27" s="39"/>
      <c r="C27" s="39"/>
      <c r="D27" s="167">
        <f>SUM(D20:D26)</f>
        <v>-353387.40000000008</v>
      </c>
      <c r="F27" s="46">
        <f>+F20+F22+F24+F25</f>
        <v>-91548</v>
      </c>
    </row>
    <row r="30" spans="1:8" ht="16" x14ac:dyDescent="0.8">
      <c r="A30" s="42" t="s">
        <v>11</v>
      </c>
      <c r="B30" s="42"/>
      <c r="C30" s="42"/>
      <c r="D30" s="42"/>
      <c r="G30" s="42"/>
      <c r="H30" s="38"/>
    </row>
    <row r="31" spans="1:8" ht="16" x14ac:dyDescent="0.8">
      <c r="A31" s="37" t="s">
        <v>233</v>
      </c>
      <c r="B31" s="53"/>
      <c r="C31" s="53"/>
      <c r="D31" s="89">
        <v>2020</v>
      </c>
      <c r="F31" s="30">
        <v>2019</v>
      </c>
      <c r="G31" s="53"/>
      <c r="H31" s="38"/>
    </row>
    <row r="32" spans="1:8" ht="16" x14ac:dyDescent="0.8">
      <c r="A32" s="53" t="s">
        <v>16</v>
      </c>
      <c r="F32" s="40"/>
      <c r="H32" s="38"/>
    </row>
    <row r="33" spans="1:23" x14ac:dyDescent="0.75">
      <c r="F33" s="40"/>
      <c r="H33" s="38"/>
    </row>
    <row r="34" spans="1:23" x14ac:dyDescent="0.75">
      <c r="A34" s="39" t="s">
        <v>17</v>
      </c>
      <c r="F34" s="40"/>
      <c r="H34" s="38"/>
    </row>
    <row r="35" spans="1:23" x14ac:dyDescent="0.75">
      <c r="A35" s="39"/>
      <c r="B35" s="38" t="s">
        <v>18</v>
      </c>
      <c r="D35" s="40">
        <f>+'QIII QB BS SUMMARy'!D5</f>
        <v>364012.67</v>
      </c>
      <c r="F35" s="40">
        <v>97725</v>
      </c>
      <c r="G35" s="40"/>
      <c r="H35" s="38"/>
    </row>
    <row r="36" spans="1:23" x14ac:dyDescent="0.75">
      <c r="B36" s="38" t="s">
        <v>45</v>
      </c>
      <c r="D36" s="40">
        <f>+'QIII QB BS SUMMARy'!D6</f>
        <v>245143.78</v>
      </c>
      <c r="F36" s="40">
        <v>177795</v>
      </c>
      <c r="G36" s="40"/>
      <c r="H36" s="38"/>
    </row>
    <row r="37" spans="1:23" x14ac:dyDescent="0.75">
      <c r="B37" s="38" t="s">
        <v>43</v>
      </c>
      <c r="D37" s="40">
        <f>+'QIII QB BS SUMMARy'!D7</f>
        <v>133496.24</v>
      </c>
      <c r="F37" s="40">
        <v>67322</v>
      </c>
      <c r="G37" s="40"/>
      <c r="H37" s="38"/>
    </row>
    <row r="38" spans="1:23" ht="15.5" thickBot="1" x14ac:dyDescent="0.9">
      <c r="B38" s="38" t="s">
        <v>86</v>
      </c>
      <c r="D38" s="41">
        <f>+'QIII QB BS SUMMARy'!D8</f>
        <v>21250</v>
      </c>
      <c r="F38" s="41">
        <v>69043</v>
      </c>
      <c r="G38" s="40"/>
      <c r="H38" s="38"/>
    </row>
    <row r="39" spans="1:23" s="39" customFormat="1" x14ac:dyDescent="0.75">
      <c r="B39" s="39" t="s">
        <v>44</v>
      </c>
      <c r="D39" s="37">
        <f>SUM(D35:D38)</f>
        <v>763902.69</v>
      </c>
      <c r="E39" s="38"/>
      <c r="F39" s="37">
        <f>SUM(F35:F38)</f>
        <v>411885</v>
      </c>
      <c r="G39" s="37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 x14ac:dyDescent="0.75">
      <c r="F40" s="40">
        <v>0</v>
      </c>
      <c r="G40" s="40"/>
      <c r="H40" s="38"/>
    </row>
    <row r="41" spans="1:23" x14ac:dyDescent="0.75">
      <c r="B41" s="38" t="s">
        <v>19</v>
      </c>
      <c r="D41" s="40">
        <f>+'QIII QB BS SUMMARy'!D11</f>
        <v>214065.37999999989</v>
      </c>
      <c r="F41" s="40">
        <v>254908</v>
      </c>
      <c r="G41" s="40"/>
      <c r="H41" s="38"/>
    </row>
    <row r="42" spans="1:23" ht="15.5" thickBot="1" x14ac:dyDescent="0.9">
      <c r="B42" s="38" t="s">
        <v>46</v>
      </c>
      <c r="D42" s="41">
        <f>+'QIII QB BS SUMMARy'!D12</f>
        <v>43553.36</v>
      </c>
      <c r="F42" s="41">
        <v>36824</v>
      </c>
      <c r="G42" s="40"/>
      <c r="H42" s="38"/>
    </row>
    <row r="43" spans="1:23" ht="15.5" thickBot="1" x14ac:dyDescent="0.9">
      <c r="B43" s="39" t="s">
        <v>20</v>
      </c>
      <c r="C43" s="39"/>
      <c r="D43" s="46">
        <f>+D42+D41+D39</f>
        <v>1021521.4299999998</v>
      </c>
      <c r="F43" s="46">
        <f>+F39+F41+F42</f>
        <v>703617</v>
      </c>
      <c r="G43" s="37"/>
      <c r="H43" s="38"/>
    </row>
    <row r="44" spans="1:23" x14ac:dyDescent="0.75">
      <c r="G44" s="40"/>
      <c r="H44" s="38"/>
    </row>
    <row r="45" spans="1:23" x14ac:dyDescent="0.75">
      <c r="A45" s="39" t="s">
        <v>21</v>
      </c>
      <c r="G45" s="40"/>
      <c r="H45" s="38"/>
    </row>
    <row r="46" spans="1:23" x14ac:dyDescent="0.75">
      <c r="G46" s="40"/>
      <c r="H46" s="38"/>
    </row>
    <row r="47" spans="1:23" x14ac:dyDescent="0.75">
      <c r="B47" s="38" t="s">
        <v>41</v>
      </c>
      <c r="D47" s="40">
        <f>+'QIII QB BS SUMMARy'!D17</f>
        <v>54727.06</v>
      </c>
      <c r="F47" s="40">
        <v>80298</v>
      </c>
      <c r="G47" s="40"/>
      <c r="H47" s="38"/>
    </row>
    <row r="48" spans="1:23" x14ac:dyDescent="0.75">
      <c r="B48" s="38" t="s">
        <v>42</v>
      </c>
      <c r="D48" s="40">
        <f>+'QIII QB BS SUMMARy'!D18</f>
        <v>34544.120000000003</v>
      </c>
      <c r="F48" s="40">
        <v>40010</v>
      </c>
      <c r="G48" s="40"/>
      <c r="H48" s="38"/>
    </row>
    <row r="49" spans="1:8" ht="15.5" thickBot="1" x14ac:dyDescent="0.9">
      <c r="B49" s="38" t="s">
        <v>22</v>
      </c>
      <c r="D49" s="41">
        <v>46792</v>
      </c>
      <c r="F49" s="41">
        <v>50928</v>
      </c>
      <c r="G49" s="40"/>
      <c r="H49" s="38"/>
    </row>
    <row r="50" spans="1:8" x14ac:dyDescent="0.75">
      <c r="B50" s="39" t="s">
        <v>23</v>
      </c>
      <c r="C50" s="39"/>
      <c r="D50" s="37">
        <f>+D47+D48+D49</f>
        <v>136063.18</v>
      </c>
      <c r="F50" s="37">
        <f>SUM(F47:F49)</f>
        <v>171236</v>
      </c>
      <c r="G50" s="37"/>
      <c r="H50" s="38"/>
    </row>
    <row r="51" spans="1:8" x14ac:dyDescent="0.75">
      <c r="G51" s="40"/>
      <c r="H51" s="38"/>
    </row>
    <row r="52" spans="1:8" x14ac:dyDescent="0.75">
      <c r="B52" s="38" t="s">
        <v>483</v>
      </c>
      <c r="D52" s="40">
        <f>+'QIII QB BS SUMMARy'!D22</f>
        <v>843562.65</v>
      </c>
      <c r="F52" s="40">
        <v>962837</v>
      </c>
      <c r="G52" s="40"/>
      <c r="H52" s="38"/>
    </row>
    <row r="53" spans="1:8" x14ac:dyDescent="0.75">
      <c r="B53" s="38" t="s">
        <v>24</v>
      </c>
      <c r="D53" s="40">
        <f>+'QIII QB BS SUMMARy'!D23-46792</f>
        <v>134241.28999999998</v>
      </c>
      <c r="F53" s="40">
        <v>152163</v>
      </c>
      <c r="G53" s="40"/>
      <c r="H53" s="38"/>
    </row>
    <row r="54" spans="1:8" x14ac:dyDescent="0.75">
      <c r="B54" s="38" t="s">
        <v>40</v>
      </c>
      <c r="D54" s="40">
        <f>+'QIII QB BS SUMMARy'!D24</f>
        <v>1221957.72</v>
      </c>
      <c r="F54" s="40">
        <v>1221958</v>
      </c>
      <c r="G54" s="40"/>
      <c r="H54" s="38"/>
    </row>
    <row r="55" spans="1:8" ht="15.5" thickBot="1" x14ac:dyDescent="0.9">
      <c r="B55" s="38" t="s">
        <v>25</v>
      </c>
      <c r="D55" s="41">
        <f>+'QIII QB BS SUMMARy'!D25</f>
        <v>647901.41</v>
      </c>
      <c r="F55" s="41">
        <v>619008</v>
      </c>
      <c r="G55" s="40"/>
      <c r="H55" s="38"/>
    </row>
    <row r="56" spans="1:8" x14ac:dyDescent="0.75">
      <c r="B56" s="39" t="s">
        <v>26</v>
      </c>
      <c r="C56" s="39"/>
      <c r="D56" s="37">
        <f>+D52+D53+D54+D55</f>
        <v>2847663.0700000003</v>
      </c>
      <c r="F56" s="37">
        <f>SUM(F52:F55)</f>
        <v>2955966</v>
      </c>
      <c r="G56" s="37"/>
      <c r="H56" s="38"/>
    </row>
    <row r="57" spans="1:8" ht="15.5" thickBot="1" x14ac:dyDescent="0.9">
      <c r="D57" s="44"/>
      <c r="F57" s="44"/>
      <c r="G57" s="40"/>
      <c r="H57" s="38"/>
    </row>
    <row r="58" spans="1:8" x14ac:dyDescent="0.75">
      <c r="B58" s="39" t="s">
        <v>27</v>
      </c>
      <c r="C58" s="39"/>
      <c r="D58" s="37">
        <f>+D50+D56</f>
        <v>2983726.2500000005</v>
      </c>
      <c r="F58" s="37">
        <f>+F50+F56</f>
        <v>3127202</v>
      </c>
      <c r="G58" s="37"/>
      <c r="H58" s="38"/>
    </row>
    <row r="59" spans="1:8" x14ac:dyDescent="0.75">
      <c r="G59" s="40"/>
      <c r="H59" s="38"/>
    </row>
    <row r="60" spans="1:8" x14ac:dyDescent="0.75">
      <c r="A60" s="39" t="s">
        <v>28</v>
      </c>
      <c r="G60" s="40"/>
      <c r="H60" s="38"/>
    </row>
    <row r="61" spans="1:8" x14ac:dyDescent="0.75">
      <c r="A61" s="39"/>
      <c r="G61" s="40"/>
      <c r="H61" s="38"/>
    </row>
    <row r="62" spans="1:8" x14ac:dyDescent="0.75">
      <c r="G62" s="40"/>
      <c r="H62" s="38"/>
    </row>
    <row r="63" spans="1:8" x14ac:dyDescent="0.75">
      <c r="B63" s="38" t="s">
        <v>216</v>
      </c>
      <c r="D63" s="40">
        <f>+'QIII QB BS SUMMARy'!D34+970000</f>
        <v>970038.8</v>
      </c>
      <c r="G63" s="40"/>
      <c r="H63" s="38"/>
    </row>
    <row r="64" spans="1:8" x14ac:dyDescent="0.75">
      <c r="B64" s="38" t="s">
        <v>29</v>
      </c>
      <c r="D64" s="40">
        <f>+'QIII QB BS SUMMARy'!D33</f>
        <v>46184.14</v>
      </c>
      <c r="F64" s="40">
        <v>30655</v>
      </c>
      <c r="G64" s="40"/>
      <c r="H64" s="38"/>
    </row>
    <row r="65" spans="1:8" x14ac:dyDescent="0.75">
      <c r="B65" s="38" t="s">
        <v>30</v>
      </c>
      <c r="D65" s="40">
        <f>+'QIII QB BS SUMMARy'!D35-970000</f>
        <v>7436996.9700000007</v>
      </c>
      <c r="F65" s="40">
        <v>6625782</v>
      </c>
      <c r="G65" s="40"/>
      <c r="H65" s="38"/>
    </row>
    <row r="66" spans="1:8" x14ac:dyDescent="0.75">
      <c r="B66" s="38" t="s">
        <v>467</v>
      </c>
      <c r="D66" s="40">
        <f>+'QIII QB BS SUMMARy'!D36</f>
        <v>-94000</v>
      </c>
      <c r="F66" s="40"/>
      <c r="G66" s="37"/>
      <c r="H66" s="38"/>
    </row>
    <row r="67" spans="1:8" x14ac:dyDescent="0.75">
      <c r="B67" s="38" t="s">
        <v>31</v>
      </c>
      <c r="D67" s="40">
        <f>+'QIII QB BS SUMMARy'!D37</f>
        <v>-9496924.1300000008</v>
      </c>
      <c r="F67" s="40">
        <f>+'[1]QII 2019 IS'!$D$63</f>
        <v>-8880576.0500000007</v>
      </c>
      <c r="G67" s="40"/>
      <c r="H67" s="38"/>
    </row>
    <row r="68" spans="1:8" ht="15.5" thickBot="1" x14ac:dyDescent="0.9">
      <c r="B68" s="38" t="s">
        <v>32</v>
      </c>
      <c r="D68" s="41">
        <f>+'QIII QB BS SUMMARy'!D38</f>
        <v>-824500.6</v>
      </c>
      <c r="F68" s="41">
        <v>-199447</v>
      </c>
      <c r="G68" s="161"/>
      <c r="H68" s="38"/>
    </row>
    <row r="69" spans="1:8" ht="15.5" customHeight="1" thickBot="1" x14ac:dyDescent="0.9">
      <c r="A69" s="39" t="s">
        <v>470</v>
      </c>
      <c r="C69" s="39"/>
      <c r="D69" s="46">
        <f>+D64+D63+D65+D66+D67+D68</f>
        <v>-1962204.8200000008</v>
      </c>
      <c r="F69" s="78">
        <f>+F64+F65+F67+F68</f>
        <v>-2423586.0500000007</v>
      </c>
      <c r="H69" s="38"/>
    </row>
    <row r="70" spans="1:8" ht="18" customHeight="1" thickBot="1" x14ac:dyDescent="0.9">
      <c r="A70" s="39"/>
      <c r="D70" s="162"/>
      <c r="F70" s="37"/>
      <c r="H70" s="38"/>
    </row>
    <row r="71" spans="1:8" ht="20.5" customHeight="1" thickBot="1" x14ac:dyDescent="0.9">
      <c r="A71" s="39" t="s">
        <v>34</v>
      </c>
      <c r="D71" s="78">
        <f>+D58+D69</f>
        <v>1021521.4299999997</v>
      </c>
      <c r="F71" s="46">
        <f>+F58+F69</f>
        <v>703615.94999999925</v>
      </c>
    </row>
    <row r="72" spans="1:8" x14ac:dyDescent="0.75">
      <c r="D72" s="40"/>
      <c r="F72" s="40"/>
      <c r="H72" s="38"/>
    </row>
    <row r="73" spans="1:8" x14ac:dyDescent="0.75">
      <c r="A73" s="37" t="s">
        <v>37</v>
      </c>
      <c r="H73" s="38"/>
    </row>
    <row r="74" spans="1:8" x14ac:dyDescent="0.75">
      <c r="A74" s="37" t="s">
        <v>469</v>
      </c>
      <c r="D74" s="40"/>
      <c r="F74" s="40"/>
      <c r="H74" s="38"/>
    </row>
    <row r="75" spans="1:8" ht="17.5" customHeight="1" x14ac:dyDescent="0.75">
      <c r="A75" s="39" t="s">
        <v>53</v>
      </c>
      <c r="D75" s="81">
        <v>2020</v>
      </c>
      <c r="H75" s="38"/>
    </row>
    <row r="76" spans="1:8" x14ac:dyDescent="0.75">
      <c r="A76" s="39"/>
      <c r="D76" s="40"/>
      <c r="H76" s="38"/>
    </row>
    <row r="77" spans="1:8" ht="15.75" customHeight="1" thickBot="1" x14ac:dyDescent="0.9">
      <c r="A77" s="39" t="s">
        <v>487</v>
      </c>
      <c r="D77" s="78">
        <f>+D27</f>
        <v>-353387.40000000008</v>
      </c>
      <c r="H77" s="38"/>
    </row>
    <row r="78" spans="1:8" x14ac:dyDescent="0.75">
      <c r="D78" s="40"/>
      <c r="H78" s="38"/>
    </row>
    <row r="79" spans="1:8" x14ac:dyDescent="0.75">
      <c r="B79" s="38" t="s">
        <v>49</v>
      </c>
      <c r="D79" s="40">
        <f>-D22</f>
        <v>13557.59</v>
      </c>
      <c r="H79" s="38"/>
    </row>
    <row r="80" spans="1:8" x14ac:dyDescent="0.75">
      <c r="B80" s="38" t="s">
        <v>479</v>
      </c>
      <c r="D80" s="79">
        <v>-29348</v>
      </c>
      <c r="H80" s="38"/>
    </row>
    <row r="81" spans="1:8" ht="17" customHeight="1" x14ac:dyDescent="0.75">
      <c r="B81" s="38" t="s">
        <v>480</v>
      </c>
      <c r="D81" s="100">
        <f>-37510-8920</f>
        <v>-46430</v>
      </c>
      <c r="H81" s="38"/>
    </row>
    <row r="82" spans="1:8" ht="17" customHeight="1" thickBot="1" x14ac:dyDescent="0.9">
      <c r="B82" s="38" t="s">
        <v>231</v>
      </c>
      <c r="D82" s="80">
        <v>0</v>
      </c>
      <c r="H82" s="38"/>
    </row>
    <row r="83" spans="1:8" ht="17" customHeight="1" x14ac:dyDescent="0.75">
      <c r="B83" s="39" t="s">
        <v>232</v>
      </c>
      <c r="C83" s="39"/>
      <c r="D83" s="37">
        <f>SUM(D77:D82)</f>
        <v>-415607.81000000006</v>
      </c>
      <c r="H83" s="38"/>
    </row>
    <row r="84" spans="1:8" x14ac:dyDescent="0.75">
      <c r="A84" s="39"/>
      <c r="B84" s="39"/>
      <c r="C84" s="39"/>
      <c r="D84" s="37"/>
      <c r="H84" s="38"/>
    </row>
    <row r="85" spans="1:8" ht="16.5" customHeight="1" x14ac:dyDescent="0.75">
      <c r="A85" s="39" t="s">
        <v>471</v>
      </c>
      <c r="D85" s="40"/>
      <c r="H85" s="38"/>
    </row>
    <row r="86" spans="1:8" ht="16.5" customHeight="1" x14ac:dyDescent="0.75">
      <c r="B86" s="38" t="s">
        <v>218</v>
      </c>
      <c r="D86" s="40">
        <v>375000</v>
      </c>
      <c r="H86" s="38"/>
    </row>
    <row r="87" spans="1:8" x14ac:dyDescent="0.75">
      <c r="B87" s="38" t="s">
        <v>82</v>
      </c>
      <c r="D87" s="40">
        <f>-D23</f>
        <v>55302.770000000004</v>
      </c>
      <c r="H87" s="38"/>
    </row>
    <row r="88" spans="1:8" x14ac:dyDescent="0.75">
      <c r="B88" s="38" t="s">
        <v>39</v>
      </c>
      <c r="D88" s="40">
        <f>-D24</f>
        <v>21739.71</v>
      </c>
      <c r="H88" s="38"/>
    </row>
    <row r="89" spans="1:8" ht="15.5" thickBot="1" x14ac:dyDescent="0.9">
      <c r="B89" s="38" t="s">
        <v>35</v>
      </c>
      <c r="D89" s="41">
        <f>-D25</f>
        <v>10136.94</v>
      </c>
      <c r="H89" s="38"/>
    </row>
    <row r="90" spans="1:8" x14ac:dyDescent="0.75">
      <c r="B90" s="39" t="s">
        <v>118</v>
      </c>
      <c r="C90" s="39"/>
      <c r="D90" s="37">
        <f>SUM(D85:D89)</f>
        <v>462179.42000000004</v>
      </c>
      <c r="H90" s="38"/>
    </row>
    <row r="91" spans="1:8" ht="15.5" thickBot="1" x14ac:dyDescent="0.9">
      <c r="D91" s="78"/>
      <c r="H91" s="38"/>
    </row>
    <row r="92" spans="1:8" x14ac:dyDescent="0.75">
      <c r="A92" s="39" t="s">
        <v>481</v>
      </c>
      <c r="D92" s="37">
        <f>+D83+D90</f>
        <v>46571.609999999986</v>
      </c>
      <c r="H92" s="38"/>
    </row>
    <row r="93" spans="1:8" x14ac:dyDescent="0.75">
      <c r="B93" s="39"/>
      <c r="C93" s="39"/>
      <c r="D93" s="40"/>
      <c r="H93" s="38"/>
    </row>
    <row r="94" spans="1:8" x14ac:dyDescent="0.75">
      <c r="B94" s="39" t="s">
        <v>472</v>
      </c>
      <c r="D94" s="37">
        <v>317441</v>
      </c>
      <c r="H94" s="38"/>
    </row>
    <row r="95" spans="1:8" ht="12" customHeight="1" thickBot="1" x14ac:dyDescent="0.9">
      <c r="B95" s="39"/>
      <c r="C95" s="39"/>
      <c r="D95" s="44"/>
      <c r="H95" s="38"/>
    </row>
    <row r="96" spans="1:8" ht="14.25" customHeight="1" thickBot="1" x14ac:dyDescent="0.9">
      <c r="B96" s="39" t="s">
        <v>473</v>
      </c>
      <c r="D96" s="163">
        <f>+D92+D94</f>
        <v>364012.61</v>
      </c>
      <c r="H96" s="38"/>
    </row>
    <row r="97" spans="1:8" ht="0.5" customHeight="1" x14ac:dyDescent="0.75">
      <c r="B97" s="39"/>
      <c r="D97" s="143"/>
      <c r="H97" s="38"/>
    </row>
    <row r="98" spans="1:8" ht="14.25" hidden="1" customHeight="1" x14ac:dyDescent="0.75">
      <c r="B98" s="39"/>
      <c r="C98" s="38" t="s">
        <v>474</v>
      </c>
      <c r="D98" s="143">
        <v>364013</v>
      </c>
      <c r="H98" s="38"/>
    </row>
    <row r="99" spans="1:8" ht="15.75" hidden="1" customHeight="1" x14ac:dyDescent="0.75">
      <c r="H99" s="38"/>
    </row>
    <row r="100" spans="1:8" ht="14" hidden="1" customHeight="1" x14ac:dyDescent="0.75">
      <c r="C100" s="38" t="s">
        <v>314</v>
      </c>
      <c r="D100" s="79">
        <f>+D96-D98</f>
        <v>-0.39000000001396984</v>
      </c>
      <c r="G100" s="39"/>
      <c r="H100" s="38"/>
    </row>
    <row r="101" spans="1:8" x14ac:dyDescent="0.75">
      <c r="D101" s="79"/>
      <c r="G101" s="39"/>
    </row>
    <row r="102" spans="1:8" ht="20.5" customHeight="1" x14ac:dyDescent="0.75">
      <c r="A102" s="39" t="s">
        <v>55</v>
      </c>
      <c r="D102" s="37"/>
    </row>
    <row r="103" spans="1:8" x14ac:dyDescent="0.75">
      <c r="A103" s="37" t="s">
        <v>475</v>
      </c>
    </row>
    <row r="104" spans="1:8" x14ac:dyDescent="0.75">
      <c r="A104" s="39" t="s">
        <v>54</v>
      </c>
      <c r="F104" s="40"/>
    </row>
    <row r="105" spans="1:8" x14ac:dyDescent="0.75">
      <c r="A105" s="39"/>
      <c r="E105" s="39" t="s">
        <v>114</v>
      </c>
      <c r="F105" s="39" t="s">
        <v>57</v>
      </c>
    </row>
    <row r="106" spans="1:8" x14ac:dyDescent="0.75">
      <c r="A106" s="39"/>
      <c r="D106" s="164" t="s">
        <v>36</v>
      </c>
      <c r="E106" s="39" t="s">
        <v>115</v>
      </c>
      <c r="F106" s="39" t="s">
        <v>58</v>
      </c>
    </row>
    <row r="107" spans="1:8" x14ac:dyDescent="0.75">
      <c r="A107" s="39"/>
      <c r="B107" s="39"/>
      <c r="C107" s="39"/>
      <c r="D107" s="164"/>
      <c r="F107" s="39"/>
    </row>
    <row r="108" spans="1:8" ht="15.5" thickBot="1" x14ac:dyDescent="0.9">
      <c r="A108" s="39" t="s">
        <v>482</v>
      </c>
      <c r="B108" s="39"/>
      <c r="C108" s="39"/>
      <c r="D108" s="78">
        <v>45880867</v>
      </c>
      <c r="E108" s="78">
        <v>22652</v>
      </c>
      <c r="F108" s="78">
        <v>6633784</v>
      </c>
    </row>
    <row r="109" spans="1:8" x14ac:dyDescent="0.75">
      <c r="A109" s="39"/>
      <c r="B109" s="39"/>
      <c r="C109" s="39"/>
      <c r="D109" s="43"/>
      <c r="E109" s="43"/>
      <c r="F109" s="43"/>
    </row>
    <row r="110" spans="1:8" x14ac:dyDescent="0.75">
      <c r="A110" s="39"/>
      <c r="B110"/>
      <c r="C110"/>
      <c r="D110"/>
      <c r="E110" s="43"/>
      <c r="F110" s="43"/>
    </row>
    <row r="111" spans="1:8" x14ac:dyDescent="0.75">
      <c r="B111" s="39" t="s">
        <v>485</v>
      </c>
      <c r="C111" s="39"/>
      <c r="D111" s="37">
        <v>324333</v>
      </c>
      <c r="E111" s="37">
        <v>23532</v>
      </c>
      <c r="F111" s="37">
        <v>803210</v>
      </c>
    </row>
    <row r="112" spans="1:8" ht="15.5" thickBot="1" x14ac:dyDescent="0.9">
      <c r="D112" s="44"/>
      <c r="E112" s="44"/>
      <c r="F112" s="44"/>
    </row>
    <row r="113" spans="1:7" x14ac:dyDescent="0.75">
      <c r="A113" s="39" t="s">
        <v>484</v>
      </c>
      <c r="B113" s="39"/>
      <c r="C113" s="39"/>
      <c r="D113" s="37">
        <v>46205200</v>
      </c>
      <c r="E113" s="37">
        <v>46184</v>
      </c>
      <c r="F113" s="37">
        <f>8406997-970039</f>
        <v>7436958</v>
      </c>
    </row>
    <row r="114" spans="1:7" x14ac:dyDescent="0.75">
      <c r="A114" s="39"/>
      <c r="D114" s="37"/>
      <c r="E114" s="37"/>
      <c r="F114" s="37"/>
    </row>
    <row r="115" spans="1:7" x14ac:dyDescent="0.75">
      <c r="A115" s="39" t="s">
        <v>116</v>
      </c>
      <c r="D115" s="37"/>
      <c r="F115" s="40"/>
    </row>
    <row r="116" spans="1:7" x14ac:dyDescent="0.75">
      <c r="A116" s="39"/>
      <c r="B116" s="39" t="s">
        <v>117</v>
      </c>
      <c r="C116" s="39"/>
      <c r="D116" s="37">
        <f>+D113</f>
        <v>46205200</v>
      </c>
      <c r="F116" s="40"/>
    </row>
    <row r="117" spans="1:7" x14ac:dyDescent="0.75">
      <c r="B117" s="39" t="s">
        <v>56</v>
      </c>
      <c r="C117" s="39"/>
      <c r="D117" s="37">
        <v>20745754</v>
      </c>
      <c r="F117" s="40"/>
    </row>
    <row r="118" spans="1:7" ht="15.5" thickBot="1" x14ac:dyDescent="0.9">
      <c r="A118" s="39"/>
      <c r="B118" s="39" t="s">
        <v>486</v>
      </c>
      <c r="C118" s="39"/>
      <c r="D118" s="78">
        <v>7650000</v>
      </c>
      <c r="F118" s="40"/>
      <c r="G118" s="40"/>
    </row>
    <row r="119" spans="1:7" ht="15.5" thickBot="1" x14ac:dyDescent="0.9">
      <c r="A119" s="39"/>
      <c r="B119" s="39"/>
      <c r="C119" s="39"/>
      <c r="D119" s="47">
        <f>SUM(D116:D118)</f>
        <v>74600954</v>
      </c>
      <c r="G119" s="40"/>
    </row>
    <row r="120" spans="1:7" x14ac:dyDescent="0.75">
      <c r="A120" s="39"/>
      <c r="B120" s="39"/>
      <c r="C120" s="39"/>
      <c r="D120" s="143"/>
      <c r="G120" s="40"/>
    </row>
    <row r="121" spans="1:7" x14ac:dyDescent="0.75">
      <c r="A121" s="39"/>
      <c r="B121" s="39"/>
      <c r="C121" s="39"/>
      <c r="D121" s="143"/>
      <c r="G121" s="40"/>
    </row>
    <row r="122" spans="1:7" x14ac:dyDescent="0.75">
      <c r="A122" s="39" t="s">
        <v>37</v>
      </c>
      <c r="B122" s="39"/>
      <c r="C122" s="39"/>
      <c r="D122" s="143"/>
      <c r="G122" s="40"/>
    </row>
    <row r="123" spans="1:7" x14ac:dyDescent="0.75">
      <c r="A123" s="39" t="s">
        <v>478</v>
      </c>
      <c r="B123" s="39"/>
      <c r="C123" s="39"/>
      <c r="D123" s="143"/>
      <c r="G123" s="40"/>
    </row>
    <row r="124" spans="1:7" x14ac:dyDescent="0.75">
      <c r="A124" s="39" t="s">
        <v>50</v>
      </c>
      <c r="B124" s="39"/>
      <c r="D124" s="168" t="s">
        <v>476</v>
      </c>
      <c r="E124" s="169"/>
      <c r="F124" s="168" t="s">
        <v>477</v>
      </c>
      <c r="G124" s="40"/>
    </row>
    <row r="125" spans="1:7" x14ac:dyDescent="0.75">
      <c r="A125" s="39"/>
      <c r="B125" s="39"/>
      <c r="D125" s="81">
        <v>2020</v>
      </c>
      <c r="E125" s="81"/>
      <c r="F125" s="81">
        <v>2020</v>
      </c>
      <c r="G125" s="40"/>
    </row>
    <row r="126" spans="1:7" x14ac:dyDescent="0.75">
      <c r="A126" s="39"/>
      <c r="B126" s="39"/>
      <c r="G126" s="40"/>
    </row>
    <row r="127" spans="1:7" x14ac:dyDescent="0.75">
      <c r="B127" s="39"/>
      <c r="D127" s="40"/>
      <c r="E127" s="40"/>
      <c r="F127" s="40"/>
      <c r="G127" s="40"/>
    </row>
    <row r="128" spans="1:7" x14ac:dyDescent="0.75">
      <c r="A128" s="38" t="s">
        <v>84</v>
      </c>
      <c r="B128" s="39"/>
      <c r="D128" s="40">
        <f>+D5</f>
        <v>74150</v>
      </c>
      <c r="E128" s="40"/>
      <c r="F128" s="40">
        <v>82050</v>
      </c>
      <c r="G128" s="37"/>
    </row>
    <row r="129" spans="1:8" x14ac:dyDescent="0.75">
      <c r="A129" s="38" t="s">
        <v>2</v>
      </c>
      <c r="D129" s="40">
        <f t="shared" ref="D129:D130" si="0">+D6</f>
        <v>57914.520000000004</v>
      </c>
      <c r="E129" s="40"/>
      <c r="F129" s="40">
        <v>43288</v>
      </c>
      <c r="G129" s="40"/>
    </row>
    <row r="130" spans="1:8" ht="15.5" thickBot="1" x14ac:dyDescent="0.9">
      <c r="A130" s="38" t="s">
        <v>83</v>
      </c>
      <c r="D130" s="41">
        <f t="shared" si="0"/>
        <v>0</v>
      </c>
      <c r="E130" s="40"/>
      <c r="F130" s="41">
        <v>3293</v>
      </c>
      <c r="G130" s="40"/>
    </row>
    <row r="131" spans="1:8" x14ac:dyDescent="0.75">
      <c r="A131" s="39" t="s">
        <v>4</v>
      </c>
      <c r="D131" s="37">
        <f>SUM(D128:D130)</f>
        <v>132064.52000000002</v>
      </c>
      <c r="E131" s="37"/>
      <c r="F131" s="37">
        <f>SUM(F128:F130)</f>
        <v>128631</v>
      </c>
      <c r="G131" s="40"/>
    </row>
    <row r="132" spans="1:8" x14ac:dyDescent="0.75">
      <c r="D132" s="40"/>
      <c r="E132" s="40"/>
      <c r="F132" s="40"/>
    </row>
    <row r="133" spans="1:8" x14ac:dyDescent="0.75">
      <c r="A133" s="38" t="s">
        <v>5</v>
      </c>
      <c r="B133" s="39"/>
      <c r="C133" s="39"/>
      <c r="D133" s="40">
        <f t="shared" ref="D133" si="1">+D10</f>
        <v>48274.149999999994</v>
      </c>
      <c r="E133" s="40"/>
      <c r="F133" s="40">
        <v>46727</v>
      </c>
      <c r="G133"/>
    </row>
    <row r="134" spans="1:8" ht="15.5" thickBot="1" x14ac:dyDescent="0.9">
      <c r="D134" s="41"/>
      <c r="E134" s="40"/>
      <c r="F134" s="41"/>
    </row>
    <row r="135" spans="1:8" x14ac:dyDescent="0.75">
      <c r="A135" s="39" t="s">
        <v>6</v>
      </c>
      <c r="D135" s="161">
        <f>+D131-D133</f>
        <v>83790.370000000024</v>
      </c>
      <c r="E135" s="165">
        <f>+D135/D131</f>
        <v>0.63446541130047651</v>
      </c>
      <c r="F135" s="161">
        <f>+F131-F133</f>
        <v>81904</v>
      </c>
      <c r="G135" s="165">
        <f>+F135/F131</f>
        <v>0.63673609005605181</v>
      </c>
    </row>
    <row r="136" spans="1:8" x14ac:dyDescent="0.75">
      <c r="D136" s="40"/>
      <c r="F136" s="40"/>
    </row>
    <row r="137" spans="1:8" x14ac:dyDescent="0.75">
      <c r="A137" s="38" t="s">
        <v>12</v>
      </c>
      <c r="B137" s="39"/>
      <c r="C137" s="39"/>
      <c r="D137" s="40">
        <f t="shared" ref="D137:D140" si="2">+D14</f>
        <v>99358.83</v>
      </c>
      <c r="F137" s="40">
        <v>79351</v>
      </c>
    </row>
    <row r="138" spans="1:8" x14ac:dyDescent="0.75">
      <c r="A138" s="38" t="s">
        <v>13</v>
      </c>
      <c r="D138" s="40">
        <f t="shared" si="2"/>
        <v>18369.509999999998</v>
      </c>
      <c r="F138" s="40">
        <v>9443</v>
      </c>
      <c r="G138" s="39"/>
    </row>
    <row r="139" spans="1:8" x14ac:dyDescent="0.75">
      <c r="A139" s="38" t="s">
        <v>95</v>
      </c>
      <c r="D139" s="40">
        <f t="shared" si="2"/>
        <v>130026.4</v>
      </c>
      <c r="F139" s="40">
        <v>127304</v>
      </c>
    </row>
    <row r="140" spans="1:8" ht="15.5" thickBot="1" x14ac:dyDescent="0.9">
      <c r="A140" s="38" t="s">
        <v>8</v>
      </c>
      <c r="D140" s="41">
        <f t="shared" si="2"/>
        <v>88687.01999999999</v>
      </c>
      <c r="F140" s="41">
        <v>65387</v>
      </c>
      <c r="G140" s="39"/>
    </row>
    <row r="141" spans="1:8" x14ac:dyDescent="0.75">
      <c r="A141" s="39" t="s">
        <v>51</v>
      </c>
      <c r="D141" s="37">
        <f>SUM(D137:D140)</f>
        <v>336441.76</v>
      </c>
      <c r="E141" s="39"/>
      <c r="F141" s="37">
        <f>SUM(F137:F140)</f>
        <v>281485</v>
      </c>
    </row>
    <row r="142" spans="1:8" x14ac:dyDescent="0.75">
      <c r="D142" s="40"/>
      <c r="F142" s="40"/>
    </row>
    <row r="143" spans="1:8" x14ac:dyDescent="0.75">
      <c r="A143" s="39" t="s">
        <v>230</v>
      </c>
      <c r="B143" s="39"/>
      <c r="C143" s="39"/>
      <c r="D143" s="37">
        <f>+D135-D141</f>
        <v>-252651.38999999998</v>
      </c>
      <c r="E143" s="39"/>
      <c r="F143" s="37">
        <f>+F135-F141</f>
        <v>-199581</v>
      </c>
    </row>
    <row r="144" spans="1:8" x14ac:dyDescent="0.75">
      <c r="D144" s="40"/>
      <c r="F144" s="40"/>
      <c r="H144" s="38"/>
    </row>
    <row r="145" spans="1:8" x14ac:dyDescent="0.75">
      <c r="A145" s="38" t="s">
        <v>52</v>
      </c>
      <c r="B145" s="39"/>
      <c r="C145" s="39"/>
      <c r="D145" s="40">
        <f>+D22</f>
        <v>-13557.59</v>
      </c>
      <c r="F145" s="40">
        <v>-22380</v>
      </c>
      <c r="H145" s="38"/>
    </row>
    <row r="146" spans="1:8" x14ac:dyDescent="0.75">
      <c r="A146" s="38" t="s">
        <v>48</v>
      </c>
      <c r="D146" s="40">
        <f t="shared" ref="D146:D148" si="3">+D23</f>
        <v>-55302.770000000004</v>
      </c>
      <c r="F146" s="40">
        <v>0</v>
      </c>
      <c r="H146" s="38"/>
    </row>
    <row r="147" spans="1:8" x14ac:dyDescent="0.75">
      <c r="A147" s="38" t="s">
        <v>38</v>
      </c>
      <c r="D147" s="40">
        <f t="shared" si="3"/>
        <v>-21739.71</v>
      </c>
      <c r="F147" s="40">
        <v>-24884</v>
      </c>
      <c r="G147" s="39"/>
      <c r="H147" s="38"/>
    </row>
    <row r="148" spans="1:8" x14ac:dyDescent="0.75">
      <c r="A148" s="38" t="s">
        <v>39</v>
      </c>
      <c r="D148" s="40">
        <f t="shared" si="3"/>
        <v>-10136.94</v>
      </c>
      <c r="F148" s="40">
        <v>-9986</v>
      </c>
      <c r="H148" s="38"/>
    </row>
    <row r="149" spans="1:8" ht="15.5" thickBot="1" x14ac:dyDescent="0.9">
      <c r="D149" s="41"/>
      <c r="F149" s="41"/>
      <c r="H149" s="38"/>
    </row>
    <row r="150" spans="1:8" x14ac:dyDescent="0.75">
      <c r="A150" s="39" t="s">
        <v>15</v>
      </c>
      <c r="D150" s="37">
        <f>SUM(D143:D149)</f>
        <v>-353388.4</v>
      </c>
      <c r="E150" s="39"/>
      <c r="F150" s="37">
        <f>+F143+F145+F146+F147+F148</f>
        <v>-256831</v>
      </c>
      <c r="H150" s="38"/>
    </row>
    <row r="151" spans="1:8" s="39" customFormat="1" x14ac:dyDescent="0.75">
      <c r="B151" s="38"/>
      <c r="C151" s="38"/>
      <c r="D151" s="143"/>
      <c r="E151" s="38"/>
      <c r="F151" s="38"/>
      <c r="G151" s="38"/>
      <c r="H151" s="38"/>
    </row>
    <row r="152" spans="1:8" x14ac:dyDescent="0.75">
      <c r="B152" s="39"/>
      <c r="C152" s="39"/>
      <c r="H152" s="38"/>
    </row>
    <row r="153" spans="1:8" x14ac:dyDescent="0.75">
      <c r="B153" s="39"/>
      <c r="C153" s="39"/>
      <c r="H153" s="38"/>
    </row>
    <row r="154" spans="1:8" x14ac:dyDescent="0.75">
      <c r="H154" s="38"/>
    </row>
    <row r="155" spans="1:8" s="39" customFormat="1" x14ac:dyDescent="0.75">
      <c r="A155" s="38"/>
      <c r="B155" s="38"/>
      <c r="C155" s="38"/>
      <c r="D155" s="38"/>
      <c r="E155" s="38"/>
      <c r="F155" s="38"/>
      <c r="G155" s="38"/>
      <c r="H155" s="38"/>
    </row>
    <row r="156" spans="1:8" x14ac:dyDescent="0.75">
      <c r="H156" s="38"/>
    </row>
    <row r="157" spans="1:8" x14ac:dyDescent="0.75">
      <c r="H157" s="38"/>
    </row>
    <row r="158" spans="1:8" x14ac:dyDescent="0.75">
      <c r="H158" s="38"/>
    </row>
    <row r="159" spans="1:8" x14ac:dyDescent="0.75">
      <c r="H159" s="38"/>
    </row>
    <row r="160" spans="1:8" x14ac:dyDescent="0.75">
      <c r="H160" s="38"/>
    </row>
    <row r="161" spans="1:8" s="39" customFormat="1" x14ac:dyDescent="0.75">
      <c r="A161" s="38"/>
      <c r="B161" s="38"/>
      <c r="C161" s="38"/>
      <c r="D161" s="38"/>
      <c r="E161" s="38"/>
      <c r="F161" s="38"/>
      <c r="G161" s="38"/>
      <c r="H161" s="38"/>
    </row>
    <row r="162" spans="1:8" x14ac:dyDescent="0.75">
      <c r="H162" s="38"/>
    </row>
    <row r="163" spans="1:8" s="39" customFormat="1" x14ac:dyDescent="0.75">
      <c r="A163" s="38"/>
      <c r="B163" s="38"/>
      <c r="C163" s="38"/>
      <c r="D163" s="38"/>
      <c r="E163" s="38"/>
      <c r="F163" s="38"/>
      <c r="G163" s="38"/>
      <c r="H163" s="38"/>
    </row>
    <row r="164" spans="1:8" x14ac:dyDescent="0.75">
      <c r="H164" s="38"/>
    </row>
    <row r="165" spans="1:8" x14ac:dyDescent="0.75">
      <c r="H165" s="38"/>
    </row>
    <row r="166" spans="1:8" x14ac:dyDescent="0.75">
      <c r="H166" s="38"/>
    </row>
    <row r="167" spans="1:8" x14ac:dyDescent="0.75">
      <c r="H167" s="38"/>
    </row>
    <row r="168" spans="1:8" x14ac:dyDescent="0.75">
      <c r="H168" s="38"/>
    </row>
    <row r="169" spans="1:8" x14ac:dyDescent="0.75">
      <c r="H169" s="38"/>
    </row>
    <row r="170" spans="1:8" s="39" customFormat="1" x14ac:dyDescent="0.75">
      <c r="A170" s="38"/>
      <c r="B170" s="38"/>
      <c r="C170" s="38"/>
      <c r="D170" s="38"/>
      <c r="E170" s="38"/>
      <c r="F170" s="38"/>
      <c r="G170" s="38"/>
      <c r="H170" s="38"/>
    </row>
    <row r="171" spans="1:8" x14ac:dyDescent="0.75">
      <c r="H171" s="38"/>
    </row>
    <row r="172" spans="1:8" x14ac:dyDescent="0.75">
      <c r="H172" s="38"/>
    </row>
    <row r="173" spans="1:8" x14ac:dyDescent="0.75">
      <c r="H173" s="38"/>
    </row>
    <row r="174" spans="1:8" x14ac:dyDescent="0.75">
      <c r="H174" s="38"/>
    </row>
    <row r="175" spans="1:8" x14ac:dyDescent="0.75">
      <c r="H175" s="38"/>
    </row>
    <row r="176" spans="1:8" x14ac:dyDescent="0.75">
      <c r="H176" s="38"/>
    </row>
    <row r="179" spans="1:8" s="39" customFormat="1" x14ac:dyDescent="0.75">
      <c r="A179" s="38"/>
      <c r="B179" s="38"/>
      <c r="C179" s="38"/>
      <c r="D179" s="38"/>
      <c r="E179" s="38"/>
      <c r="F179" s="38"/>
      <c r="G179" s="38"/>
      <c r="H179" s="37"/>
    </row>
    <row r="183" spans="1:8" s="39" customFormat="1" x14ac:dyDescent="0.75">
      <c r="A183" s="38"/>
      <c r="B183" s="38"/>
      <c r="C183" s="38"/>
      <c r="D183" s="38"/>
      <c r="E183" s="38"/>
      <c r="F183" s="38"/>
      <c r="G183" s="38"/>
    </row>
    <row r="184" spans="1:8" x14ac:dyDescent="0.75">
      <c r="G184" s="39"/>
      <c r="H184" s="38"/>
    </row>
    <row r="185" spans="1:8" x14ac:dyDescent="0.75">
      <c r="H185" s="38"/>
    </row>
    <row r="186" spans="1:8" x14ac:dyDescent="0.75">
      <c r="H186" s="38"/>
    </row>
    <row r="187" spans="1:8" x14ac:dyDescent="0.75">
      <c r="A187" s="39"/>
      <c r="D187" s="39"/>
      <c r="E187" s="39"/>
      <c r="F187" s="39"/>
      <c r="H187" s="38"/>
    </row>
    <row r="188" spans="1:8" x14ac:dyDescent="0.75">
      <c r="G188" s="39"/>
      <c r="H188" s="38"/>
    </row>
    <row r="189" spans="1:8" s="39" customFormat="1" x14ac:dyDescent="0.75">
      <c r="A189" s="38"/>
      <c r="D189" s="38"/>
      <c r="E189" s="38"/>
      <c r="F189" s="38"/>
      <c r="G189" s="38"/>
    </row>
    <row r="190" spans="1:8" x14ac:dyDescent="0.75">
      <c r="H190" s="38"/>
    </row>
    <row r="191" spans="1:8" s="39" customFormat="1" x14ac:dyDescent="0.75">
      <c r="B191" s="38"/>
      <c r="C191" s="38"/>
      <c r="G191" s="38"/>
    </row>
    <row r="192" spans="1:8" x14ac:dyDescent="0.75">
      <c r="H192" s="38"/>
    </row>
    <row r="193" spans="1:8" x14ac:dyDescent="0.75">
      <c r="B193" s="39"/>
      <c r="C193" s="39"/>
      <c r="H193" s="38"/>
    </row>
    <row r="194" spans="1:8" x14ac:dyDescent="0.75">
      <c r="G194" s="39"/>
      <c r="H194" s="38"/>
    </row>
    <row r="195" spans="1:8" x14ac:dyDescent="0.75">
      <c r="H195" s="38"/>
    </row>
    <row r="196" spans="1:8" x14ac:dyDescent="0.75">
      <c r="G196" s="39"/>
      <c r="H196" s="38"/>
    </row>
    <row r="197" spans="1:8" x14ac:dyDescent="0.75">
      <c r="A197" s="39"/>
      <c r="D197" s="39"/>
      <c r="E197" s="39"/>
      <c r="F197" s="39"/>
      <c r="H197" s="38"/>
    </row>
    <row r="198" spans="1:8" s="39" customFormat="1" x14ac:dyDescent="0.75">
      <c r="A198" s="38"/>
      <c r="B198" s="38"/>
      <c r="C198" s="38"/>
      <c r="D198" s="38"/>
      <c r="E198" s="38"/>
      <c r="F198" s="38"/>
      <c r="G198" s="38"/>
    </row>
    <row r="199" spans="1:8" x14ac:dyDescent="0.75">
      <c r="A199" s="39"/>
      <c r="B199" s="39"/>
      <c r="C199" s="39"/>
      <c r="D199" s="39"/>
      <c r="E199" s="39"/>
      <c r="F199" s="39"/>
      <c r="H199" s="38"/>
    </row>
    <row r="200" spans="1:8" x14ac:dyDescent="0.75">
      <c r="H200" s="38"/>
    </row>
    <row r="201" spans="1:8" x14ac:dyDescent="0.75">
      <c r="B201" s="39"/>
      <c r="C201" s="39"/>
      <c r="H201" s="38"/>
    </row>
    <row r="202" spans="1:8" x14ac:dyDescent="0.75">
      <c r="H202" s="38"/>
    </row>
    <row r="203" spans="1:8" x14ac:dyDescent="0.75">
      <c r="G203" s="39"/>
      <c r="H203" s="38"/>
    </row>
    <row r="204" spans="1:8" x14ac:dyDescent="0.75">
      <c r="H204" s="38"/>
    </row>
    <row r="205" spans="1:8" x14ac:dyDescent="0.75">
      <c r="H205" s="38"/>
    </row>
    <row r="206" spans="1:8" x14ac:dyDescent="0.75">
      <c r="A206" s="39"/>
      <c r="D206" s="39"/>
      <c r="E206" s="39"/>
      <c r="F206" s="39"/>
      <c r="H206" s="38"/>
    </row>
    <row r="207" spans="1:8" x14ac:dyDescent="0.75">
      <c r="H207" s="38"/>
    </row>
    <row r="208" spans="1:8" x14ac:dyDescent="0.75">
      <c r="B208" s="39"/>
      <c r="C208" s="39"/>
    </row>
  </sheetData>
  <pageMargins left="0.25" right="0.25" top="0.75" bottom="0.75" header="0.3" footer="0.3"/>
  <pageSetup orientation="portrait" r:id="rId1"/>
  <rowBreaks count="5" manualBreakCount="5">
    <brk id="27" max="16383" man="1"/>
    <brk id="71" max="16383" man="1"/>
    <brk id="100" max="16383" man="1"/>
    <brk id="120" max="16383" man="1"/>
    <brk id="170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2AA0-9213-4B15-AA14-D594C25AF87F}">
  <dimension ref="A1:AH158"/>
  <sheetViews>
    <sheetView workbookViewId="0">
      <pane xSplit="4805" ySplit="1620" topLeftCell="A29" activePane="bottomRight"/>
      <selection activeCell="D26" sqref="D26"/>
      <selection pane="topRight" activeCell="A18" sqref="A18"/>
      <selection pane="bottomLeft" activeCell="A18" sqref="A18"/>
      <selection pane="bottomRight" activeCell="G107" sqref="G107"/>
    </sheetView>
  </sheetViews>
  <sheetFormatPr defaultRowHeight="14.75" x14ac:dyDescent="0.75"/>
  <cols>
    <col min="1" max="2" width="8.7265625" style="18"/>
    <col min="3" max="3" width="22.54296875" style="18" customWidth="1"/>
    <col min="4" max="4" width="13.40625" style="18" customWidth="1"/>
    <col min="5" max="5" width="13.40625" style="38" customWidth="1"/>
    <col min="6" max="6" width="29.90625" style="38" customWidth="1"/>
    <col min="7" max="7" width="13.40625" style="38" customWidth="1"/>
    <col min="8" max="8" width="14.76953125" style="38" customWidth="1"/>
    <col min="9" max="11" width="13.40625" style="38" customWidth="1"/>
    <col min="12" max="12" width="8.7265625" style="18"/>
    <col min="13" max="16" width="8.7265625" style="90"/>
    <col min="17" max="17" width="24.5" style="90" customWidth="1"/>
    <col min="18" max="18" width="13" style="90" bestFit="1" customWidth="1"/>
    <col min="19" max="21" width="8.7265625" style="18"/>
    <col min="22" max="22" width="20.08984375" style="18" customWidth="1"/>
    <col min="23" max="23" width="10.6796875" style="18" customWidth="1"/>
    <col min="24" max="24" width="8.7265625" style="18"/>
    <col min="25" max="25" width="10.90625" style="38" customWidth="1"/>
    <col min="26" max="26" width="15.81640625" style="18" customWidth="1"/>
    <col min="27" max="27" width="5.5" customWidth="1"/>
    <col min="28" max="28" width="4.1796875" customWidth="1"/>
    <col min="29" max="29" width="5" customWidth="1"/>
    <col min="30" max="30" width="5.58984375" style="18" customWidth="1"/>
    <col min="31" max="31" width="4.54296875" style="18" customWidth="1"/>
    <col min="32" max="32" width="15.6796875" style="18" customWidth="1"/>
    <col min="33" max="33" width="14.90625" style="18" customWidth="1"/>
    <col min="34" max="34" width="10.08984375" style="18" customWidth="1"/>
    <col min="37" max="37" width="4.81640625" customWidth="1"/>
    <col min="38" max="38" width="10.2265625" customWidth="1"/>
    <col min="39" max="39" width="11.81640625" customWidth="1"/>
    <col min="40" max="40" width="13.1328125" customWidth="1"/>
    <col min="41" max="41" width="10.81640625" customWidth="1"/>
  </cols>
  <sheetData>
    <row r="1" spans="1:34" ht="18" x14ac:dyDescent="0.8">
      <c r="A1" s="6" t="s">
        <v>11</v>
      </c>
      <c r="B1" s="6"/>
      <c r="C1" s="6"/>
      <c r="D1" s="6"/>
      <c r="E1" s="42"/>
      <c r="F1" s="214" t="s">
        <v>37</v>
      </c>
      <c r="G1" s="211"/>
      <c r="H1" s="42"/>
      <c r="I1" s="42"/>
      <c r="J1" s="42"/>
      <c r="K1" s="42"/>
      <c r="T1" s="6" t="s">
        <v>11</v>
      </c>
      <c r="U1" s="6"/>
      <c r="V1" s="6"/>
      <c r="W1" s="6"/>
      <c r="X1" s="6"/>
      <c r="AH1"/>
    </row>
    <row r="2" spans="1:34" ht="18.75" thickBot="1" x14ac:dyDescent="0.95">
      <c r="A2" s="1" t="s">
        <v>315</v>
      </c>
      <c r="B2" s="7"/>
      <c r="C2" s="7"/>
      <c r="D2" s="13">
        <v>2020</v>
      </c>
      <c r="E2" s="89"/>
      <c r="F2" s="214" t="s">
        <v>316</v>
      </c>
      <c r="G2" s="211"/>
      <c r="H2" s="89"/>
      <c r="I2" s="89"/>
      <c r="J2" s="89"/>
      <c r="K2" s="89"/>
      <c r="T2" s="1" t="s">
        <v>217</v>
      </c>
      <c r="U2" s="7"/>
      <c r="V2" s="7"/>
      <c r="W2" s="13">
        <v>2020</v>
      </c>
      <c r="X2" s="7"/>
      <c r="Y2" s="30">
        <v>2019</v>
      </c>
      <c r="AB2" s="29"/>
      <c r="AC2" s="29"/>
      <c r="AD2" s="29"/>
      <c r="AE2" s="29"/>
      <c r="AF2" s="29"/>
      <c r="AG2" s="51" t="s">
        <v>204</v>
      </c>
      <c r="AH2"/>
    </row>
    <row r="3" spans="1:34" ht="16.75" thickTop="1" x14ac:dyDescent="0.8">
      <c r="A3" s="7" t="s">
        <v>16</v>
      </c>
      <c r="F3" s="215" t="s">
        <v>317</v>
      </c>
      <c r="G3" s="211"/>
      <c r="R3" s="92" t="s">
        <v>224</v>
      </c>
      <c r="T3" s="7" t="s">
        <v>16</v>
      </c>
      <c r="Y3" s="40"/>
      <c r="AB3" s="19" t="s">
        <v>17</v>
      </c>
      <c r="AC3" s="19"/>
      <c r="AD3" s="19"/>
      <c r="AE3" s="19"/>
      <c r="AF3" s="19"/>
      <c r="AG3" s="20"/>
      <c r="AH3"/>
    </row>
    <row r="4" spans="1:34" x14ac:dyDescent="0.75">
      <c r="A4" s="9" t="s">
        <v>17</v>
      </c>
      <c r="F4" s="18"/>
      <c r="G4" s="18"/>
      <c r="M4" s="92" t="s">
        <v>17</v>
      </c>
      <c r="T4" s="9" t="s">
        <v>17</v>
      </c>
      <c r="Y4" s="40"/>
      <c r="AB4" s="19"/>
      <c r="AC4" s="19" t="s">
        <v>44</v>
      </c>
      <c r="AD4" s="19"/>
      <c r="AE4" s="19"/>
      <c r="AF4" s="19"/>
      <c r="AG4" s="20"/>
      <c r="AH4"/>
    </row>
    <row r="5" spans="1:34" x14ac:dyDescent="0.75">
      <c r="A5" s="9"/>
      <c r="B5" s="18" t="s">
        <v>18</v>
      </c>
      <c r="D5" s="15">
        <f>+G12</f>
        <v>364012.67</v>
      </c>
      <c r="E5" s="40"/>
      <c r="F5" s="101"/>
      <c r="G5" s="131" t="s">
        <v>234</v>
      </c>
      <c r="H5" s="40"/>
      <c r="I5" s="40"/>
      <c r="J5" s="40"/>
      <c r="K5" s="40"/>
      <c r="O5" s="90" t="s">
        <v>127</v>
      </c>
      <c r="R5" s="91">
        <v>317441.03000000003</v>
      </c>
      <c r="T5" s="9"/>
      <c r="U5" s="18" t="s">
        <v>18</v>
      </c>
      <c r="W5" s="15">
        <f>+AG5</f>
        <v>390345.12</v>
      </c>
      <c r="X5" s="4"/>
      <c r="Y5" s="40">
        <v>179407</v>
      </c>
      <c r="AB5" s="19"/>
      <c r="AC5" s="19"/>
      <c r="AD5" s="19" t="s">
        <v>127</v>
      </c>
      <c r="AE5" s="19"/>
      <c r="AF5" s="19"/>
      <c r="AG5" s="31">
        <v>390345.12</v>
      </c>
      <c r="AH5"/>
    </row>
    <row r="6" spans="1:34" x14ac:dyDescent="0.75">
      <c r="B6" s="18" t="s">
        <v>45</v>
      </c>
      <c r="D6" s="24">
        <f>+G15</f>
        <v>245143.78</v>
      </c>
      <c r="E6" s="40"/>
      <c r="F6" s="132" t="s">
        <v>17</v>
      </c>
      <c r="G6" s="144"/>
      <c r="H6" s="40"/>
      <c r="I6" s="40"/>
      <c r="J6" s="40"/>
      <c r="K6" s="40"/>
      <c r="O6" s="90" t="s">
        <v>45</v>
      </c>
      <c r="R6" s="93">
        <v>234145.53</v>
      </c>
      <c r="U6" s="18" t="s">
        <v>45</v>
      </c>
      <c r="W6" s="24">
        <f>+AG6</f>
        <v>216395.9</v>
      </c>
      <c r="X6" s="4"/>
      <c r="Y6" s="40">
        <v>134900</v>
      </c>
      <c r="AB6" s="19"/>
      <c r="AC6" s="19"/>
      <c r="AD6" s="19" t="s">
        <v>45</v>
      </c>
      <c r="AE6" s="19"/>
      <c r="AF6" s="19"/>
      <c r="AG6" s="34">
        <v>216395.9</v>
      </c>
      <c r="AH6"/>
    </row>
    <row r="7" spans="1:34" x14ac:dyDescent="0.75">
      <c r="B7" s="18" t="s">
        <v>43</v>
      </c>
      <c r="D7" s="32">
        <f>+G21+G24</f>
        <v>133496.24</v>
      </c>
      <c r="E7" s="40"/>
      <c r="F7" s="132" t="s">
        <v>318</v>
      </c>
      <c r="G7" s="144"/>
      <c r="H7" s="40"/>
      <c r="I7" s="40"/>
      <c r="J7" s="40"/>
      <c r="K7" s="40"/>
      <c r="P7" s="90" t="s">
        <v>225</v>
      </c>
      <c r="R7" s="94">
        <v>59491.62</v>
      </c>
      <c r="U7" s="18" t="s">
        <v>43</v>
      </c>
      <c r="W7" s="32">
        <f>+AG8</f>
        <v>29225.4</v>
      </c>
      <c r="X7" s="4"/>
      <c r="Y7" s="40">
        <v>41082</v>
      </c>
      <c r="AB7" s="19"/>
      <c r="AC7" s="19"/>
      <c r="AD7" s="19" t="s">
        <v>128</v>
      </c>
      <c r="AE7" s="19"/>
      <c r="AF7" s="19"/>
      <c r="AG7" s="20"/>
      <c r="AH7"/>
    </row>
    <row r="8" spans="1:34" ht="23" thickBot="1" x14ac:dyDescent="0.9">
      <c r="B8" s="18" t="s">
        <v>94</v>
      </c>
      <c r="D8" s="63">
        <f>+G25</f>
        <v>21250</v>
      </c>
      <c r="E8" s="142"/>
      <c r="F8" s="132" t="s">
        <v>319</v>
      </c>
      <c r="G8" s="144"/>
      <c r="H8" s="142"/>
      <c r="I8" s="142"/>
      <c r="J8" s="142"/>
      <c r="K8" s="142"/>
      <c r="P8" s="90" t="s">
        <v>205</v>
      </c>
      <c r="R8" s="94">
        <v>60600</v>
      </c>
      <c r="U8" s="18" t="s">
        <v>94</v>
      </c>
      <c r="W8" s="63">
        <f>+AG9+AG10</f>
        <v>122750</v>
      </c>
      <c r="X8" s="4"/>
      <c r="Y8" s="41">
        <v>136609</v>
      </c>
      <c r="AB8" s="19"/>
      <c r="AC8" s="19"/>
      <c r="AD8" s="19"/>
      <c r="AE8" s="19" t="s">
        <v>205</v>
      </c>
      <c r="AF8" s="19"/>
      <c r="AG8" s="33">
        <v>29225.4</v>
      </c>
      <c r="AH8"/>
    </row>
    <row r="9" spans="1:34" ht="22.25" x14ac:dyDescent="0.75">
      <c r="A9" s="9"/>
      <c r="B9" s="9" t="s">
        <v>44</v>
      </c>
      <c r="C9" s="9"/>
      <c r="D9" s="37">
        <f>SUM(D5:D8)</f>
        <v>763902.69</v>
      </c>
      <c r="E9" s="37"/>
      <c r="F9" s="132" t="s">
        <v>320</v>
      </c>
      <c r="G9" s="133">
        <f>0</f>
        <v>0</v>
      </c>
      <c r="H9" s="37"/>
      <c r="I9" s="37"/>
      <c r="J9" s="37"/>
      <c r="K9" s="37"/>
      <c r="P9" s="90" t="s">
        <v>206</v>
      </c>
      <c r="R9" s="95">
        <v>55000</v>
      </c>
      <c r="T9" s="9"/>
      <c r="U9" s="9" t="s">
        <v>44</v>
      </c>
      <c r="V9" s="9"/>
      <c r="W9" s="37">
        <f>SUM(W5:W8)</f>
        <v>758716.42</v>
      </c>
      <c r="X9" s="1"/>
      <c r="Y9" s="37">
        <f>SUM(Y5:Y8)</f>
        <v>491998</v>
      </c>
      <c r="AB9" s="19"/>
      <c r="AC9" s="19"/>
      <c r="AD9" s="19"/>
      <c r="AE9" s="19" t="s">
        <v>206</v>
      </c>
      <c r="AF9" s="19"/>
      <c r="AG9" s="64">
        <v>78750</v>
      </c>
      <c r="AH9"/>
    </row>
    <row r="10" spans="1:34" ht="23" thickBot="1" x14ac:dyDescent="0.9">
      <c r="D10" s="40"/>
      <c r="E10" s="40"/>
      <c r="F10" s="132" t="s">
        <v>321</v>
      </c>
      <c r="G10" s="133">
        <f>13224.19</f>
        <v>13224.19</v>
      </c>
      <c r="H10" s="40"/>
      <c r="I10" s="40"/>
      <c r="J10" s="40"/>
      <c r="K10" s="40"/>
      <c r="P10" s="90" t="s">
        <v>207</v>
      </c>
      <c r="R10" s="97">
        <v>20000</v>
      </c>
      <c r="W10" s="40"/>
      <c r="X10" s="4"/>
      <c r="Y10" s="40"/>
      <c r="AB10" s="19"/>
      <c r="AC10" s="19"/>
      <c r="AD10" s="19"/>
      <c r="AE10" s="19" t="s">
        <v>207</v>
      </c>
      <c r="AF10" s="19"/>
      <c r="AG10" s="64">
        <v>44000</v>
      </c>
      <c r="AH10"/>
    </row>
    <row r="11" spans="1:34" ht="23" thickBot="1" x14ac:dyDescent="0.9">
      <c r="B11" s="18" t="s">
        <v>19</v>
      </c>
      <c r="D11" s="32">
        <f>+G52</f>
        <v>214065.37999999989</v>
      </c>
      <c r="E11" s="40"/>
      <c r="F11" s="132" t="s">
        <v>322</v>
      </c>
      <c r="G11" s="133">
        <f>350788.48</f>
        <v>350788.48</v>
      </c>
      <c r="H11" s="40"/>
      <c r="I11" s="40"/>
      <c r="J11" s="40"/>
      <c r="K11" s="40"/>
      <c r="N11" s="90" t="s">
        <v>129</v>
      </c>
      <c r="R11" s="90">
        <v>746678.18</v>
      </c>
      <c r="U11" s="18" t="s">
        <v>19</v>
      </c>
      <c r="W11" s="32">
        <f>+AG13</f>
        <v>218157.98</v>
      </c>
      <c r="X11" s="4"/>
      <c r="Y11" s="40">
        <v>158648</v>
      </c>
      <c r="AB11" s="19"/>
      <c r="AC11" s="19"/>
      <c r="AD11" s="19" t="s">
        <v>208</v>
      </c>
      <c r="AE11" s="19"/>
      <c r="AF11" s="19"/>
      <c r="AG11" s="21">
        <f>ROUND(SUM(AG7:AG10),5)</f>
        <v>151975.4</v>
      </c>
      <c r="AH11"/>
    </row>
    <row r="12" spans="1:34" ht="23" thickBot="1" x14ac:dyDescent="0.9">
      <c r="B12" s="18" t="s">
        <v>46</v>
      </c>
      <c r="D12" s="59">
        <f>+G78</f>
        <v>43553.36</v>
      </c>
      <c r="E12" s="142"/>
      <c r="F12" s="132" t="s">
        <v>323</v>
      </c>
      <c r="G12" s="145">
        <f>((G9)+(G10))+(G11)</f>
        <v>364012.67</v>
      </c>
      <c r="H12" s="142"/>
      <c r="I12" s="142"/>
      <c r="J12" s="142"/>
      <c r="K12" s="142"/>
      <c r="N12" s="90" t="s">
        <v>19</v>
      </c>
      <c r="R12" s="94">
        <v>199099.29</v>
      </c>
      <c r="U12" s="18" t="s">
        <v>46</v>
      </c>
      <c r="W12" s="59">
        <f>+AG14</f>
        <v>40338.68</v>
      </c>
      <c r="X12" s="4"/>
      <c r="Y12" s="45">
        <v>33513</v>
      </c>
      <c r="AB12" s="19"/>
      <c r="AC12" s="19" t="s">
        <v>129</v>
      </c>
      <c r="AD12" s="19"/>
      <c r="AE12" s="19"/>
      <c r="AF12" s="19"/>
      <c r="AG12" s="20">
        <f>ROUND(SUM(AG4:AG6)+AG11,5)</f>
        <v>758716.42</v>
      </c>
      <c r="AH12"/>
    </row>
    <row r="13" spans="1:34" ht="23" thickBot="1" x14ac:dyDescent="0.9">
      <c r="B13" s="9" t="s">
        <v>20</v>
      </c>
      <c r="C13" s="156">
        <f>+G79</f>
        <v>1021521.4299999998</v>
      </c>
      <c r="D13" s="46">
        <f>+D9+D11+D12</f>
        <v>1021521.4299999998</v>
      </c>
      <c r="E13" s="43">
        <f>+C13-D13</f>
        <v>0</v>
      </c>
      <c r="F13" s="132" t="s">
        <v>324</v>
      </c>
      <c r="G13" s="144"/>
      <c r="H13" s="43"/>
      <c r="I13" s="43"/>
      <c r="J13" s="43"/>
      <c r="K13" s="43"/>
      <c r="N13" s="90" t="s">
        <v>130</v>
      </c>
      <c r="R13" s="98">
        <v>37993.08</v>
      </c>
      <c r="U13" s="9" t="s">
        <v>20</v>
      </c>
      <c r="V13" s="9"/>
      <c r="W13" s="46">
        <f>+W9+W11+W12</f>
        <v>1017213.0800000001</v>
      </c>
      <c r="X13" s="1"/>
      <c r="Y13" s="46">
        <f>+Y9+Y11+Y12</f>
        <v>684159</v>
      </c>
      <c r="AB13" s="19"/>
      <c r="AC13" s="19" t="s">
        <v>19</v>
      </c>
      <c r="AD13" s="19"/>
      <c r="AE13" s="19"/>
      <c r="AF13" s="19"/>
      <c r="AG13" s="33">
        <v>218157.98</v>
      </c>
      <c r="AH13"/>
    </row>
    <row r="14" spans="1:34" ht="33.5" thickBot="1" x14ac:dyDescent="0.9">
      <c r="D14" s="4"/>
      <c r="E14" s="40"/>
      <c r="F14" s="132" t="s">
        <v>325</v>
      </c>
      <c r="G14" s="133">
        <f>245143.78</f>
        <v>245143.78</v>
      </c>
      <c r="H14" s="40"/>
      <c r="I14" s="40"/>
      <c r="J14" s="40"/>
      <c r="K14" s="40"/>
      <c r="M14" s="92" t="s">
        <v>131</v>
      </c>
      <c r="R14" s="90">
        <v>983770.55</v>
      </c>
      <c r="W14" s="4"/>
      <c r="X14" s="4"/>
      <c r="Y14" s="40"/>
      <c r="AB14" s="19"/>
      <c r="AC14" s="19" t="s">
        <v>130</v>
      </c>
      <c r="AD14" s="19"/>
      <c r="AE14" s="19"/>
      <c r="AF14" s="19"/>
      <c r="AG14" s="49">
        <v>40338.68</v>
      </c>
      <c r="AH14"/>
    </row>
    <row r="15" spans="1:34" ht="33.5" thickBot="1" x14ac:dyDescent="0.9">
      <c r="A15" s="9" t="s">
        <v>21</v>
      </c>
      <c r="D15" s="4"/>
      <c r="E15" s="40"/>
      <c r="F15" s="132" t="s">
        <v>326</v>
      </c>
      <c r="G15" s="146">
        <f>G14</f>
        <v>245143.78</v>
      </c>
      <c r="H15" s="40"/>
      <c r="I15" s="40"/>
      <c r="J15" s="40"/>
      <c r="K15" s="40"/>
      <c r="N15" s="92" t="s">
        <v>133</v>
      </c>
      <c r="T15" s="9" t="s">
        <v>21</v>
      </c>
      <c r="W15" s="4"/>
      <c r="X15" s="4"/>
      <c r="Y15" s="40"/>
      <c r="AB15" s="19" t="s">
        <v>131</v>
      </c>
      <c r="AC15" s="19"/>
      <c r="AD15" s="19"/>
      <c r="AE15" s="19"/>
      <c r="AF15" s="19"/>
      <c r="AG15" s="23">
        <f>ROUND(AG3+SUM(AG12:AG14),5)</f>
        <v>1017213.08</v>
      </c>
      <c r="AH15"/>
    </row>
    <row r="16" spans="1:34" ht="23" thickTop="1" x14ac:dyDescent="0.75">
      <c r="D16" s="40"/>
      <c r="E16" s="40"/>
      <c r="F16" s="132" t="s">
        <v>327</v>
      </c>
      <c r="G16" s="144"/>
      <c r="H16" s="40"/>
      <c r="I16" s="40"/>
      <c r="J16" s="40"/>
      <c r="K16" s="40"/>
      <c r="N16" s="92"/>
      <c r="W16" s="40"/>
      <c r="X16" s="4"/>
      <c r="Y16" s="40"/>
      <c r="AB16" s="19" t="s">
        <v>132</v>
      </c>
      <c r="AC16" s="19"/>
      <c r="AD16" s="19"/>
      <c r="AE16" s="19"/>
      <c r="AF16" s="19"/>
      <c r="AG16" s="20"/>
      <c r="AH16"/>
    </row>
    <row r="17" spans="1:34" ht="32.75" x14ac:dyDescent="0.75">
      <c r="B17" s="18" t="s">
        <v>41</v>
      </c>
      <c r="D17" s="24">
        <f>+G85+G108+G96</f>
        <v>54727.06</v>
      </c>
      <c r="E17" s="40"/>
      <c r="F17" s="132" t="s">
        <v>328</v>
      </c>
      <c r="G17" s="133">
        <f>0</f>
        <v>0</v>
      </c>
      <c r="H17" s="40"/>
      <c r="I17" s="40"/>
      <c r="J17" s="40"/>
      <c r="K17" s="40"/>
      <c r="P17" s="90" t="s">
        <v>226</v>
      </c>
      <c r="R17" s="93">
        <v>93374.3</v>
      </c>
      <c r="U17" s="18" t="s">
        <v>41</v>
      </c>
      <c r="W17" s="24">
        <f>+AG19</f>
        <v>15665.54</v>
      </c>
      <c r="X17" s="4"/>
      <c r="Y17" s="40">
        <v>80554</v>
      </c>
      <c r="AB17" s="19"/>
      <c r="AC17" s="19" t="s">
        <v>133</v>
      </c>
      <c r="AD17" s="19"/>
      <c r="AE17" s="19"/>
      <c r="AF17" s="19"/>
      <c r="AG17" s="20"/>
      <c r="AH17"/>
    </row>
    <row r="18" spans="1:34" ht="43.25" x14ac:dyDescent="0.75">
      <c r="B18" s="18" t="s">
        <v>42</v>
      </c>
      <c r="D18" s="32">
        <f>+G92</f>
        <v>34544.120000000003</v>
      </c>
      <c r="E18" s="40"/>
      <c r="F18" s="132" t="s">
        <v>329</v>
      </c>
      <c r="G18" s="133">
        <f>0</f>
        <v>0</v>
      </c>
      <c r="H18" s="40"/>
      <c r="I18" s="40"/>
      <c r="J18" s="40"/>
      <c r="K18" s="40"/>
      <c r="P18" s="90" t="s">
        <v>136</v>
      </c>
      <c r="R18" s="94">
        <v>26682.6</v>
      </c>
      <c r="U18" s="18" t="s">
        <v>42</v>
      </c>
      <c r="W18" s="24">
        <f>+AG20+AG26</f>
        <v>35298.6</v>
      </c>
      <c r="X18" s="4"/>
      <c r="Y18" s="40">
        <v>35919</v>
      </c>
      <c r="AB18" s="19"/>
      <c r="AC18" s="19"/>
      <c r="AD18" s="19" t="s">
        <v>134</v>
      </c>
      <c r="AE18" s="19"/>
      <c r="AF18" s="19"/>
      <c r="AG18" s="20"/>
      <c r="AH18"/>
    </row>
    <row r="19" spans="1:34" ht="23" thickBot="1" x14ac:dyDescent="0.9">
      <c r="B19" s="18" t="s">
        <v>22</v>
      </c>
      <c r="D19" s="41">
        <v>0</v>
      </c>
      <c r="E19" s="142"/>
      <c r="F19" s="132" t="s">
        <v>330</v>
      </c>
      <c r="G19" s="133">
        <f>0</f>
        <v>0</v>
      </c>
      <c r="H19" s="142"/>
      <c r="I19" s="142"/>
      <c r="J19" s="142"/>
      <c r="K19" s="142"/>
      <c r="R19" s="82"/>
      <c r="U19" s="18" t="s">
        <v>22</v>
      </c>
      <c r="W19" s="41">
        <f>+(188.92+1841.94+1868.51)*12</f>
        <v>46792.44</v>
      </c>
      <c r="X19" s="4"/>
      <c r="Y19" s="45">
        <v>24043</v>
      </c>
      <c r="AB19" s="19"/>
      <c r="AC19" s="19"/>
      <c r="AD19" s="19"/>
      <c r="AE19" s="19" t="s">
        <v>135</v>
      </c>
      <c r="AF19" s="19"/>
      <c r="AG19" s="34">
        <v>15665.54</v>
      </c>
      <c r="AH19"/>
    </row>
    <row r="20" spans="1:34" ht="32.75" x14ac:dyDescent="0.75">
      <c r="B20" s="9" t="s">
        <v>23</v>
      </c>
      <c r="C20" s="9"/>
      <c r="D20" s="37">
        <f>+D17+D18+D19</f>
        <v>89271.18</v>
      </c>
      <c r="E20" s="37"/>
      <c r="F20" s="132" t="s">
        <v>331</v>
      </c>
      <c r="G20" s="133">
        <f>0</f>
        <v>0</v>
      </c>
      <c r="H20" s="37"/>
      <c r="I20" s="37"/>
      <c r="J20" s="37"/>
      <c r="K20" s="37"/>
      <c r="P20" s="90" t="s">
        <v>209</v>
      </c>
      <c r="R20" s="91">
        <v>34664</v>
      </c>
      <c r="U20" s="9" t="s">
        <v>23</v>
      </c>
      <c r="V20" s="9"/>
      <c r="W20" s="37">
        <f>SUM(W17:W19)</f>
        <v>97756.58</v>
      </c>
      <c r="X20" s="1"/>
      <c r="Y20" s="37">
        <f>SUM(Y17:Y19)</f>
        <v>140516</v>
      </c>
      <c r="AB20" s="19"/>
      <c r="AC20" s="19"/>
      <c r="AD20" s="19"/>
      <c r="AE20" s="19" t="s">
        <v>136</v>
      </c>
      <c r="AF20" s="19"/>
      <c r="AG20" s="34">
        <v>28366.12</v>
      </c>
      <c r="AH20"/>
    </row>
    <row r="21" spans="1:34" ht="32.75" x14ac:dyDescent="0.75">
      <c r="D21" s="40"/>
      <c r="E21" s="40"/>
      <c r="F21" s="132" t="s">
        <v>332</v>
      </c>
      <c r="G21" s="137">
        <f>72896.24</f>
        <v>72896.240000000005</v>
      </c>
      <c r="H21" s="40"/>
      <c r="I21" s="40"/>
      <c r="J21" s="40"/>
      <c r="K21" s="40"/>
      <c r="P21" s="90" t="s">
        <v>210</v>
      </c>
      <c r="R21" s="91">
        <v>9425.09</v>
      </c>
      <c r="W21" s="40"/>
      <c r="X21" s="4"/>
      <c r="Y21" s="40"/>
      <c r="AB21" s="19"/>
      <c r="AC21" s="19"/>
      <c r="AD21" s="19"/>
      <c r="AE21" s="19" t="s">
        <v>137</v>
      </c>
      <c r="AF21" s="19"/>
      <c r="AG21" s="20"/>
      <c r="AH21"/>
    </row>
    <row r="22" spans="1:34" ht="32.75" x14ac:dyDescent="0.75">
      <c r="B22" s="18" t="s">
        <v>56</v>
      </c>
      <c r="D22" s="24">
        <f>+G141+G111</f>
        <v>843562.65</v>
      </c>
      <c r="E22" s="40"/>
      <c r="F22" s="132" t="s">
        <v>333</v>
      </c>
      <c r="G22" s="133">
        <f>0</f>
        <v>0</v>
      </c>
      <c r="H22" s="40"/>
      <c r="I22" s="40"/>
      <c r="J22" s="40"/>
      <c r="K22" s="40"/>
      <c r="P22" s="90" t="s">
        <v>211</v>
      </c>
      <c r="R22" s="91">
        <v>628339.38</v>
      </c>
      <c r="U22" s="18" t="s">
        <v>56</v>
      </c>
      <c r="W22" s="32">
        <f>+AG30</f>
        <v>987104.36</v>
      </c>
      <c r="X22" s="4"/>
      <c r="Y22" s="40">
        <v>913691</v>
      </c>
      <c r="AB22" s="19"/>
      <c r="AC22" s="19"/>
      <c r="AD22" s="19"/>
      <c r="AE22" s="19"/>
      <c r="AF22" s="19" t="s">
        <v>209</v>
      </c>
      <c r="AG22" s="31">
        <v>24677.599999999999</v>
      </c>
      <c r="AH22"/>
    </row>
    <row r="23" spans="1:34" ht="43.25" x14ac:dyDescent="0.75">
      <c r="B23" s="18" t="s">
        <v>24</v>
      </c>
      <c r="D23" s="58">
        <f>+G119</f>
        <v>181033.28999999998</v>
      </c>
      <c r="E23" s="40"/>
      <c r="F23" s="132" t="s">
        <v>334</v>
      </c>
      <c r="G23" s="133">
        <f>0</f>
        <v>0</v>
      </c>
      <c r="H23" s="40"/>
      <c r="I23" s="40"/>
      <c r="J23" s="40"/>
      <c r="K23" s="40"/>
      <c r="P23" s="90" t="s">
        <v>212</v>
      </c>
      <c r="R23" s="82"/>
      <c r="U23" s="18" t="s">
        <v>24</v>
      </c>
      <c r="W23" s="32">
        <f>+AG25-W19</f>
        <v>147412.10999999999</v>
      </c>
      <c r="X23" s="4"/>
      <c r="Y23" s="40">
        <v>72129</v>
      </c>
      <c r="AB23" s="19"/>
      <c r="AC23" s="19"/>
      <c r="AD23" s="19"/>
      <c r="AE23" s="19"/>
      <c r="AF23" s="19" t="s">
        <v>210</v>
      </c>
      <c r="AG23" s="31">
        <v>9425.09</v>
      </c>
      <c r="AH23"/>
    </row>
    <row r="24" spans="1:34" ht="32.75" x14ac:dyDescent="0.75">
      <c r="B24" s="18" t="s">
        <v>40</v>
      </c>
      <c r="D24" s="35">
        <f>+G109</f>
        <v>1221957.72</v>
      </c>
      <c r="E24" s="40"/>
      <c r="F24" s="132" t="s">
        <v>335</v>
      </c>
      <c r="G24" s="137">
        <f>60600</f>
        <v>60600</v>
      </c>
      <c r="H24" s="40"/>
      <c r="I24" s="40"/>
      <c r="J24" s="40"/>
      <c r="K24" s="40"/>
      <c r="Q24" s="90" t="s">
        <v>227</v>
      </c>
      <c r="R24" s="82">
        <v>82232.53</v>
      </c>
      <c r="U24" s="18" t="s">
        <v>40</v>
      </c>
      <c r="W24" s="32">
        <f>+AG27</f>
        <v>1221957.72</v>
      </c>
      <c r="X24" s="4"/>
      <c r="Y24" s="40">
        <v>1221958</v>
      </c>
      <c r="AB24" s="19"/>
      <c r="AC24" s="19"/>
      <c r="AD24" s="19"/>
      <c r="AE24" s="19"/>
      <c r="AF24" s="19" t="s">
        <v>211</v>
      </c>
      <c r="AG24" s="31">
        <v>628339.38</v>
      </c>
      <c r="AH24"/>
    </row>
    <row r="25" spans="1:34" ht="23" thickBot="1" x14ac:dyDescent="0.9">
      <c r="B25" s="18" t="s">
        <v>25</v>
      </c>
      <c r="D25" s="17">
        <f>+G98+G107</f>
        <v>647901.41</v>
      </c>
      <c r="E25" s="142"/>
      <c r="F25" s="132" t="s">
        <v>336</v>
      </c>
      <c r="G25" s="147">
        <f>21250</f>
        <v>21250</v>
      </c>
      <c r="H25" s="142"/>
      <c r="I25" s="142"/>
      <c r="J25" s="142"/>
      <c r="K25" s="142"/>
      <c r="Q25" s="90" t="s">
        <v>228</v>
      </c>
      <c r="R25" s="82">
        <v>104180.45</v>
      </c>
      <c r="U25" s="18" t="s">
        <v>25</v>
      </c>
      <c r="W25" s="17">
        <f>+AG22+AG23+AG24</f>
        <v>662442.07000000007</v>
      </c>
      <c r="X25" s="4"/>
      <c r="Y25" s="41">
        <v>609207</v>
      </c>
      <c r="AB25" s="19"/>
      <c r="AC25" s="19"/>
      <c r="AD25" s="19"/>
      <c r="AE25" s="19"/>
      <c r="AF25" s="19" t="s">
        <v>212</v>
      </c>
      <c r="AG25" s="33">
        <v>194204.55</v>
      </c>
      <c r="AH25"/>
    </row>
    <row r="26" spans="1:34" ht="32.75" x14ac:dyDescent="0.75">
      <c r="B26" s="9" t="s">
        <v>26</v>
      </c>
      <c r="C26" s="9"/>
      <c r="D26" s="37">
        <f>+D22+D23+D24+D25</f>
        <v>2894455.0700000003</v>
      </c>
      <c r="E26" s="37"/>
      <c r="F26" s="132" t="s">
        <v>337</v>
      </c>
      <c r="G26" s="133">
        <f>0</f>
        <v>0</v>
      </c>
      <c r="H26" s="37"/>
      <c r="I26" s="37"/>
      <c r="J26" s="37"/>
      <c r="K26" s="37"/>
      <c r="P26" s="90" t="s">
        <v>229</v>
      </c>
      <c r="R26" s="96">
        <v>186412.98</v>
      </c>
      <c r="U26" s="9" t="s">
        <v>26</v>
      </c>
      <c r="V26" s="9"/>
      <c r="W26" s="37">
        <f>SUM(W22:W25)</f>
        <v>3018916.26</v>
      </c>
      <c r="X26" s="1"/>
      <c r="Y26" s="37">
        <f>SUM(Y22:Y25)</f>
        <v>2816985</v>
      </c>
      <c r="AB26" s="19"/>
      <c r="AC26" s="19"/>
      <c r="AD26" s="19"/>
      <c r="AE26" s="19"/>
      <c r="AF26" s="19" t="s">
        <v>213</v>
      </c>
      <c r="AG26" s="34">
        <v>6932.48</v>
      </c>
      <c r="AH26"/>
    </row>
    <row r="27" spans="1:34" ht="23" thickBot="1" x14ac:dyDescent="0.9">
      <c r="D27" s="41"/>
      <c r="E27" s="142"/>
      <c r="F27" s="132" t="s">
        <v>338</v>
      </c>
      <c r="G27" s="134">
        <f>(((((((((G17)+(G18))+(G19))+(G20))+(G21))+(G22))+(G23))+(G24))+(G25))+(G26)</f>
        <v>154746.23999999999</v>
      </c>
      <c r="H27" s="142"/>
      <c r="I27" s="142"/>
      <c r="J27" s="142"/>
      <c r="K27" s="142"/>
      <c r="P27" s="90" t="s">
        <v>213</v>
      </c>
      <c r="R27" s="94">
        <v>6674.12</v>
      </c>
      <c r="W27" s="41"/>
      <c r="X27" s="4"/>
      <c r="Y27" s="41"/>
      <c r="AB27" s="19"/>
      <c r="AC27" s="19"/>
      <c r="AD27" s="19"/>
      <c r="AE27" s="19"/>
      <c r="AF27" s="19" t="s">
        <v>214</v>
      </c>
      <c r="AG27" s="33">
        <v>1221957.72</v>
      </c>
      <c r="AH27"/>
    </row>
    <row r="28" spans="1:34" ht="23" thickBot="1" x14ac:dyDescent="0.9">
      <c r="B28" s="9" t="s">
        <v>27</v>
      </c>
      <c r="C28" s="9"/>
      <c r="D28" s="16">
        <f>+D20+D26</f>
        <v>2983726.2500000005</v>
      </c>
      <c r="E28" s="37"/>
      <c r="F28" s="132" t="s">
        <v>339</v>
      </c>
      <c r="G28" s="134">
        <f>((G12)+(G15))+(G27)</f>
        <v>763902.69</v>
      </c>
      <c r="H28" s="37"/>
      <c r="I28" s="37"/>
      <c r="J28" s="37"/>
      <c r="K28" s="37"/>
      <c r="P28" s="90" t="s">
        <v>214</v>
      </c>
      <c r="R28" s="99">
        <v>1221957.72</v>
      </c>
      <c r="U28" s="9" t="s">
        <v>27</v>
      </c>
      <c r="V28" s="9"/>
      <c r="W28" s="16">
        <f>+W20+W26+1</f>
        <v>3116673.84</v>
      </c>
      <c r="X28" s="1"/>
      <c r="Y28" s="37">
        <f>+Y20+Y26</f>
        <v>2957501</v>
      </c>
      <c r="AB28" s="19"/>
      <c r="AC28" s="19"/>
      <c r="AD28" s="19"/>
      <c r="AE28" s="19" t="s">
        <v>215</v>
      </c>
      <c r="AF28" s="19"/>
      <c r="AG28" s="21">
        <f>ROUND(SUM(AG21:AG27),5)</f>
        <v>2085536.82</v>
      </c>
      <c r="AH28"/>
    </row>
    <row r="29" spans="1:34" x14ac:dyDescent="0.75">
      <c r="C29" s="4">
        <v>2990159</v>
      </c>
      <c r="D29" s="4"/>
      <c r="E29" s="40">
        <f>+D28-C29</f>
        <v>-6432.7499999995343</v>
      </c>
      <c r="F29" s="132" t="s">
        <v>340</v>
      </c>
      <c r="G29" s="144"/>
      <c r="H29" s="40"/>
      <c r="I29" s="40"/>
      <c r="J29" s="40"/>
      <c r="K29" s="40"/>
      <c r="O29" s="90" t="s">
        <v>215</v>
      </c>
      <c r="R29" s="90">
        <v>2087473.29</v>
      </c>
      <c r="W29" s="4"/>
      <c r="X29" s="4"/>
      <c r="Y29" s="40"/>
      <c r="AB29" s="19"/>
      <c r="AC29" s="19"/>
      <c r="AD29" s="19" t="s">
        <v>138</v>
      </c>
      <c r="AE29" s="19"/>
      <c r="AF29" s="19"/>
      <c r="AG29" s="20">
        <f>ROUND(SUM(AG18:AG20)+AG28,5)</f>
        <v>2129568.48</v>
      </c>
      <c r="AH29"/>
    </row>
    <row r="30" spans="1:34" ht="23" thickBot="1" x14ac:dyDescent="0.9">
      <c r="A30" s="9" t="s">
        <v>28</v>
      </c>
      <c r="D30" s="4"/>
      <c r="E30" s="40"/>
      <c r="F30" s="132" t="s">
        <v>341</v>
      </c>
      <c r="G30" s="133">
        <f>144986.87</f>
        <v>144986.87</v>
      </c>
      <c r="H30" s="40"/>
      <c r="I30" s="40"/>
      <c r="J30" s="40"/>
      <c r="K30" s="40"/>
      <c r="N30" s="90" t="s">
        <v>26</v>
      </c>
      <c r="R30" s="93">
        <v>1011988.19</v>
      </c>
      <c r="T30" s="9" t="s">
        <v>28</v>
      </c>
      <c r="W30" s="4"/>
      <c r="X30" s="4"/>
      <c r="Y30" s="40"/>
      <c r="AB30" s="19"/>
      <c r="AC30" s="19"/>
      <c r="AD30" s="19" t="s">
        <v>26</v>
      </c>
      <c r="AE30" s="19"/>
      <c r="AF30" s="19"/>
      <c r="AG30" s="62">
        <v>987104.36</v>
      </c>
      <c r="AH30"/>
    </row>
    <row r="31" spans="1:34" ht="32.75" x14ac:dyDescent="0.75">
      <c r="A31" s="9"/>
      <c r="D31" s="4"/>
      <c r="E31" s="40"/>
      <c r="F31" s="132" t="s">
        <v>342</v>
      </c>
      <c r="G31" s="133">
        <f>0</f>
        <v>0</v>
      </c>
      <c r="H31" s="40"/>
      <c r="I31" s="40"/>
      <c r="J31" s="40"/>
      <c r="K31" s="40"/>
      <c r="N31" s="90" t="s">
        <v>27</v>
      </c>
      <c r="R31" s="90">
        <v>3219518.38</v>
      </c>
      <c r="T31" s="9"/>
      <c r="W31" s="4"/>
      <c r="X31" s="4"/>
      <c r="Y31" s="40"/>
      <c r="AB31" s="19"/>
      <c r="AC31" s="19" t="s">
        <v>27</v>
      </c>
      <c r="AD31" s="19"/>
      <c r="AE31" s="19"/>
      <c r="AF31" s="19"/>
      <c r="AG31" s="20">
        <f>ROUND(AG17+SUM(AG29:AG30),5)</f>
        <v>3116672.84</v>
      </c>
      <c r="AH31"/>
    </row>
    <row r="32" spans="1:34" x14ac:dyDescent="0.75">
      <c r="B32"/>
      <c r="C32"/>
      <c r="D32"/>
      <c r="E32" s="40"/>
      <c r="F32" s="132" t="s">
        <v>343</v>
      </c>
      <c r="G32" s="133">
        <f>4051.8</f>
        <v>4051.8</v>
      </c>
      <c r="H32" s="40"/>
      <c r="I32" s="40"/>
      <c r="J32" s="40"/>
      <c r="K32" s="40"/>
      <c r="N32" s="90" t="s">
        <v>139</v>
      </c>
      <c r="U32" s="18" t="s">
        <v>216</v>
      </c>
      <c r="W32" s="35">
        <f>+AG33</f>
        <v>450000</v>
      </c>
      <c r="X32" s="4"/>
      <c r="Y32" s="40"/>
      <c r="AB32" s="19"/>
      <c r="AC32" s="19" t="s">
        <v>139</v>
      </c>
      <c r="AD32" s="19"/>
      <c r="AE32" s="19"/>
      <c r="AF32" s="19"/>
      <c r="AG32" s="20"/>
      <c r="AH32"/>
    </row>
    <row r="33" spans="1:34" x14ac:dyDescent="0.75">
      <c r="B33" s="18" t="s">
        <v>29</v>
      </c>
      <c r="D33" s="15">
        <f>+G144</f>
        <v>46184.14</v>
      </c>
      <c r="E33" s="40"/>
      <c r="F33" s="132" t="s">
        <v>344</v>
      </c>
      <c r="G33" s="133">
        <f>2446.33</f>
        <v>2446.33</v>
      </c>
      <c r="H33" s="40"/>
      <c r="I33" s="40"/>
      <c r="J33" s="40"/>
      <c r="K33" s="40"/>
      <c r="O33" s="90" t="s">
        <v>216</v>
      </c>
      <c r="R33" s="99">
        <v>595000</v>
      </c>
      <c r="U33" s="18" t="s">
        <v>29</v>
      </c>
      <c r="W33" s="15">
        <f>+AG35-1</f>
        <v>22651.68</v>
      </c>
      <c r="X33" s="4"/>
      <c r="Y33" s="40">
        <v>22653</v>
      </c>
      <c r="AB33" s="19"/>
      <c r="AC33" s="19"/>
      <c r="AD33" s="19" t="s">
        <v>216</v>
      </c>
      <c r="AE33" s="19"/>
      <c r="AF33" s="19"/>
      <c r="AG33" s="36">
        <v>450000</v>
      </c>
      <c r="AH33"/>
    </row>
    <row r="34" spans="1:34" x14ac:dyDescent="0.75">
      <c r="B34" s="18" t="s">
        <v>468</v>
      </c>
      <c r="D34" s="35">
        <f>+G145</f>
        <v>38.799999999999997</v>
      </c>
      <c r="E34" s="40"/>
      <c r="F34" s="132" t="s">
        <v>345</v>
      </c>
      <c r="G34" s="133">
        <f>12340.5</f>
        <v>12340.5</v>
      </c>
      <c r="H34" s="40"/>
      <c r="I34" s="40"/>
      <c r="J34" s="40"/>
      <c r="K34" s="40"/>
      <c r="O34" s="90" t="s">
        <v>140</v>
      </c>
      <c r="R34" s="93">
        <v>8002.5</v>
      </c>
      <c r="U34" s="18" t="s">
        <v>30</v>
      </c>
      <c r="W34" s="24">
        <f>+AG36+AG34</f>
        <v>6633784.0199999996</v>
      </c>
      <c r="X34" s="4"/>
      <c r="Y34" s="40">
        <v>6633784</v>
      </c>
      <c r="AB34" s="19"/>
      <c r="AC34" s="19"/>
      <c r="AD34" s="19" t="s">
        <v>140</v>
      </c>
      <c r="AE34" s="19"/>
      <c r="AF34" s="19"/>
      <c r="AG34" s="34">
        <v>8002.5</v>
      </c>
      <c r="AH34"/>
    </row>
    <row r="35" spans="1:34" x14ac:dyDescent="0.75">
      <c r="B35" s="18" t="s">
        <v>30</v>
      </c>
      <c r="D35" s="24">
        <f>+G146</f>
        <v>8406996.9700000007</v>
      </c>
      <c r="E35" s="40"/>
      <c r="F35" s="132" t="s">
        <v>346</v>
      </c>
      <c r="G35" s="133">
        <f>0</f>
        <v>0</v>
      </c>
      <c r="H35" s="40"/>
      <c r="I35" s="40"/>
      <c r="J35" s="40"/>
      <c r="K35" s="40"/>
      <c r="O35" s="90" t="s">
        <v>29</v>
      </c>
      <c r="R35" s="91">
        <v>22652.68</v>
      </c>
      <c r="U35" s="18" t="s">
        <v>31</v>
      </c>
      <c r="W35" s="32">
        <f>+AG37</f>
        <v>-9128495.3900000006</v>
      </c>
      <c r="X35" s="4"/>
      <c r="Y35" s="40">
        <v>-8880576</v>
      </c>
      <c r="AB35" s="19"/>
      <c r="AC35" s="19"/>
      <c r="AD35" s="19" t="s">
        <v>29</v>
      </c>
      <c r="AE35" s="19"/>
      <c r="AF35" s="19"/>
      <c r="AG35" s="31">
        <v>22652.68</v>
      </c>
      <c r="AH35"/>
    </row>
    <row r="36" spans="1:34" ht="15.5" thickBot="1" x14ac:dyDescent="0.9">
      <c r="B36" s="18" t="s">
        <v>467</v>
      </c>
      <c r="D36" s="84">
        <v>-94000</v>
      </c>
      <c r="E36" s="142"/>
      <c r="F36" s="132" t="s">
        <v>347</v>
      </c>
      <c r="G36" s="133">
        <f>298843.7</f>
        <v>298843.7</v>
      </c>
      <c r="H36" s="142"/>
      <c r="I36" s="142"/>
      <c r="J36" s="142"/>
      <c r="K36" s="142"/>
      <c r="O36" s="90" t="s">
        <v>30</v>
      </c>
      <c r="R36" s="93">
        <v>6625781.5199999996</v>
      </c>
      <c r="U36" s="18" t="s">
        <v>32</v>
      </c>
      <c r="W36" s="63">
        <f>+AG38</f>
        <v>-77401.070000000007</v>
      </c>
      <c r="X36" s="4"/>
      <c r="Y36" s="45">
        <v>-49203</v>
      </c>
      <c r="AB36" s="19"/>
      <c r="AC36" s="19"/>
      <c r="AD36" s="19" t="s">
        <v>30</v>
      </c>
      <c r="AE36" s="19"/>
      <c r="AF36" s="19"/>
      <c r="AG36" s="34">
        <v>6625781.5199999996</v>
      </c>
    </row>
    <row r="37" spans="1:34" x14ac:dyDescent="0.75">
      <c r="B37" s="18" t="s">
        <v>31</v>
      </c>
      <c r="D37" s="32">
        <f>+G153</f>
        <v>-9496924.1300000008</v>
      </c>
      <c r="E37" s="37"/>
      <c r="F37" s="132" t="s">
        <v>348</v>
      </c>
      <c r="G37" s="133">
        <f>10394.01</f>
        <v>10394.01</v>
      </c>
      <c r="H37" s="37"/>
      <c r="I37" s="37"/>
      <c r="J37" s="37"/>
      <c r="K37" s="37"/>
      <c r="O37" s="90" t="s">
        <v>31</v>
      </c>
      <c r="R37" s="94">
        <v>-9132495.3900000006</v>
      </c>
      <c r="U37" s="9" t="s">
        <v>33</v>
      </c>
      <c r="V37" s="9"/>
      <c r="W37" s="16">
        <f>SUM(W32:W36)</f>
        <v>-2099460.7600000012</v>
      </c>
      <c r="X37" s="1"/>
      <c r="Y37" s="37">
        <f>SUM(Y33:Y36)</f>
        <v>-2273342</v>
      </c>
      <c r="AB37" s="19"/>
      <c r="AC37" s="19"/>
      <c r="AD37" s="19" t="s">
        <v>31</v>
      </c>
      <c r="AE37" s="19"/>
      <c r="AF37" s="19"/>
      <c r="AG37" s="33">
        <v>-9128495.3900000006</v>
      </c>
    </row>
    <row r="38" spans="1:34" ht="15.5" thickBot="1" x14ac:dyDescent="0.9">
      <c r="B38" s="18" t="s">
        <v>32</v>
      </c>
      <c r="D38" s="63">
        <f>+G154</f>
        <v>-824500.6</v>
      </c>
      <c r="E38" s="40"/>
      <c r="F38" s="132" t="s">
        <v>349</v>
      </c>
      <c r="G38" s="133">
        <f>12839.91</f>
        <v>12839.91</v>
      </c>
      <c r="H38" s="40"/>
      <c r="I38" s="40"/>
      <c r="J38" s="40"/>
      <c r="K38" s="40"/>
      <c r="O38" s="90" t="s">
        <v>32</v>
      </c>
      <c r="R38" s="95">
        <v>-354689.14</v>
      </c>
      <c r="W38" s="4"/>
      <c r="X38" s="4"/>
      <c r="Y38" s="40"/>
      <c r="AB38" s="19"/>
      <c r="AC38" s="19"/>
      <c r="AD38" s="19" t="s">
        <v>32</v>
      </c>
      <c r="AE38" s="19"/>
      <c r="AF38" s="19"/>
      <c r="AG38" s="64">
        <v>-77401.070000000007</v>
      </c>
    </row>
    <row r="39" spans="1:34" ht="15.5" thickBot="1" x14ac:dyDescent="0.9">
      <c r="B39" s="9" t="s">
        <v>33</v>
      </c>
      <c r="C39" s="156">
        <f>+G155</f>
        <v>-1962204.8200000008</v>
      </c>
      <c r="D39" s="16">
        <f>SUM(D32:D38)</f>
        <v>-1962204.8200000008</v>
      </c>
      <c r="E39" s="143">
        <f>+C39-D39</f>
        <v>0</v>
      </c>
      <c r="F39" s="132" t="s">
        <v>350</v>
      </c>
      <c r="G39" s="133">
        <f>20105.95</f>
        <v>20105.95</v>
      </c>
      <c r="H39" s="143"/>
      <c r="I39" s="143"/>
      <c r="J39" s="143"/>
      <c r="K39" s="143"/>
      <c r="N39" s="90" t="s">
        <v>33</v>
      </c>
      <c r="R39" s="90">
        <v>-2235747.83</v>
      </c>
      <c r="T39" s="9" t="s">
        <v>34</v>
      </c>
      <c r="W39" s="65">
        <f>+W28+W37</f>
        <v>1017213.0799999987</v>
      </c>
      <c r="X39" s="4"/>
      <c r="Y39" s="47">
        <f>+Y28+Y37</f>
        <v>684159</v>
      </c>
      <c r="AB39" s="19"/>
      <c r="AC39" s="19" t="s">
        <v>33</v>
      </c>
      <c r="AD39" s="19"/>
      <c r="AE39" s="19"/>
      <c r="AF39" s="19"/>
      <c r="AG39" s="22">
        <f>ROUND(SUM(AG32:AG38),5)</f>
        <v>-2099459.7599999998</v>
      </c>
    </row>
    <row r="40" spans="1:34" ht="15.5" thickBot="1" x14ac:dyDescent="0.9">
      <c r="A40" s="9" t="s">
        <v>34</v>
      </c>
      <c r="D40" s="4"/>
      <c r="F40" s="132" t="s">
        <v>351</v>
      </c>
      <c r="G40" s="133">
        <f>1015.31</f>
        <v>1015.31</v>
      </c>
      <c r="M40" s="90" t="s">
        <v>141</v>
      </c>
      <c r="R40" s="90">
        <v>983770.55</v>
      </c>
      <c r="AB40" s="19" t="s">
        <v>141</v>
      </c>
      <c r="AC40" s="19"/>
      <c r="AD40" s="19"/>
      <c r="AE40" s="19"/>
      <c r="AF40" s="19"/>
      <c r="AG40" s="23">
        <f>ROUND(AG16+AG31+AG39,5)</f>
        <v>1017213.08</v>
      </c>
    </row>
    <row r="41" spans="1:34" ht="16.25" thickTop="1" thickBot="1" x14ac:dyDescent="0.9">
      <c r="C41" s="90">
        <f>+G156</f>
        <v>1027954.2399999988</v>
      </c>
      <c r="D41" s="65">
        <f>+D28+D39</f>
        <v>1021521.4299999997</v>
      </c>
      <c r="E41" s="79">
        <f>+C41-D41</f>
        <v>6432.8099999991246</v>
      </c>
      <c r="F41" s="132" t="s">
        <v>352</v>
      </c>
      <c r="G41" s="133">
        <f>-80973.34</f>
        <v>-80973.34</v>
      </c>
      <c r="H41" s="79"/>
      <c r="I41" s="79"/>
      <c r="J41" s="79"/>
      <c r="K41" s="79"/>
      <c r="V41" s="18" t="s">
        <v>47</v>
      </c>
      <c r="W41" s="14">
        <f>+W13-W39</f>
        <v>1.3969838619232178E-9</v>
      </c>
      <c r="Y41" s="60">
        <f>+Y13-Y39</f>
        <v>0</v>
      </c>
    </row>
    <row r="42" spans="1:34" x14ac:dyDescent="0.75">
      <c r="F42" s="132" t="s">
        <v>353</v>
      </c>
      <c r="G42" s="133">
        <f>0</f>
        <v>0</v>
      </c>
    </row>
    <row r="43" spans="1:34" ht="22.25" x14ac:dyDescent="0.75">
      <c r="C43" s="18" t="s">
        <v>47</v>
      </c>
      <c r="D43" s="14">
        <f>+D13-D41</f>
        <v>0</v>
      </c>
      <c r="F43" s="132" t="s">
        <v>354</v>
      </c>
      <c r="G43" s="133">
        <f>-1968.78</f>
        <v>-1968.78</v>
      </c>
    </row>
    <row r="44" spans="1:34" x14ac:dyDescent="0.75">
      <c r="F44" s="132" t="s">
        <v>355</v>
      </c>
      <c r="G44" s="133">
        <f>-803.74</f>
        <v>-803.74</v>
      </c>
    </row>
    <row r="45" spans="1:34" x14ac:dyDescent="0.75">
      <c r="F45" s="132" t="s">
        <v>356</v>
      </c>
      <c r="G45" s="133">
        <f>-4706.69</f>
        <v>-4706.6899999999996</v>
      </c>
    </row>
    <row r="46" spans="1:34" x14ac:dyDescent="0.75">
      <c r="F46" s="132" t="s">
        <v>357</v>
      </c>
      <c r="G46" s="133">
        <f>0</f>
        <v>0</v>
      </c>
    </row>
    <row r="47" spans="1:34" x14ac:dyDescent="0.75">
      <c r="F47" s="132" t="s">
        <v>358</v>
      </c>
      <c r="G47" s="133">
        <f>-172008.62</f>
        <v>-172008.62</v>
      </c>
    </row>
    <row r="48" spans="1:34" x14ac:dyDescent="0.75">
      <c r="F48" s="132" t="s">
        <v>359</v>
      </c>
      <c r="G48" s="133">
        <f>-10394.01</f>
        <v>-10394.01</v>
      </c>
    </row>
    <row r="49" spans="6:7" x14ac:dyDescent="0.75">
      <c r="F49" s="132" t="s">
        <v>360</v>
      </c>
      <c r="G49" s="133">
        <f>-982.56</f>
        <v>-982.56</v>
      </c>
    </row>
    <row r="50" spans="6:7" x14ac:dyDescent="0.75">
      <c r="F50" s="132" t="s">
        <v>361</v>
      </c>
      <c r="G50" s="133">
        <f>-1015.31</f>
        <v>-1015.31</v>
      </c>
    </row>
    <row r="51" spans="6:7" x14ac:dyDescent="0.75">
      <c r="F51" s="132" t="s">
        <v>362</v>
      </c>
      <c r="G51" s="133">
        <f>-20105.95</f>
        <v>-20105.95</v>
      </c>
    </row>
    <row r="52" spans="6:7" x14ac:dyDescent="0.75">
      <c r="F52" s="132" t="s">
        <v>363</v>
      </c>
      <c r="G52" s="149">
        <f>(((((((((((((((((((((G30)+(G31))+(G32))+(G33))+(G34))+(G35))+(G36))+(G37))+(G38))+(G39))+(G40))+(G41))+(G42))+(G43))+(G44))+(G45))+(G46))+(G47))+(G48))+(G49))+(G50))+(G51)</f>
        <v>214065.37999999989</v>
      </c>
    </row>
    <row r="53" spans="6:7" x14ac:dyDescent="0.75">
      <c r="F53" s="132" t="s">
        <v>364</v>
      </c>
      <c r="G53" s="144"/>
    </row>
    <row r="54" spans="6:7" x14ac:dyDescent="0.75">
      <c r="F54" s="132" t="s">
        <v>365</v>
      </c>
      <c r="G54" s="133">
        <f>2407.88</f>
        <v>2407.88</v>
      </c>
    </row>
    <row r="55" spans="6:7" x14ac:dyDescent="0.75">
      <c r="F55" s="132" t="s">
        <v>366</v>
      </c>
      <c r="G55" s="133">
        <f>0</f>
        <v>0</v>
      </c>
    </row>
    <row r="56" spans="6:7" x14ac:dyDescent="0.75">
      <c r="F56" s="132" t="s">
        <v>367</v>
      </c>
      <c r="G56" s="133">
        <f>0</f>
        <v>0</v>
      </c>
    </row>
    <row r="57" spans="6:7" x14ac:dyDescent="0.75">
      <c r="F57" s="132" t="s">
        <v>368</v>
      </c>
      <c r="G57" s="133">
        <f>5980</f>
        <v>5980</v>
      </c>
    </row>
    <row r="58" spans="6:7" x14ac:dyDescent="0.75">
      <c r="F58" s="132" t="s">
        <v>369</v>
      </c>
      <c r="G58" s="133">
        <f>3245</f>
        <v>3245</v>
      </c>
    </row>
    <row r="59" spans="6:7" x14ac:dyDescent="0.75">
      <c r="F59" s="132" t="s">
        <v>370</v>
      </c>
      <c r="G59" s="133">
        <f>0</f>
        <v>0</v>
      </c>
    </row>
    <row r="60" spans="6:7" x14ac:dyDescent="0.75">
      <c r="F60" s="132" t="s">
        <v>371</v>
      </c>
      <c r="G60" s="133">
        <f>0</f>
        <v>0</v>
      </c>
    </row>
    <row r="61" spans="6:7" x14ac:dyDescent="0.75">
      <c r="F61" s="132" t="s">
        <v>372</v>
      </c>
      <c r="G61" s="133">
        <f>0</f>
        <v>0</v>
      </c>
    </row>
    <row r="62" spans="6:7" x14ac:dyDescent="0.75">
      <c r="F62" s="132" t="s">
        <v>373</v>
      </c>
      <c r="G62" s="133">
        <f>2500</f>
        <v>2500</v>
      </c>
    </row>
    <row r="63" spans="6:7" x14ac:dyDescent="0.75">
      <c r="F63" s="132" t="s">
        <v>374</v>
      </c>
      <c r="G63" s="133">
        <f>0</f>
        <v>0</v>
      </c>
    </row>
    <row r="64" spans="6:7" x14ac:dyDescent="0.75">
      <c r="F64" s="132" t="s">
        <v>375</v>
      </c>
      <c r="G64" s="133">
        <f>0</f>
        <v>0</v>
      </c>
    </row>
    <row r="65" spans="6:7" x14ac:dyDescent="0.75">
      <c r="F65" s="132" t="s">
        <v>376</v>
      </c>
      <c r="G65" s="133">
        <f>0</f>
        <v>0</v>
      </c>
    </row>
    <row r="66" spans="6:7" x14ac:dyDescent="0.75">
      <c r="F66" s="132" t="s">
        <v>377</v>
      </c>
      <c r="G66" s="133">
        <f>0</f>
        <v>0</v>
      </c>
    </row>
    <row r="67" spans="6:7" x14ac:dyDescent="0.75">
      <c r="F67" s="132" t="s">
        <v>378</v>
      </c>
      <c r="G67" s="133">
        <f>0</f>
        <v>0</v>
      </c>
    </row>
    <row r="68" spans="6:7" x14ac:dyDescent="0.75">
      <c r="F68" s="132" t="s">
        <v>379</v>
      </c>
      <c r="G68" s="133">
        <f>0</f>
        <v>0</v>
      </c>
    </row>
    <row r="69" spans="6:7" x14ac:dyDescent="0.75">
      <c r="F69" s="132" t="s">
        <v>380</v>
      </c>
      <c r="G69" s="133">
        <f>16253.59</f>
        <v>16253.59</v>
      </c>
    </row>
    <row r="70" spans="6:7" ht="22.25" x14ac:dyDescent="0.75">
      <c r="F70" s="132" t="s">
        <v>381</v>
      </c>
      <c r="G70" s="133">
        <f>0</f>
        <v>0</v>
      </c>
    </row>
    <row r="71" spans="6:7" x14ac:dyDescent="0.75">
      <c r="F71" s="132" t="s">
        <v>382</v>
      </c>
      <c r="G71" s="133">
        <f>56800.88</f>
        <v>56800.88</v>
      </c>
    </row>
    <row r="72" spans="6:7" x14ac:dyDescent="0.75">
      <c r="F72" s="132" t="s">
        <v>383</v>
      </c>
      <c r="G72" s="133">
        <f>0</f>
        <v>0</v>
      </c>
    </row>
    <row r="73" spans="6:7" x14ac:dyDescent="0.75">
      <c r="F73" s="132" t="s">
        <v>384</v>
      </c>
      <c r="G73" s="133">
        <f>-43633.99</f>
        <v>-43633.99</v>
      </c>
    </row>
    <row r="74" spans="6:7" x14ac:dyDescent="0.75">
      <c r="F74" s="132" t="s">
        <v>385</v>
      </c>
      <c r="G74" s="134">
        <f>((((((((((((((((G57)+(G58))+(G59))+(G60))+(G61))+(G62))+(G63))+(G64))+(G65))+(G66))+(G67))+(G68))+(G69))+(G70))+(G71))+(G72))+(G73)</f>
        <v>41145.480000000003</v>
      </c>
    </row>
    <row r="75" spans="6:7" x14ac:dyDescent="0.75">
      <c r="F75" s="132" t="s">
        <v>386</v>
      </c>
      <c r="G75" s="133">
        <f>0</f>
        <v>0</v>
      </c>
    </row>
    <row r="76" spans="6:7" x14ac:dyDescent="0.75">
      <c r="F76" s="132" t="s">
        <v>387</v>
      </c>
      <c r="G76" s="133">
        <f>0</f>
        <v>0</v>
      </c>
    </row>
    <row r="77" spans="6:7" x14ac:dyDescent="0.75">
      <c r="F77" s="132" t="s">
        <v>388</v>
      </c>
      <c r="G77" s="133">
        <f>0</f>
        <v>0</v>
      </c>
    </row>
    <row r="78" spans="6:7" x14ac:dyDescent="0.75">
      <c r="F78" s="132" t="s">
        <v>389</v>
      </c>
      <c r="G78" s="148">
        <f>((((((G54)+(G55))+(G56))+(G74))+(G75))+(G76))+(G77)</f>
        <v>43553.36</v>
      </c>
    </row>
    <row r="79" spans="6:7" x14ac:dyDescent="0.75">
      <c r="F79" s="152" t="s">
        <v>131</v>
      </c>
      <c r="G79" s="145">
        <f>((G28)+(G52))+(G78)</f>
        <v>1021521.4299999998</v>
      </c>
    </row>
    <row r="80" spans="6:7" x14ac:dyDescent="0.75">
      <c r="F80" s="132" t="s">
        <v>390</v>
      </c>
      <c r="G80" s="144"/>
    </row>
    <row r="81" spans="6:7" x14ac:dyDescent="0.75">
      <c r="F81" s="132" t="s">
        <v>391</v>
      </c>
      <c r="G81" s="144"/>
    </row>
    <row r="82" spans="6:7" x14ac:dyDescent="0.75">
      <c r="F82" s="132" t="s">
        <v>392</v>
      </c>
      <c r="G82" s="144"/>
    </row>
    <row r="83" spans="6:7" x14ac:dyDescent="0.75">
      <c r="F83" s="132" t="s">
        <v>393</v>
      </c>
      <c r="G83" s="144"/>
    </row>
    <row r="84" spans="6:7" x14ac:dyDescent="0.75">
      <c r="F84" s="132" t="s">
        <v>394</v>
      </c>
      <c r="G84" s="133">
        <f>31498.01</f>
        <v>31498.01</v>
      </c>
    </row>
    <row r="85" spans="6:7" x14ac:dyDescent="0.75">
      <c r="F85" s="132" t="s">
        <v>395</v>
      </c>
      <c r="G85" s="146">
        <f>G84</f>
        <v>31498.01</v>
      </c>
    </row>
    <row r="86" spans="6:7" x14ac:dyDescent="0.75">
      <c r="F86" s="132" t="s">
        <v>396</v>
      </c>
      <c r="G86" s="144"/>
    </row>
    <row r="87" spans="6:7" x14ac:dyDescent="0.75">
      <c r="F87" s="132" t="s">
        <v>397</v>
      </c>
      <c r="G87" s="133">
        <f>0</f>
        <v>0</v>
      </c>
    </row>
    <row r="88" spans="6:7" x14ac:dyDescent="0.75">
      <c r="F88" s="132" t="s">
        <v>398</v>
      </c>
      <c r="G88" s="133">
        <f>11766.22</f>
        <v>11766.22</v>
      </c>
    </row>
    <row r="89" spans="6:7" x14ac:dyDescent="0.75">
      <c r="F89" s="132" t="s">
        <v>399</v>
      </c>
      <c r="G89" s="133">
        <f>10687.12</f>
        <v>10687.12</v>
      </c>
    </row>
    <row r="90" spans="6:7" ht="22.25" x14ac:dyDescent="0.75">
      <c r="F90" s="132" t="s">
        <v>400</v>
      </c>
      <c r="G90" s="133">
        <f>5657.97</f>
        <v>5657.97</v>
      </c>
    </row>
    <row r="91" spans="6:7" ht="22.25" x14ac:dyDescent="0.75">
      <c r="F91" s="132" t="s">
        <v>401</v>
      </c>
      <c r="G91" s="133">
        <f>0</f>
        <v>0</v>
      </c>
    </row>
    <row r="92" spans="6:7" x14ac:dyDescent="0.75">
      <c r="F92" s="132" t="s">
        <v>402</v>
      </c>
      <c r="G92" s="149">
        <f>((((G87)+(G88))+(G89))+(G90))+(G91)+G97</f>
        <v>34544.120000000003</v>
      </c>
    </row>
    <row r="93" spans="6:7" x14ac:dyDescent="0.75">
      <c r="F93" s="132" t="s">
        <v>403</v>
      </c>
      <c r="G93" s="144"/>
    </row>
    <row r="94" spans="6:7" x14ac:dyDescent="0.75">
      <c r="F94" s="132" t="s">
        <v>404</v>
      </c>
      <c r="G94" s="133">
        <f>13489.05</f>
        <v>13489.05</v>
      </c>
    </row>
    <row r="95" spans="6:7" x14ac:dyDescent="0.75">
      <c r="F95" s="132" t="s">
        <v>405</v>
      </c>
      <c r="G95" s="133">
        <f>0</f>
        <v>0</v>
      </c>
    </row>
    <row r="96" spans="6:7" ht="22.25" x14ac:dyDescent="0.75">
      <c r="F96" s="132" t="s">
        <v>406</v>
      </c>
      <c r="G96" s="146">
        <f>(G94)+(G95)</f>
        <v>13489.05</v>
      </c>
    </row>
    <row r="97" spans="6:8" x14ac:dyDescent="0.75">
      <c r="F97" s="132" t="s">
        <v>407</v>
      </c>
      <c r="G97" s="137">
        <f>6432.81</f>
        <v>6432.81</v>
      </c>
      <c r="H97" s="160"/>
    </row>
    <row r="98" spans="6:8" x14ac:dyDescent="0.75">
      <c r="F98" s="132" t="s">
        <v>408</v>
      </c>
      <c r="G98" s="136">
        <f>628339.38</f>
        <v>628339.38</v>
      </c>
    </row>
    <row r="99" spans="6:8" x14ac:dyDescent="0.75">
      <c r="F99" s="132" t="s">
        <v>409</v>
      </c>
      <c r="G99" s="133">
        <f>0</f>
        <v>0</v>
      </c>
    </row>
    <row r="100" spans="6:8" x14ac:dyDescent="0.75">
      <c r="F100" s="132" t="s">
        <v>410</v>
      </c>
      <c r="G100" s="133">
        <f>0</f>
        <v>0</v>
      </c>
    </row>
    <row r="101" spans="6:8" ht="22.25" x14ac:dyDescent="0.75">
      <c r="F101" s="132" t="s">
        <v>411</v>
      </c>
      <c r="G101" s="133">
        <f>0</f>
        <v>0</v>
      </c>
    </row>
    <row r="102" spans="6:8" x14ac:dyDescent="0.75">
      <c r="F102" s="132" t="s">
        <v>412</v>
      </c>
      <c r="G102" s="133">
        <f>0</f>
        <v>0</v>
      </c>
    </row>
    <row r="103" spans="6:8" x14ac:dyDescent="0.75">
      <c r="F103" s="132" t="s">
        <v>413</v>
      </c>
      <c r="G103" s="133">
        <f>0</f>
        <v>0</v>
      </c>
    </row>
    <row r="104" spans="6:8" x14ac:dyDescent="0.75">
      <c r="F104" s="132" t="s">
        <v>414</v>
      </c>
      <c r="G104" s="133">
        <f>0</f>
        <v>0</v>
      </c>
    </row>
    <row r="105" spans="6:8" x14ac:dyDescent="0.75">
      <c r="F105" s="132" t="s">
        <v>415</v>
      </c>
      <c r="G105" s="133">
        <f>0</f>
        <v>0</v>
      </c>
    </row>
    <row r="106" spans="6:8" ht="22.25" x14ac:dyDescent="0.75">
      <c r="F106" s="132" t="s">
        <v>416</v>
      </c>
      <c r="G106" s="133">
        <f>0</f>
        <v>0</v>
      </c>
    </row>
    <row r="107" spans="6:8" x14ac:dyDescent="0.75">
      <c r="F107" s="132" t="s">
        <v>417</v>
      </c>
      <c r="G107" s="136">
        <f>19562.03</f>
        <v>19562.03</v>
      </c>
    </row>
    <row r="108" spans="6:8" x14ac:dyDescent="0.75">
      <c r="F108" s="132" t="s">
        <v>418</v>
      </c>
      <c r="G108" s="150">
        <f>9740</f>
        <v>9740</v>
      </c>
    </row>
    <row r="109" spans="6:8" x14ac:dyDescent="0.75">
      <c r="F109" s="132" t="s">
        <v>419</v>
      </c>
      <c r="G109" s="151">
        <f>1221957.72</f>
        <v>1221957.72</v>
      </c>
    </row>
    <row r="110" spans="6:8" x14ac:dyDescent="0.75">
      <c r="F110" s="132" t="s">
        <v>420</v>
      </c>
      <c r="G110" s="133">
        <f>0</f>
        <v>0</v>
      </c>
    </row>
    <row r="111" spans="6:8" x14ac:dyDescent="0.75">
      <c r="F111" s="132" t="s">
        <v>421</v>
      </c>
      <c r="G111" s="150">
        <f>34664</f>
        <v>34664</v>
      </c>
    </row>
    <row r="112" spans="6:8" x14ac:dyDescent="0.75">
      <c r="F112" s="132" t="s">
        <v>422</v>
      </c>
      <c r="G112" s="133">
        <f>102417.95</f>
        <v>102417.95</v>
      </c>
    </row>
    <row r="113" spans="6:7" x14ac:dyDescent="0.75">
      <c r="F113" s="132" t="s">
        <v>423</v>
      </c>
      <c r="G113" s="133">
        <f>78615.34</f>
        <v>78615.34</v>
      </c>
    </row>
    <row r="114" spans="6:7" ht="22.25" x14ac:dyDescent="0.75">
      <c r="F114" s="132" t="s">
        <v>424</v>
      </c>
      <c r="G114" s="133">
        <f>0</f>
        <v>0</v>
      </c>
    </row>
    <row r="115" spans="6:7" x14ac:dyDescent="0.75">
      <c r="F115" s="132" t="s">
        <v>425</v>
      </c>
      <c r="G115" s="133">
        <f>0</f>
        <v>0</v>
      </c>
    </row>
    <row r="116" spans="6:7" x14ac:dyDescent="0.75">
      <c r="F116" s="132" t="s">
        <v>426</v>
      </c>
      <c r="G116" s="133">
        <f>0</f>
        <v>0</v>
      </c>
    </row>
    <row r="117" spans="6:7" ht="22.25" x14ac:dyDescent="0.75">
      <c r="F117" s="132" t="s">
        <v>427</v>
      </c>
      <c r="G117" s="133">
        <f>0</f>
        <v>0</v>
      </c>
    </row>
    <row r="118" spans="6:7" x14ac:dyDescent="0.75">
      <c r="F118" s="132" t="s">
        <v>428</v>
      </c>
      <c r="G118" s="133">
        <f>0</f>
        <v>0</v>
      </c>
    </row>
    <row r="119" spans="6:7" ht="22.25" x14ac:dyDescent="0.75">
      <c r="F119" s="132" t="s">
        <v>429</v>
      </c>
      <c r="G119" s="148">
        <f>((((((G112)+(G113))+(G114))+(G115))+(G116))+(G117))+(G118)</f>
        <v>181033.28999999998</v>
      </c>
    </row>
    <row r="120" spans="6:7" x14ac:dyDescent="0.75">
      <c r="F120" s="132" t="s">
        <v>430</v>
      </c>
      <c r="G120" s="134">
        <f>((((((((((((((((G96)+(G97))+(G98))+(G99))+(G100))+(G101))+(G102))+(G103))+(G104))+(G105))+(G106))+(G107))+(G108))+(G109))+(G110))+(G111))+(G119)</f>
        <v>2115218.2799999998</v>
      </c>
    </row>
    <row r="121" spans="6:7" x14ac:dyDescent="0.75">
      <c r="F121" s="132" t="s">
        <v>431</v>
      </c>
      <c r="G121" s="134">
        <f>((G85)+(G92))+(G120)</f>
        <v>2181260.4099999997</v>
      </c>
    </row>
    <row r="122" spans="6:7" x14ac:dyDescent="0.75">
      <c r="F122" s="132" t="s">
        <v>432</v>
      </c>
      <c r="G122" s="144"/>
    </row>
    <row r="123" spans="6:7" x14ac:dyDescent="0.75">
      <c r="F123" s="132" t="s">
        <v>433</v>
      </c>
      <c r="G123" s="133">
        <f>50000</f>
        <v>50000</v>
      </c>
    </row>
    <row r="124" spans="6:7" x14ac:dyDescent="0.75">
      <c r="F124" s="132" t="s">
        <v>434</v>
      </c>
      <c r="G124" s="133">
        <f>15000</f>
        <v>15000</v>
      </c>
    </row>
    <row r="125" spans="6:7" x14ac:dyDescent="0.75">
      <c r="F125" s="132" t="s">
        <v>435</v>
      </c>
      <c r="G125" s="133">
        <f>25000</f>
        <v>25000</v>
      </c>
    </row>
    <row r="126" spans="6:7" x14ac:dyDescent="0.75">
      <c r="F126" s="132" t="s">
        <v>436</v>
      </c>
      <c r="G126" s="133">
        <f>50000</f>
        <v>50000</v>
      </c>
    </row>
    <row r="127" spans="6:7" x14ac:dyDescent="0.75">
      <c r="F127" s="132" t="s">
        <v>437</v>
      </c>
      <c r="G127" s="133">
        <f>60000</f>
        <v>60000</v>
      </c>
    </row>
    <row r="128" spans="6:7" x14ac:dyDescent="0.75">
      <c r="F128" s="132" t="s">
        <v>438</v>
      </c>
      <c r="G128" s="133">
        <f>100000</f>
        <v>100000</v>
      </c>
    </row>
    <row r="129" spans="6:8" x14ac:dyDescent="0.75">
      <c r="F129" s="132" t="s">
        <v>439</v>
      </c>
      <c r="G129" s="133">
        <f>150000</f>
        <v>150000</v>
      </c>
    </row>
    <row r="130" spans="6:8" x14ac:dyDescent="0.75">
      <c r="F130" s="132" t="s">
        <v>440</v>
      </c>
      <c r="G130" s="133">
        <f>40000</f>
        <v>40000</v>
      </c>
    </row>
    <row r="131" spans="6:8" x14ac:dyDescent="0.75">
      <c r="F131" s="132" t="s">
        <v>441</v>
      </c>
      <c r="G131" s="133">
        <f>178263.65</f>
        <v>178263.65</v>
      </c>
    </row>
    <row r="132" spans="6:8" x14ac:dyDescent="0.75">
      <c r="F132" s="132" t="s">
        <v>442</v>
      </c>
      <c r="G132" s="133">
        <f>50000</f>
        <v>50000</v>
      </c>
    </row>
    <row r="133" spans="6:8" x14ac:dyDescent="0.75">
      <c r="F133" s="132" t="s">
        <v>443</v>
      </c>
      <c r="G133" s="133">
        <f>25000</f>
        <v>25000</v>
      </c>
    </row>
    <row r="134" spans="6:8" x14ac:dyDescent="0.75">
      <c r="F134" s="132" t="s">
        <v>444</v>
      </c>
      <c r="G134" s="133">
        <f>170000</f>
        <v>170000</v>
      </c>
    </row>
    <row r="135" spans="6:8" x14ac:dyDescent="0.75">
      <c r="F135" s="132" t="s">
        <v>445</v>
      </c>
      <c r="G135" s="133">
        <f>50000</f>
        <v>50000</v>
      </c>
    </row>
    <row r="136" spans="6:8" x14ac:dyDescent="0.75">
      <c r="F136" s="132" t="s">
        <v>446</v>
      </c>
      <c r="G136" s="133">
        <f>2500</f>
        <v>2500</v>
      </c>
    </row>
    <row r="137" spans="6:8" x14ac:dyDescent="0.75">
      <c r="F137" s="132" t="s">
        <v>447</v>
      </c>
      <c r="G137" s="133">
        <f>50000</f>
        <v>50000</v>
      </c>
    </row>
    <row r="138" spans="6:8" x14ac:dyDescent="0.75">
      <c r="F138" s="132" t="s">
        <v>448</v>
      </c>
      <c r="G138" s="133">
        <f>25000</f>
        <v>25000</v>
      </c>
    </row>
    <row r="139" spans="6:8" x14ac:dyDescent="0.75">
      <c r="F139" s="132" t="s">
        <v>449</v>
      </c>
      <c r="G139" s="133">
        <f>0</f>
        <v>0</v>
      </c>
    </row>
    <row r="140" spans="6:8" x14ac:dyDescent="0.75">
      <c r="F140" s="132" t="s">
        <v>450</v>
      </c>
      <c r="G140" s="133">
        <f>-231865</f>
        <v>-231865</v>
      </c>
    </row>
    <row r="141" spans="6:8" x14ac:dyDescent="0.75">
      <c r="F141" s="132" t="s">
        <v>451</v>
      </c>
      <c r="G141" s="153">
        <f>(((((((((((((((((G123)+(G124))+(G125))+(G126))+(G127))+(G128))+(G129))+(G130))+(G131))+(G132))+(G133))+(G134))+(G135))+(G136))+(G137))+(G138))+(G139))+(G140)</f>
        <v>808898.65</v>
      </c>
    </row>
    <row r="142" spans="6:8" x14ac:dyDescent="0.75">
      <c r="F142" s="132" t="s">
        <v>452</v>
      </c>
      <c r="G142" s="134">
        <f>(G121)+(G141)</f>
        <v>2990159.0599999996</v>
      </c>
      <c r="H142" s="93">
        <f>+G142</f>
        <v>2990159.0599999996</v>
      </c>
    </row>
    <row r="143" spans="6:8" x14ac:dyDescent="0.75">
      <c r="F143" s="132" t="s">
        <v>453</v>
      </c>
      <c r="G143" s="144"/>
      <c r="H143" s="82"/>
    </row>
    <row r="144" spans="6:8" x14ac:dyDescent="0.75">
      <c r="F144" s="132" t="s">
        <v>454</v>
      </c>
      <c r="G144" s="136">
        <f>46184.14</f>
        <v>46184.14</v>
      </c>
      <c r="H144" s="154">
        <f>+G144</f>
        <v>46184.14</v>
      </c>
    </row>
    <row r="145" spans="6:8" x14ac:dyDescent="0.75">
      <c r="F145" s="132" t="s">
        <v>455</v>
      </c>
      <c r="G145" s="151">
        <f>38.8</f>
        <v>38.799999999999997</v>
      </c>
      <c r="H145" s="154">
        <f>+G145</f>
        <v>38.799999999999997</v>
      </c>
    </row>
    <row r="146" spans="6:8" x14ac:dyDescent="0.75">
      <c r="F146" s="132" t="s">
        <v>456</v>
      </c>
      <c r="G146" s="137">
        <f>8406996.97</f>
        <v>8406996.9700000007</v>
      </c>
      <c r="H146" s="154">
        <f>+G146</f>
        <v>8406996.9700000007</v>
      </c>
    </row>
    <row r="147" spans="6:8" x14ac:dyDescent="0.75">
      <c r="F147" s="132" t="s">
        <v>457</v>
      </c>
      <c r="G147" s="133">
        <f>0</f>
        <v>0</v>
      </c>
    </row>
    <row r="148" spans="6:8" x14ac:dyDescent="0.75">
      <c r="F148" s="132" t="s">
        <v>458</v>
      </c>
      <c r="G148" s="133">
        <f>0</f>
        <v>0</v>
      </c>
    </row>
    <row r="149" spans="6:8" x14ac:dyDescent="0.75">
      <c r="F149" s="132" t="s">
        <v>459</v>
      </c>
      <c r="G149" s="133">
        <f>0</f>
        <v>0</v>
      </c>
    </row>
    <row r="150" spans="6:8" x14ac:dyDescent="0.75">
      <c r="F150" s="132" t="s">
        <v>460</v>
      </c>
      <c r="G150" s="133">
        <f>0</f>
        <v>0</v>
      </c>
    </row>
    <row r="151" spans="6:8" x14ac:dyDescent="0.75">
      <c r="F151" s="132" t="s">
        <v>461</v>
      </c>
      <c r="G151" s="147">
        <f>-94000</f>
        <v>-94000</v>
      </c>
      <c r="H151" s="154">
        <f>+G151</f>
        <v>-94000</v>
      </c>
    </row>
    <row r="152" spans="6:8" ht="22.25" x14ac:dyDescent="0.75">
      <c r="F152" s="132" t="s">
        <v>462</v>
      </c>
      <c r="G152" s="133">
        <f>0</f>
        <v>0</v>
      </c>
    </row>
    <row r="153" spans="6:8" x14ac:dyDescent="0.75">
      <c r="F153" s="132" t="s">
        <v>463</v>
      </c>
      <c r="G153" s="137">
        <f>-9496924.13</f>
        <v>-9496924.1300000008</v>
      </c>
      <c r="H153" s="154">
        <f>+G153</f>
        <v>-9496924.1300000008</v>
      </c>
    </row>
    <row r="154" spans="6:8" x14ac:dyDescent="0.75">
      <c r="F154" s="132" t="s">
        <v>464</v>
      </c>
      <c r="G154" s="147">
        <f>-824500.6</f>
        <v>-824500.6</v>
      </c>
      <c r="H154" s="155">
        <f>+G154</f>
        <v>-824500.6</v>
      </c>
    </row>
    <row r="155" spans="6:8" x14ac:dyDescent="0.75">
      <c r="F155" s="132" t="s">
        <v>465</v>
      </c>
      <c r="G155" s="134">
        <f>((((((((((G144)+(G145))+(G146))+(G147))+(G148))+(G149))+(G150))+(G151))+(G152))+(G153))+(G154)</f>
        <v>-1962204.8200000008</v>
      </c>
      <c r="H155" s="157">
        <f>SUM(H144:H154)</f>
        <v>-1962204.8200000008</v>
      </c>
    </row>
    <row r="156" spans="6:8" x14ac:dyDescent="0.75">
      <c r="F156" s="132" t="s">
        <v>466</v>
      </c>
      <c r="G156" s="134">
        <f>(G142)+(G155)</f>
        <v>1027954.2399999988</v>
      </c>
      <c r="H156" s="158">
        <f>+H142+H155</f>
        <v>1027954.2399999988</v>
      </c>
    </row>
    <row r="158" spans="6:8" x14ac:dyDescent="0.75">
      <c r="G158" s="159">
        <f>+G79-G156</f>
        <v>-6432.8099999990081</v>
      </c>
    </row>
  </sheetData>
  <mergeCells count="3">
    <mergeCell ref="F1:G1"/>
    <mergeCell ref="F2:G2"/>
    <mergeCell ref="F3:G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CEF3-D9EA-4FB2-9409-E0BA1E133052}">
  <sheetPr>
    <pageSetUpPr fitToPage="1"/>
  </sheetPr>
  <dimension ref="B1:AW147"/>
  <sheetViews>
    <sheetView topLeftCell="A3" workbookViewId="0">
      <pane xSplit="5205" ySplit="1045" topLeftCell="B61" activePane="bottomRight"/>
      <selection activeCell="A4" sqref="A1:B1048576"/>
      <selection pane="topRight" activeCell="O1" sqref="O1:O1048576"/>
      <selection pane="bottomLeft" activeCell="B55" sqref="B55"/>
      <selection pane="bottomRight" activeCell="K74" sqref="K74"/>
    </sheetView>
  </sheetViews>
  <sheetFormatPr defaultRowHeight="14.75" x14ac:dyDescent="0.75"/>
  <cols>
    <col min="1" max="6" width="8.7265625" style="4"/>
    <col min="7" max="7" width="23.5" style="4" customWidth="1"/>
    <col min="8" max="8" width="12.58984375" style="4" customWidth="1"/>
    <col min="9" max="9" width="10.04296875" style="4" customWidth="1"/>
    <col min="10" max="10" width="16.86328125" style="4" customWidth="1"/>
    <col min="11" max="11" width="11.5" style="4" customWidth="1"/>
    <col min="12" max="12" width="3.36328125" style="4" customWidth="1"/>
    <col min="13" max="13" width="12.7265625" style="90" customWidth="1"/>
    <col min="14" max="17" width="8.7265625" style="4"/>
    <col min="18" max="18" width="4.76953125" style="4" customWidth="1"/>
    <col min="19" max="19" width="15.6796875" style="4" customWidth="1"/>
    <col min="20" max="20" width="8.7265625" style="4"/>
    <col min="21" max="26" width="10.6796875" style="4" customWidth="1"/>
    <col min="27" max="27" width="12.6796875" style="4" customWidth="1"/>
    <col min="28" max="28" width="12.2265625" style="4" customWidth="1"/>
    <col min="29" max="29" width="8.7265625" style="4"/>
    <col min="30" max="30" width="11.7265625" style="4" customWidth="1"/>
    <col min="31" max="31" width="8.7265625" style="4"/>
    <col min="32" max="32" width="8.953125" style="4" bestFit="1" customWidth="1"/>
    <col min="33" max="33" width="8.7265625" style="4"/>
    <col min="34" max="34" width="8.76953125" style="4" bestFit="1" customWidth="1"/>
    <col min="35" max="35" width="5.453125" style="4" customWidth="1"/>
    <col min="36" max="36" width="5.1796875" style="4" customWidth="1"/>
    <col min="37" max="37" width="5.36328125" style="4" customWidth="1"/>
    <col min="38" max="38" width="6.453125" style="4" customWidth="1"/>
    <col min="39" max="39" width="30.81640625" style="4" customWidth="1"/>
    <col min="40" max="40" width="13.58984375" style="4" customWidth="1"/>
    <col min="41" max="41" width="8.7265625" style="4"/>
    <col min="42" max="42" width="13.953125" style="4" customWidth="1"/>
    <col min="43" max="43" width="8.7265625" style="4"/>
    <col min="44" max="44" width="8.953125" style="4" bestFit="1" customWidth="1"/>
    <col min="45" max="45" width="8.7265625" style="4"/>
    <col min="46" max="46" width="8.76953125" style="4" bestFit="1" customWidth="1"/>
    <col min="47" max="16384" width="8.7265625" style="4"/>
  </cols>
  <sheetData>
    <row r="1" spans="2:49" ht="15.5" thickBot="1" x14ac:dyDescent="0.9">
      <c r="H1" s="4" t="s">
        <v>304</v>
      </c>
      <c r="M1" s="120"/>
      <c r="N1" s="29"/>
      <c r="O1" s="29"/>
      <c r="P1" s="29"/>
      <c r="Q1" s="29"/>
      <c r="R1" s="29"/>
      <c r="S1" s="29"/>
      <c r="T1" s="51" t="s">
        <v>168</v>
      </c>
      <c r="AB1" s="51" t="s">
        <v>119</v>
      </c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2:49" ht="15.5" thickTop="1" x14ac:dyDescent="0.75">
      <c r="B2" s="4" t="s">
        <v>96</v>
      </c>
      <c r="J2" s="101"/>
      <c r="K2" s="102" t="s">
        <v>234</v>
      </c>
      <c r="M2" s="121"/>
      <c r="N2" s="19" t="s">
        <v>96</v>
      </c>
      <c r="O2" s="19"/>
      <c r="P2" s="19"/>
      <c r="Q2" s="19"/>
      <c r="R2" s="19"/>
      <c r="S2" s="19"/>
      <c r="T2" s="20"/>
      <c r="AB2" s="7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2:49" x14ac:dyDescent="0.75">
      <c r="D3" s="4" t="s">
        <v>59</v>
      </c>
      <c r="J3" s="103" t="s">
        <v>59</v>
      </c>
      <c r="K3" s="104"/>
      <c r="M3" s="121"/>
      <c r="N3" s="19"/>
      <c r="O3" s="19"/>
      <c r="P3" s="19" t="s">
        <v>59</v>
      </c>
      <c r="Q3" s="19"/>
      <c r="R3" s="19"/>
      <c r="S3" s="19"/>
      <c r="T3" s="20"/>
      <c r="AB3" s="72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2:49" x14ac:dyDescent="0.75">
      <c r="E4" s="4" t="s">
        <v>169</v>
      </c>
      <c r="H4" s="15">
        <f>+K4-202</f>
        <v>129311.65</v>
      </c>
      <c r="J4" s="103" t="s">
        <v>235</v>
      </c>
      <c r="K4" s="109">
        <f>129513.65</f>
        <v>129513.65</v>
      </c>
      <c r="M4" s="121"/>
      <c r="N4" s="19"/>
      <c r="O4" s="19"/>
      <c r="P4" s="19"/>
      <c r="Q4" s="19" t="s">
        <v>169</v>
      </c>
      <c r="R4" s="19"/>
      <c r="S4" s="19"/>
      <c r="T4" s="20">
        <v>220688.5</v>
      </c>
      <c r="V4" s="57"/>
      <c r="W4" s="29"/>
      <c r="X4" s="29"/>
      <c r="Y4" s="29"/>
      <c r="Z4" s="29"/>
      <c r="AA4" s="29"/>
      <c r="AB4" s="72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2:49" ht="15.5" thickBot="1" x14ac:dyDescent="0.9">
      <c r="E5" s="4" t="s">
        <v>170</v>
      </c>
      <c r="H5" s="17">
        <f>+K5</f>
        <v>2753.87</v>
      </c>
      <c r="J5" s="103" t="s">
        <v>236</v>
      </c>
      <c r="K5" s="109">
        <f>2753.87</f>
        <v>2753.87</v>
      </c>
      <c r="M5" s="121"/>
      <c r="N5" s="19"/>
      <c r="O5" s="19"/>
      <c r="P5" s="19"/>
      <c r="Q5" s="19" t="s">
        <v>170</v>
      </c>
      <c r="R5" s="19"/>
      <c r="S5" s="19"/>
      <c r="T5" s="55">
        <v>5232.91</v>
      </c>
      <c r="V5" s="56"/>
      <c r="W5" s="19" t="s">
        <v>96</v>
      </c>
      <c r="X5" s="19"/>
      <c r="Y5" s="19"/>
      <c r="Z5" s="19"/>
      <c r="AA5" s="19"/>
      <c r="AB5" s="20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2:49" x14ac:dyDescent="0.75">
      <c r="D6" s="4" t="s">
        <v>171</v>
      </c>
      <c r="H6" s="15">
        <f>+H5+H4</f>
        <v>132065.51999999999</v>
      </c>
      <c r="J6" s="103" t="s">
        <v>171</v>
      </c>
      <c r="K6" s="110">
        <f>(K4)+(K5)</f>
        <v>132267.51999999999</v>
      </c>
      <c r="M6" s="121"/>
      <c r="N6" s="19"/>
      <c r="O6" s="19"/>
      <c r="P6" s="19" t="s">
        <v>171</v>
      </c>
      <c r="Q6" s="19"/>
      <c r="R6" s="19"/>
      <c r="S6" s="19"/>
      <c r="T6" s="31">
        <f>ROUND(SUM(T3:T5),5)</f>
        <v>225921.41</v>
      </c>
      <c r="V6" s="56"/>
      <c r="W6" s="19"/>
      <c r="X6" s="19"/>
      <c r="Y6" s="19" t="s">
        <v>59</v>
      </c>
      <c r="Z6" s="19"/>
      <c r="AA6" s="19"/>
      <c r="AB6" s="31">
        <v>882376.23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2:49" x14ac:dyDescent="0.75">
      <c r="D7" s="4" t="s">
        <v>97</v>
      </c>
      <c r="J7" s="103" t="s">
        <v>97</v>
      </c>
      <c r="K7" s="104"/>
      <c r="M7" s="121"/>
      <c r="N7" s="19"/>
      <c r="O7" s="19"/>
      <c r="P7" s="19" t="s">
        <v>97</v>
      </c>
      <c r="Q7" s="19"/>
      <c r="R7" s="19"/>
      <c r="S7" s="19"/>
      <c r="T7" s="20"/>
      <c r="V7" s="56"/>
      <c r="W7" s="19"/>
      <c r="X7" s="19"/>
      <c r="Y7" s="19" t="s">
        <v>97</v>
      </c>
      <c r="Z7" s="19"/>
      <c r="AA7" s="19"/>
      <c r="AB7" s="66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2:49" x14ac:dyDescent="0.75">
      <c r="E8" s="4" t="s">
        <v>5</v>
      </c>
      <c r="J8" s="103" t="s">
        <v>237</v>
      </c>
      <c r="K8" s="104"/>
      <c r="M8" s="121"/>
      <c r="N8" s="19"/>
      <c r="O8" s="19"/>
      <c r="P8" s="19"/>
      <c r="Q8" s="19" t="s">
        <v>5</v>
      </c>
      <c r="R8" s="19"/>
      <c r="S8" s="19"/>
      <c r="T8" s="20"/>
      <c r="V8" s="56"/>
      <c r="W8" s="19"/>
      <c r="X8" s="19"/>
      <c r="Y8" s="19"/>
      <c r="Z8" s="19" t="s">
        <v>5</v>
      </c>
      <c r="AA8" s="19"/>
      <c r="AB8" s="66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2:49" x14ac:dyDescent="0.75">
      <c r="F9" s="4" t="s">
        <v>61</v>
      </c>
      <c r="H9" s="15">
        <f>+K10</f>
        <v>16808.509999999998</v>
      </c>
      <c r="J9" s="103" t="s">
        <v>238</v>
      </c>
      <c r="K9" s="109">
        <f>15381.25</f>
        <v>15381.25</v>
      </c>
      <c r="M9" s="121"/>
      <c r="N9" s="19"/>
      <c r="O9" s="19"/>
      <c r="P9" s="19"/>
      <c r="Q9" s="19"/>
      <c r="R9" s="19" t="s">
        <v>61</v>
      </c>
      <c r="S9" s="19"/>
      <c r="T9" s="20">
        <v>8399.14</v>
      </c>
      <c r="V9" s="56"/>
      <c r="W9" s="19"/>
      <c r="X9" s="19"/>
      <c r="Y9" s="19"/>
      <c r="Z9" s="19"/>
      <c r="AA9" s="19"/>
      <c r="AB9" s="66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2:49" x14ac:dyDescent="0.75">
      <c r="F10" s="4" t="s">
        <v>173</v>
      </c>
      <c r="H10" s="15">
        <f>+K11</f>
        <v>16084.39</v>
      </c>
      <c r="J10" s="103" t="s">
        <v>239</v>
      </c>
      <c r="K10" s="109">
        <f>16808.51</f>
        <v>16808.509999999998</v>
      </c>
      <c r="M10" s="121"/>
      <c r="N10" s="19"/>
      <c r="O10" s="19"/>
      <c r="P10" s="19"/>
      <c r="Q10" s="19"/>
      <c r="R10" s="19" t="s">
        <v>172</v>
      </c>
      <c r="S10" s="19"/>
      <c r="T10" s="20">
        <v>25000</v>
      </c>
      <c r="V10" s="56"/>
      <c r="W10" s="19"/>
      <c r="X10" s="19"/>
      <c r="Y10" s="19"/>
      <c r="Z10" s="19"/>
      <c r="AA10" s="19"/>
      <c r="AB10" s="66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2:49" ht="15.5" thickBot="1" x14ac:dyDescent="0.9">
      <c r="F11" s="4" t="s">
        <v>174</v>
      </c>
      <c r="H11" s="17">
        <f>+K9</f>
        <v>15381.25</v>
      </c>
      <c r="J11" s="103" t="s">
        <v>240</v>
      </c>
      <c r="K11" s="109">
        <f>16084.39</f>
        <v>16084.39</v>
      </c>
      <c r="M11" s="121"/>
      <c r="N11" s="19"/>
      <c r="O11" s="19"/>
      <c r="P11" s="19"/>
      <c r="Q11" s="19"/>
      <c r="R11" s="19" t="s">
        <v>173</v>
      </c>
      <c r="S11" s="19"/>
      <c r="T11" s="20">
        <v>15155.54</v>
      </c>
      <c r="V11" s="56"/>
      <c r="W11" s="19"/>
      <c r="X11" s="19"/>
      <c r="Y11" s="19"/>
      <c r="Z11" s="19"/>
      <c r="AA11" s="19"/>
      <c r="AB11" s="66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2:49" ht="15.5" thickBot="1" x14ac:dyDescent="0.9">
      <c r="E12" s="4" t="s">
        <v>98</v>
      </c>
      <c r="H12" s="15">
        <f>SUM(H9:H11)</f>
        <v>48274.149999999994</v>
      </c>
      <c r="J12" s="103" t="s">
        <v>241</v>
      </c>
      <c r="K12" s="110">
        <f>(((K8)+(K9))+(K10))+(K11)</f>
        <v>48274.149999999994</v>
      </c>
      <c r="M12" s="121"/>
      <c r="N12" s="19"/>
      <c r="O12" s="19"/>
      <c r="P12" s="19"/>
      <c r="Q12" s="19"/>
      <c r="R12" s="19" t="s">
        <v>174</v>
      </c>
      <c r="S12" s="19"/>
      <c r="T12" s="20">
        <v>7773</v>
      </c>
      <c r="V12" s="56"/>
      <c r="W12" s="19"/>
      <c r="X12" s="19"/>
      <c r="Y12" s="19"/>
      <c r="Z12" s="19"/>
      <c r="AA12" s="19"/>
      <c r="AB12" s="20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2:49" ht="23" thickBot="1" x14ac:dyDescent="0.9">
      <c r="J13" s="103" t="s">
        <v>242</v>
      </c>
      <c r="K13" s="110">
        <f>K12</f>
        <v>48274.149999999994</v>
      </c>
      <c r="M13" s="121"/>
      <c r="N13" s="19"/>
      <c r="O13" s="19"/>
      <c r="P13" s="19"/>
      <c r="Q13" s="19" t="s">
        <v>98</v>
      </c>
      <c r="R13" s="19"/>
      <c r="S13" s="19"/>
      <c r="T13" s="22">
        <f>ROUND(SUM(T8:T12),5)</f>
        <v>56327.68</v>
      </c>
      <c r="V13" s="56"/>
      <c r="W13" s="19"/>
      <c r="X13" s="19"/>
      <c r="Y13" s="19"/>
      <c r="Z13" s="19"/>
      <c r="AA13" s="19"/>
      <c r="AB13" s="66">
        <v>257902.54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2:49" ht="15.5" thickBot="1" x14ac:dyDescent="0.9">
      <c r="C14" s="4" t="s">
        <v>6</v>
      </c>
      <c r="H14" s="15">
        <f>+H6-H12</f>
        <v>83791.37</v>
      </c>
      <c r="J14" s="103" t="s">
        <v>6</v>
      </c>
      <c r="K14" s="110">
        <f>(K6)-(K13)</f>
        <v>83993.37</v>
      </c>
      <c r="M14" s="121"/>
      <c r="N14" s="19"/>
      <c r="O14" s="19"/>
      <c r="P14" s="19" t="s">
        <v>98</v>
      </c>
      <c r="Q14" s="19"/>
      <c r="R14" s="19"/>
      <c r="S14" s="19"/>
      <c r="T14" s="73">
        <f>ROUND(T7+T13,5)</f>
        <v>56327.68</v>
      </c>
      <c r="V14" s="56"/>
      <c r="W14" s="19"/>
      <c r="X14" s="19"/>
      <c r="Y14" s="19" t="s">
        <v>98</v>
      </c>
      <c r="Z14" s="19"/>
      <c r="AA14" s="19"/>
      <c r="AB14" s="48">
        <f>ROUND(SUM(AB12:AB13),5)</f>
        <v>257902.54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2:49" x14ac:dyDescent="0.75">
      <c r="D15" s="4" t="s">
        <v>60</v>
      </c>
      <c r="J15" s="103" t="s">
        <v>243</v>
      </c>
      <c r="K15" s="104"/>
      <c r="M15" s="121"/>
      <c r="N15" s="19"/>
      <c r="O15" s="19" t="s">
        <v>6</v>
      </c>
      <c r="P15" s="19"/>
      <c r="Q15" s="19"/>
      <c r="R15" s="19"/>
      <c r="S15" s="19"/>
      <c r="T15" s="20">
        <f>ROUND(T6-T14,5)</f>
        <v>169593.73</v>
      </c>
      <c r="V15" s="56"/>
      <c r="W15" s="19"/>
      <c r="X15" s="19" t="s">
        <v>6</v>
      </c>
      <c r="Y15" s="19"/>
      <c r="Z15" s="19"/>
      <c r="AA15" s="19"/>
      <c r="AB15" s="31">
        <f>ROUND(AB6-AB14,5)</f>
        <v>624473.68999999994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2:49" x14ac:dyDescent="0.75">
      <c r="E16" s="4" t="s">
        <v>176</v>
      </c>
      <c r="H16" s="24">
        <f>+K41</f>
        <v>5772.04</v>
      </c>
      <c r="J16" s="103" t="s">
        <v>244</v>
      </c>
      <c r="K16" s="111">
        <f>3545.6</f>
        <v>3545.6</v>
      </c>
      <c r="M16" s="125">
        <f>+K16</f>
        <v>3545.6</v>
      </c>
      <c r="N16" s="19"/>
      <c r="O16" s="19"/>
      <c r="P16" s="19" t="s">
        <v>60</v>
      </c>
      <c r="Q16" s="19"/>
      <c r="R16" s="19"/>
      <c r="S16" s="19"/>
      <c r="T16" s="20"/>
      <c r="V16" s="56"/>
      <c r="W16" s="19"/>
      <c r="X16" s="19"/>
      <c r="Y16" s="19" t="s">
        <v>60</v>
      </c>
      <c r="Z16" s="19"/>
      <c r="AA16" s="19"/>
      <c r="AB16" s="6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5:48" ht="22.25" x14ac:dyDescent="0.75">
      <c r="E17" s="4" t="s">
        <v>179</v>
      </c>
      <c r="H17" s="24">
        <v>0</v>
      </c>
      <c r="J17" s="103" t="s">
        <v>245</v>
      </c>
      <c r="K17" s="113">
        <f>225.75</f>
        <v>225.75</v>
      </c>
      <c r="M17" s="123">
        <v>0</v>
      </c>
      <c r="N17" s="19"/>
      <c r="O17" s="19"/>
      <c r="P17" s="19"/>
      <c r="Q17" s="19" t="s">
        <v>7</v>
      </c>
      <c r="R17" s="19"/>
      <c r="S17" s="19"/>
      <c r="T17" s="20"/>
      <c r="V17" s="56"/>
      <c r="W17" s="19"/>
      <c r="X17" s="19"/>
      <c r="Y17" s="19"/>
      <c r="Z17" s="19"/>
      <c r="AA17" s="19"/>
      <c r="AB17" s="66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5:48" ht="33.5" thickBot="1" x14ac:dyDescent="0.9">
      <c r="E18" s="4" t="s">
        <v>148</v>
      </c>
      <c r="H18" s="24">
        <f>+K48</f>
        <v>3607.87</v>
      </c>
      <c r="J18" s="103" t="s">
        <v>246</v>
      </c>
      <c r="K18" s="113">
        <f>392.3</f>
        <v>392.3</v>
      </c>
      <c r="M18" s="121">
        <v>0</v>
      </c>
      <c r="N18" s="19"/>
      <c r="O18" s="19"/>
      <c r="P18" s="19"/>
      <c r="Q18" s="19"/>
      <c r="R18" s="19" t="s">
        <v>175</v>
      </c>
      <c r="S18" s="19"/>
      <c r="T18" s="55">
        <v>320.56</v>
      </c>
      <c r="V18" s="56"/>
      <c r="W18" s="19"/>
      <c r="X18" s="19"/>
      <c r="Y18" s="19"/>
      <c r="Z18" s="19"/>
      <c r="AA18" s="19"/>
      <c r="AB18" s="20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5:48" ht="22.25" x14ac:dyDescent="0.75">
      <c r="E19" s="4" t="s">
        <v>63</v>
      </c>
      <c r="H19" s="15">
        <f>+K32</f>
        <v>541.54999999999995</v>
      </c>
      <c r="J19" s="103" t="s">
        <v>247</v>
      </c>
      <c r="K19" s="114">
        <f>(K17)+(K18)</f>
        <v>618.04999999999995</v>
      </c>
      <c r="M19" s="126">
        <f t="shared" ref="M19:M66" si="0">+K19</f>
        <v>618.04999999999995</v>
      </c>
      <c r="N19" s="19"/>
      <c r="O19" s="19"/>
      <c r="P19" s="19"/>
      <c r="Q19" s="19" t="s">
        <v>176</v>
      </c>
      <c r="R19" s="19"/>
      <c r="S19" s="19"/>
      <c r="T19" s="34">
        <f>ROUND(SUM(T17:T18),5)</f>
        <v>320.56</v>
      </c>
      <c r="V19" s="56"/>
      <c r="W19" s="19"/>
      <c r="X19" s="19"/>
      <c r="Y19" s="19"/>
      <c r="Z19" s="19" t="s">
        <v>7</v>
      </c>
      <c r="AA19" s="19"/>
      <c r="AB19" s="34">
        <v>16814.66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5:48" ht="22.25" x14ac:dyDescent="0.75">
      <c r="E20" s="24" t="s">
        <v>64</v>
      </c>
      <c r="H20" s="84">
        <f>+K16</f>
        <v>3545.6</v>
      </c>
      <c r="J20" s="103" t="s">
        <v>248</v>
      </c>
      <c r="K20" s="108">
        <f>350</f>
        <v>350</v>
      </c>
      <c r="M20" s="123">
        <f t="shared" si="0"/>
        <v>350</v>
      </c>
      <c r="N20" s="19"/>
      <c r="O20" s="19"/>
      <c r="P20" s="19"/>
      <c r="Q20" s="19" t="s">
        <v>61</v>
      </c>
      <c r="R20" s="19"/>
      <c r="S20" s="19"/>
      <c r="T20" s="20"/>
      <c r="V20" s="56"/>
      <c r="W20" s="19"/>
      <c r="X20" s="19"/>
      <c r="Y20" s="19"/>
      <c r="Z20" s="19"/>
      <c r="AA20" s="19"/>
      <c r="AB20" s="74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5:48" x14ac:dyDescent="0.75">
      <c r="E21" s="4" t="s">
        <v>65</v>
      </c>
      <c r="H21" s="15">
        <f>+K53+K21+K33</f>
        <v>74509.200000000012</v>
      </c>
      <c r="J21" s="103" t="s">
        <v>249</v>
      </c>
      <c r="K21" s="109">
        <f>2500</f>
        <v>2500</v>
      </c>
      <c r="M21" s="124">
        <f t="shared" si="0"/>
        <v>2500</v>
      </c>
      <c r="N21" s="19"/>
      <c r="O21" s="19"/>
      <c r="P21" s="19"/>
      <c r="Q21" s="19"/>
      <c r="R21" s="19" t="s">
        <v>177</v>
      </c>
      <c r="S21" s="19"/>
      <c r="T21" s="20">
        <v>0</v>
      </c>
      <c r="V21" s="56"/>
      <c r="W21" s="19"/>
      <c r="X21" s="19"/>
      <c r="Y21" s="19"/>
      <c r="Z21" s="19"/>
      <c r="AA21" s="19"/>
      <c r="AB21" s="74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5:48" ht="23" thickBot="1" x14ac:dyDescent="0.9">
      <c r="E22" s="4" t="s">
        <v>182</v>
      </c>
      <c r="H22" s="32">
        <f>+K19</f>
        <v>618.04999999999995</v>
      </c>
      <c r="J22" s="103" t="s">
        <v>250</v>
      </c>
      <c r="K22" s="111">
        <f>10011.99</f>
        <v>10011.99</v>
      </c>
      <c r="M22" s="125">
        <f t="shared" si="0"/>
        <v>10011.99</v>
      </c>
      <c r="N22" s="19"/>
      <c r="O22" s="19"/>
      <c r="P22" s="19"/>
      <c r="Q22" s="19"/>
      <c r="R22" s="19" t="s">
        <v>178</v>
      </c>
      <c r="S22" s="19"/>
      <c r="T22" s="55">
        <v>0</v>
      </c>
      <c r="V22" s="56"/>
      <c r="W22" s="19"/>
      <c r="X22" s="19"/>
      <c r="Y22" s="19"/>
      <c r="Z22" s="19"/>
      <c r="AA22" s="19"/>
      <c r="AB22" s="74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5:48" ht="22.25" x14ac:dyDescent="0.75">
      <c r="E23" s="4" t="s">
        <v>93</v>
      </c>
      <c r="H23" s="24">
        <f>+K20</f>
        <v>350</v>
      </c>
      <c r="J23" s="103" t="s">
        <v>251</v>
      </c>
      <c r="K23" s="108">
        <f>1083.18</f>
        <v>1083.18</v>
      </c>
      <c r="M23" s="123">
        <f t="shared" si="0"/>
        <v>1083.18</v>
      </c>
      <c r="N23" s="19"/>
      <c r="O23" s="19"/>
      <c r="P23" s="19"/>
      <c r="Q23" s="19" t="s">
        <v>179</v>
      </c>
      <c r="R23" s="19"/>
      <c r="S23" s="19"/>
      <c r="T23" s="75">
        <f>ROUND(SUM(T20:T22),5)</f>
        <v>0</v>
      </c>
      <c r="V23" s="56"/>
      <c r="W23" s="19"/>
      <c r="X23" s="19"/>
      <c r="Y23" s="19"/>
      <c r="Z23" s="19" t="s">
        <v>61</v>
      </c>
      <c r="AA23" s="19"/>
      <c r="AB23" s="34">
        <v>2709.79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5:48" ht="22.25" x14ac:dyDescent="0.75">
      <c r="E24" s="24" t="s">
        <v>67</v>
      </c>
      <c r="H24" s="84">
        <f>+K22</f>
        <v>10011.99</v>
      </c>
      <c r="J24" s="103" t="s">
        <v>252</v>
      </c>
      <c r="K24" s="108">
        <f>2117.05</f>
        <v>2117.0500000000002</v>
      </c>
      <c r="M24" s="123">
        <f t="shared" si="0"/>
        <v>2117.0500000000002</v>
      </c>
      <c r="N24" s="19"/>
      <c r="O24" s="19"/>
      <c r="P24" s="19"/>
      <c r="Q24" s="19" t="s">
        <v>62</v>
      </c>
      <c r="R24" s="19"/>
      <c r="S24" s="19"/>
      <c r="T24" s="34">
        <v>312.89</v>
      </c>
      <c r="V24" s="56"/>
      <c r="W24" s="19"/>
      <c r="X24" s="19"/>
      <c r="Y24" s="19"/>
      <c r="Z24" s="19" t="s">
        <v>62</v>
      </c>
      <c r="AA24" s="19"/>
      <c r="AB24" s="34">
        <v>1494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5:48" x14ac:dyDescent="0.75">
      <c r="E25" s="4" t="s">
        <v>68</v>
      </c>
      <c r="H25" s="24">
        <f>+K23</f>
        <v>1083.18</v>
      </c>
      <c r="J25" s="103" t="s">
        <v>253</v>
      </c>
      <c r="K25" s="119"/>
      <c r="M25" s="121">
        <f t="shared" si="0"/>
        <v>0</v>
      </c>
      <c r="N25" s="19"/>
      <c r="O25" s="19"/>
      <c r="P25" s="19"/>
      <c r="Q25" s="19" t="s">
        <v>63</v>
      </c>
      <c r="R25" s="19"/>
      <c r="S25" s="19"/>
      <c r="T25" s="34">
        <v>155.29</v>
      </c>
      <c r="V25" s="56"/>
      <c r="W25" s="19"/>
      <c r="X25" s="19"/>
      <c r="Y25" s="19"/>
      <c r="Z25" s="19" t="s">
        <v>63</v>
      </c>
      <c r="AA25" s="19"/>
      <c r="AB25" s="34">
        <v>2061.5700000000002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5:48" ht="22.25" x14ac:dyDescent="0.75">
      <c r="E26" s="4" t="s">
        <v>85</v>
      </c>
      <c r="H26" s="24">
        <f>+K24</f>
        <v>2117.0500000000002</v>
      </c>
      <c r="J26" s="103" t="s">
        <v>254</v>
      </c>
      <c r="K26" s="108">
        <f>0</f>
        <v>0</v>
      </c>
      <c r="M26" s="121">
        <f t="shared" si="0"/>
        <v>0</v>
      </c>
      <c r="N26" s="19"/>
      <c r="O26" s="19"/>
      <c r="P26" s="19"/>
      <c r="Q26" s="19"/>
      <c r="R26" s="19"/>
      <c r="S26" s="19"/>
      <c r="T26" s="74"/>
      <c r="V26" s="56"/>
      <c r="W26" s="19"/>
      <c r="X26" s="19"/>
      <c r="Y26" s="19"/>
      <c r="Z26" s="19" t="s">
        <v>64</v>
      </c>
      <c r="AA26" s="19"/>
      <c r="AB26" s="20">
        <v>6140.03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5:48" x14ac:dyDescent="0.75">
      <c r="E27" s="4" t="s">
        <v>186</v>
      </c>
      <c r="H27" s="115">
        <f>+K30</f>
        <v>12746.81</v>
      </c>
      <c r="J27" s="103" t="s">
        <v>255</v>
      </c>
      <c r="K27" s="107">
        <f>(K25)+(K26)</f>
        <v>0</v>
      </c>
      <c r="M27" s="121">
        <f t="shared" si="0"/>
        <v>0</v>
      </c>
      <c r="N27" s="19"/>
      <c r="O27" s="19"/>
      <c r="P27" s="19"/>
      <c r="Q27" s="19" t="s">
        <v>65</v>
      </c>
      <c r="R27" s="19"/>
      <c r="S27" s="19"/>
      <c r="T27" s="20">
        <v>38000.730000000003</v>
      </c>
      <c r="V27" s="56"/>
      <c r="W27" s="19"/>
      <c r="X27" s="19"/>
      <c r="Y27" s="19"/>
      <c r="Z27" s="19" t="s">
        <v>65</v>
      </c>
      <c r="AA27" s="19"/>
      <c r="AB27" s="20">
        <v>131008.62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5:48" x14ac:dyDescent="0.75">
      <c r="E28" s="24" t="s">
        <v>307</v>
      </c>
      <c r="H28" s="15">
        <f>+K72</f>
        <v>37933</v>
      </c>
      <c r="J28" s="103" t="s">
        <v>256</v>
      </c>
      <c r="K28" s="109">
        <f>9414.84</f>
        <v>9414.84</v>
      </c>
      <c r="M28" s="121">
        <v>0</v>
      </c>
      <c r="N28" s="19"/>
      <c r="O28" s="19"/>
      <c r="P28" s="19"/>
      <c r="Q28" s="19" t="s">
        <v>66</v>
      </c>
      <c r="R28" s="19"/>
      <c r="S28" s="19"/>
      <c r="T28" s="20"/>
      <c r="V28" s="56"/>
      <c r="W28" s="19"/>
      <c r="X28" s="19"/>
      <c r="Y28" s="19"/>
      <c r="Z28" s="19"/>
      <c r="AA28" s="19"/>
      <c r="AB28" s="20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5:48" ht="22.25" x14ac:dyDescent="0.75">
      <c r="E29" s="24"/>
      <c r="F29" s="4" t="s">
        <v>121</v>
      </c>
      <c r="H29" s="24">
        <f>+K69</f>
        <v>5773.26</v>
      </c>
      <c r="J29" s="103" t="s">
        <v>257</v>
      </c>
      <c r="K29" s="109">
        <f>3331.97</f>
        <v>3331.97</v>
      </c>
      <c r="M29" s="121">
        <v>0</v>
      </c>
      <c r="N29" s="19"/>
      <c r="O29" s="19"/>
      <c r="P29" s="19"/>
      <c r="Q29" s="19"/>
      <c r="R29" s="19" t="s">
        <v>180</v>
      </c>
      <c r="S29" s="19"/>
      <c r="T29" s="20">
        <v>542.45000000000005</v>
      </c>
      <c r="V29" s="56"/>
      <c r="W29" s="19"/>
      <c r="X29" s="19"/>
      <c r="Y29" s="19"/>
      <c r="Z29" s="19"/>
      <c r="AA29" s="19"/>
      <c r="AB29" s="20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5:48" ht="15.5" thickBot="1" x14ac:dyDescent="0.9">
      <c r="F30" s="4" t="s">
        <v>122</v>
      </c>
      <c r="H30" s="15">
        <f>+K68</f>
        <v>1173.67</v>
      </c>
      <c r="J30" s="103" t="s">
        <v>258</v>
      </c>
      <c r="K30" s="110">
        <f>(K28)+(K29)</f>
        <v>12746.81</v>
      </c>
      <c r="M30" s="124">
        <f t="shared" si="0"/>
        <v>12746.81</v>
      </c>
      <c r="N30" s="19"/>
      <c r="O30" s="19"/>
      <c r="P30" s="19"/>
      <c r="Q30" s="19"/>
      <c r="R30" s="19" t="s">
        <v>181</v>
      </c>
      <c r="S30" s="19"/>
      <c r="T30" s="55">
        <v>158</v>
      </c>
      <c r="V30" s="56"/>
      <c r="W30" s="19"/>
      <c r="X30" s="19"/>
      <c r="Y30" s="19"/>
      <c r="Z30" s="19"/>
      <c r="AA30" s="19"/>
      <c r="AB30" s="2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5:48" x14ac:dyDescent="0.75">
      <c r="E31" s="24"/>
      <c r="F31" s="4" t="s">
        <v>123</v>
      </c>
      <c r="H31" s="85">
        <f>+K70</f>
        <v>10136.94</v>
      </c>
      <c r="J31" s="103" t="s">
        <v>259</v>
      </c>
      <c r="K31" s="112">
        <f>3230.46</f>
        <v>3230.46</v>
      </c>
      <c r="M31" s="124">
        <f t="shared" si="0"/>
        <v>3230.46</v>
      </c>
      <c r="N31" s="19"/>
      <c r="O31" s="19"/>
      <c r="P31" s="19"/>
      <c r="Q31" s="19" t="s">
        <v>182</v>
      </c>
      <c r="R31" s="19"/>
      <c r="S31" s="19"/>
      <c r="T31" s="33">
        <f>ROUND(SUM(T28:T30),5)</f>
        <v>700.45</v>
      </c>
      <c r="V31" s="56"/>
      <c r="W31" s="19"/>
      <c r="X31" s="19"/>
      <c r="Y31" s="19"/>
      <c r="Z31" s="19" t="s">
        <v>66</v>
      </c>
      <c r="AA31" s="19"/>
      <c r="AB31" s="33">
        <v>3947.64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5:48" ht="32.75" x14ac:dyDescent="0.75">
      <c r="E32" s="24"/>
      <c r="F32" s="4" t="s">
        <v>124</v>
      </c>
      <c r="H32" s="58">
        <f>+K71</f>
        <v>21739.71</v>
      </c>
      <c r="J32" s="103" t="s">
        <v>260</v>
      </c>
      <c r="K32" s="109">
        <f>541.55</f>
        <v>541.54999999999995</v>
      </c>
      <c r="M32" s="124">
        <f t="shared" si="0"/>
        <v>541.54999999999995</v>
      </c>
      <c r="N32" s="19"/>
      <c r="O32" s="19"/>
      <c r="P32" s="19"/>
      <c r="Q32" s="19"/>
      <c r="R32" s="19"/>
      <c r="S32" s="19"/>
      <c r="T32" s="74"/>
      <c r="V32" s="56"/>
      <c r="W32" s="19"/>
      <c r="X32" s="19"/>
      <c r="Y32" s="19"/>
      <c r="Z32" s="19" t="s">
        <v>120</v>
      </c>
      <c r="AA32" s="19"/>
      <c r="AB32" s="20">
        <v>598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2:48" ht="22.25" x14ac:dyDescent="0.75">
      <c r="E33" s="24" t="s">
        <v>309</v>
      </c>
      <c r="H33" s="15">
        <f>+K55</f>
        <v>17369.77</v>
      </c>
      <c r="J33" s="103" t="s">
        <v>261</v>
      </c>
      <c r="K33" s="108">
        <f>24.88</f>
        <v>24.88</v>
      </c>
      <c r="M33" s="124">
        <f t="shared" si="0"/>
        <v>24.88</v>
      </c>
      <c r="N33" s="19"/>
      <c r="O33" s="19"/>
      <c r="P33" s="19"/>
      <c r="Q33" s="19"/>
      <c r="R33" s="19"/>
      <c r="S33" s="19"/>
      <c r="T33" s="74"/>
      <c r="V33" s="56"/>
      <c r="W33" s="19"/>
      <c r="X33" s="19"/>
      <c r="Y33" s="19"/>
      <c r="Z33" s="19" t="s">
        <v>93</v>
      </c>
      <c r="AA33" s="19"/>
      <c r="AB33" s="34">
        <v>3912.25</v>
      </c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2:48" ht="22.25" x14ac:dyDescent="0.75">
      <c r="E34" s="4" t="s">
        <v>305</v>
      </c>
      <c r="H34" s="35">
        <f>+K31</f>
        <v>3230.46</v>
      </c>
      <c r="J34" s="103" t="s">
        <v>262</v>
      </c>
      <c r="K34" s="119"/>
      <c r="M34" s="121">
        <f t="shared" si="0"/>
        <v>0</v>
      </c>
      <c r="N34" s="19"/>
      <c r="O34" s="19"/>
      <c r="P34" s="19"/>
      <c r="Q34" s="19"/>
      <c r="R34" s="19"/>
      <c r="S34" s="19"/>
      <c r="T34" s="74"/>
      <c r="V34" s="56"/>
      <c r="W34" s="19"/>
      <c r="X34" s="19"/>
      <c r="Y34" s="19"/>
      <c r="Z34" s="19" t="s">
        <v>99</v>
      </c>
      <c r="AA34" s="19"/>
      <c r="AB34" s="20">
        <v>2500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2:48" ht="32.75" x14ac:dyDescent="0.75">
      <c r="F35" s="4" t="s">
        <v>142</v>
      </c>
      <c r="H35" s="32">
        <f>+K35</f>
        <v>112248.7</v>
      </c>
      <c r="J35" s="103" t="s">
        <v>263</v>
      </c>
      <c r="K35" s="113">
        <f>112248.7</f>
        <v>112248.7</v>
      </c>
      <c r="M35" s="126">
        <f>+K35</f>
        <v>112248.7</v>
      </c>
      <c r="N35" s="19"/>
      <c r="O35" s="19"/>
      <c r="P35" s="19"/>
      <c r="Q35" s="19" t="s">
        <v>67</v>
      </c>
      <c r="R35" s="19"/>
      <c r="S35" s="19"/>
      <c r="T35" s="20">
        <v>19507.95</v>
      </c>
      <c r="V35" s="56"/>
      <c r="W35" s="19"/>
      <c r="X35" s="19"/>
      <c r="Y35" s="19"/>
      <c r="Z35" s="19" t="s">
        <v>67</v>
      </c>
      <c r="AA35" s="19"/>
      <c r="AB35" s="20">
        <v>52324.87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2:48" ht="22.25" x14ac:dyDescent="0.75">
      <c r="F36" s="4" t="s">
        <v>143</v>
      </c>
      <c r="H36" s="32">
        <f>+K36</f>
        <v>11000</v>
      </c>
      <c r="J36" s="103" t="s">
        <v>264</v>
      </c>
      <c r="K36" s="113">
        <f>11000</f>
        <v>11000</v>
      </c>
      <c r="M36" s="126">
        <f>+K36</f>
        <v>11000</v>
      </c>
      <c r="N36" s="19"/>
      <c r="O36" s="19"/>
      <c r="P36" s="19"/>
      <c r="Q36" s="19" t="s">
        <v>68</v>
      </c>
      <c r="R36" s="19"/>
      <c r="S36" s="19"/>
      <c r="T36" s="20">
        <v>582</v>
      </c>
      <c r="V36" s="56"/>
      <c r="W36" s="19"/>
      <c r="X36" s="19"/>
      <c r="Y36" s="19"/>
      <c r="Z36" s="19" t="s">
        <v>68</v>
      </c>
      <c r="AA36" s="19"/>
      <c r="AB36" s="20">
        <v>2267.85</v>
      </c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2:48" x14ac:dyDescent="0.75">
      <c r="F37" s="4" t="s">
        <v>144</v>
      </c>
      <c r="H37" s="32">
        <f>+K37</f>
        <v>6094.4</v>
      </c>
      <c r="J37" s="103" t="s">
        <v>265</v>
      </c>
      <c r="K37" s="113">
        <f>6094.4</f>
        <v>6094.4</v>
      </c>
      <c r="M37" s="126">
        <f>+K37</f>
        <v>6094.4</v>
      </c>
      <c r="N37" s="19"/>
      <c r="O37" s="19"/>
      <c r="P37" s="19"/>
      <c r="Q37" s="19" t="s">
        <v>85</v>
      </c>
      <c r="R37" s="19"/>
      <c r="S37" s="19"/>
      <c r="T37" s="34">
        <v>11731.38</v>
      </c>
      <c r="V37" s="56"/>
      <c r="W37" s="19"/>
      <c r="X37" s="19"/>
      <c r="Y37" s="19"/>
      <c r="Z37" s="19"/>
      <c r="AA37" s="19"/>
      <c r="AB37" s="74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2:48" ht="22.25" x14ac:dyDescent="0.75">
      <c r="E38" s="4" t="s">
        <v>188</v>
      </c>
      <c r="H38" s="35">
        <f>+K44</f>
        <v>15139.05</v>
      </c>
      <c r="J38" s="103" t="s">
        <v>266</v>
      </c>
      <c r="K38" s="114">
        <f>(((K34)+(K35))+(K36))+(K37)</f>
        <v>129343.09999999999</v>
      </c>
      <c r="M38" s="121">
        <v>0</v>
      </c>
      <c r="N38" s="19"/>
      <c r="O38" s="19"/>
      <c r="P38" s="19"/>
      <c r="Q38" s="19" t="s">
        <v>69</v>
      </c>
      <c r="R38" s="19"/>
      <c r="S38" s="19"/>
      <c r="T38" s="20"/>
      <c r="AB38" s="40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2:48" x14ac:dyDescent="0.75">
      <c r="E39"/>
      <c r="H39" s="24">
        <v>0</v>
      </c>
      <c r="J39" s="103" t="s">
        <v>267</v>
      </c>
      <c r="K39" s="119"/>
      <c r="M39" s="121">
        <f t="shared" si="0"/>
        <v>0</v>
      </c>
      <c r="N39" s="19"/>
      <c r="O39" s="19"/>
      <c r="P39" s="19"/>
      <c r="Q39" s="19"/>
      <c r="R39" s="19" t="s">
        <v>183</v>
      </c>
      <c r="S39" s="19"/>
      <c r="T39" s="20">
        <v>2555</v>
      </c>
      <c r="V39" s="56"/>
      <c r="W39" s="19"/>
      <c r="X39" s="19"/>
      <c r="Y39" s="19"/>
      <c r="Z39" s="19"/>
      <c r="AA39" s="19"/>
      <c r="AB39" s="74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2:48" x14ac:dyDescent="0.75">
      <c r="E40" s="4" t="s">
        <v>76</v>
      </c>
      <c r="H40" s="24">
        <f>+K49</f>
        <v>332.95</v>
      </c>
      <c r="J40" s="103" t="s">
        <v>268</v>
      </c>
      <c r="K40" s="108">
        <f>5772.04</f>
        <v>5772.04</v>
      </c>
      <c r="M40" s="121">
        <v>0</v>
      </c>
      <c r="N40" s="19"/>
      <c r="O40" s="19"/>
      <c r="P40" s="19"/>
      <c r="Q40" s="19"/>
      <c r="R40" s="19" t="s">
        <v>184</v>
      </c>
      <c r="S40" s="19"/>
      <c r="T40" s="20">
        <v>4228.1499999999996</v>
      </c>
      <c r="V40" s="56"/>
      <c r="W40" s="19"/>
      <c r="X40" s="19"/>
      <c r="Y40" s="19"/>
      <c r="Z40" s="19"/>
      <c r="AA40" s="19"/>
      <c r="AB40" s="74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2:48" ht="23" thickBot="1" x14ac:dyDescent="0.9">
      <c r="E41" s="4" t="s">
        <v>77</v>
      </c>
      <c r="H41" s="24">
        <f>+K52</f>
        <v>61143.75</v>
      </c>
      <c r="J41" s="103" t="s">
        <v>269</v>
      </c>
      <c r="K41" s="107">
        <f>(K39)+(K40)</f>
        <v>5772.04</v>
      </c>
      <c r="M41" s="123">
        <f t="shared" si="0"/>
        <v>5772.04</v>
      </c>
      <c r="N41" s="19"/>
      <c r="O41" s="19"/>
      <c r="P41" s="19"/>
      <c r="Q41" s="19"/>
      <c r="R41" s="19" t="s">
        <v>185</v>
      </c>
      <c r="S41" s="19"/>
      <c r="T41" s="55">
        <v>4632.78</v>
      </c>
      <c r="V41" s="56"/>
      <c r="W41" s="19"/>
      <c r="X41" s="19"/>
      <c r="Y41" s="19"/>
      <c r="Z41" s="19"/>
      <c r="AA41" s="19"/>
      <c r="AB41" s="74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2:48" x14ac:dyDescent="0.75">
      <c r="E42" s="4" t="s">
        <v>78</v>
      </c>
      <c r="H42" s="15">
        <f>+K54</f>
        <v>1864.5</v>
      </c>
      <c r="J42" s="103" t="s">
        <v>270</v>
      </c>
      <c r="K42" s="118"/>
      <c r="M42" s="121">
        <f t="shared" si="0"/>
        <v>0</v>
      </c>
      <c r="N42" s="19"/>
      <c r="O42" s="19"/>
      <c r="P42" s="19"/>
      <c r="Q42" s="19" t="s">
        <v>186</v>
      </c>
      <c r="R42" s="19"/>
      <c r="S42" s="19"/>
      <c r="T42" s="20">
        <f>ROUND(SUM(T38:T41),5)</f>
        <v>11415.93</v>
      </c>
      <c r="V42" s="56"/>
      <c r="W42" s="19"/>
      <c r="X42" s="19"/>
      <c r="Y42" s="19"/>
      <c r="Z42" s="19" t="s">
        <v>69</v>
      </c>
      <c r="AA42" s="19"/>
      <c r="AB42" s="20">
        <v>26443.33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2:48" x14ac:dyDescent="0.75">
      <c r="E43" s="4" t="s">
        <v>79</v>
      </c>
      <c r="H43" s="24">
        <f>+K56</f>
        <v>8839.8700000000008</v>
      </c>
      <c r="J43" s="103" t="s">
        <v>271</v>
      </c>
      <c r="K43" s="109">
        <f>15139.05</f>
        <v>15139.05</v>
      </c>
      <c r="M43" s="121">
        <v>0</v>
      </c>
      <c r="N43" s="19"/>
      <c r="O43" s="19"/>
      <c r="P43" s="19"/>
      <c r="Q43" s="19" t="s">
        <v>100</v>
      </c>
      <c r="R43" s="19"/>
      <c r="S43" s="19"/>
      <c r="T43" s="20"/>
      <c r="V43" s="56"/>
      <c r="W43" s="19"/>
      <c r="X43" s="19"/>
      <c r="Y43" s="19"/>
      <c r="Z43" s="19" t="s">
        <v>100</v>
      </c>
      <c r="AA43" s="19"/>
      <c r="AB43" s="20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2:48" x14ac:dyDescent="0.75">
      <c r="E44" s="4" t="s">
        <v>195</v>
      </c>
      <c r="H44" s="15">
        <f>+K62</f>
        <v>5464.18</v>
      </c>
      <c r="J44" s="103" t="s">
        <v>272</v>
      </c>
      <c r="K44" s="110">
        <f>(K42)+(K43)</f>
        <v>15139.05</v>
      </c>
      <c r="M44" s="124">
        <f t="shared" si="0"/>
        <v>15139.05</v>
      </c>
      <c r="N44" s="19"/>
      <c r="O44" s="19"/>
      <c r="P44" s="19"/>
      <c r="Q44" s="19"/>
      <c r="R44" s="19" t="s">
        <v>121</v>
      </c>
      <c r="S44" s="19"/>
      <c r="T44" s="20">
        <v>1946.71</v>
      </c>
      <c r="V44" s="56"/>
      <c r="W44" s="19"/>
      <c r="X44" s="19"/>
      <c r="Y44" s="19"/>
      <c r="Z44" s="19"/>
      <c r="AA44" s="19" t="s">
        <v>121</v>
      </c>
      <c r="AB44" s="20">
        <v>13755.67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2:48" ht="15.5" thickBot="1" x14ac:dyDescent="0.9">
      <c r="E45" s="4" t="s">
        <v>198</v>
      </c>
      <c r="H45" s="17">
        <f>+K66</f>
        <v>3058.92</v>
      </c>
      <c r="J45" s="103" t="s">
        <v>273</v>
      </c>
      <c r="K45" s="119"/>
      <c r="M45" s="121">
        <f t="shared" si="0"/>
        <v>0</v>
      </c>
      <c r="N45" s="19"/>
      <c r="O45" s="19"/>
      <c r="P45" s="19"/>
      <c r="Q45" s="19"/>
      <c r="R45" s="19" t="s">
        <v>122</v>
      </c>
      <c r="S45" s="19"/>
      <c r="T45" s="20">
        <v>1590.11</v>
      </c>
      <c r="V45" s="56"/>
      <c r="W45" s="19"/>
      <c r="X45" s="19"/>
      <c r="Y45" s="19"/>
      <c r="Z45" s="19"/>
      <c r="AA45" s="19" t="s">
        <v>122</v>
      </c>
      <c r="AB45" s="20">
        <v>7340.52</v>
      </c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2:48" ht="23" thickBot="1" x14ac:dyDescent="0.9">
      <c r="D46" s="4" t="s">
        <v>102</v>
      </c>
      <c r="G46" s="4">
        <f>+K74</f>
        <v>437446.47000000003</v>
      </c>
      <c r="H46" s="83">
        <f>+SUM(H16:H45)</f>
        <v>437446.47000000003</v>
      </c>
      <c r="I46" s="4">
        <f>+G46-H46</f>
        <v>0</v>
      </c>
      <c r="J46" s="103" t="s">
        <v>274</v>
      </c>
      <c r="K46" s="108">
        <f>2867.87</f>
        <v>2867.87</v>
      </c>
      <c r="M46" s="121">
        <v>0</v>
      </c>
      <c r="N46" s="19"/>
      <c r="O46" s="19"/>
      <c r="P46" s="19"/>
      <c r="Q46" s="19"/>
      <c r="R46" s="19" t="s">
        <v>123</v>
      </c>
      <c r="S46" s="19"/>
      <c r="T46" s="20">
        <v>9425.09</v>
      </c>
      <c r="V46" s="56"/>
      <c r="W46" s="19"/>
      <c r="X46" s="19"/>
      <c r="Y46" s="19"/>
      <c r="Z46" s="19"/>
      <c r="AA46" s="19" t="s">
        <v>123</v>
      </c>
      <c r="AB46" s="20">
        <v>36459.35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2:48" ht="23" thickBot="1" x14ac:dyDescent="0.9">
      <c r="B47" s="4" t="s">
        <v>103</v>
      </c>
      <c r="H47" s="15">
        <f>+H14-H46</f>
        <v>-353655.10000000003</v>
      </c>
      <c r="J47" s="103" t="s">
        <v>275</v>
      </c>
      <c r="K47" s="108">
        <f>740</f>
        <v>740</v>
      </c>
      <c r="M47" s="121">
        <v>0</v>
      </c>
      <c r="N47" s="19"/>
      <c r="O47" s="19"/>
      <c r="P47" s="19"/>
      <c r="Q47" s="19"/>
      <c r="R47" s="19" t="s">
        <v>124</v>
      </c>
      <c r="S47" s="19"/>
      <c r="T47" s="55">
        <v>24677.599999999999</v>
      </c>
      <c r="V47" s="56"/>
      <c r="W47" s="19"/>
      <c r="X47" s="19"/>
      <c r="Y47" s="19"/>
      <c r="Z47" s="19"/>
      <c r="AA47" s="19" t="s">
        <v>124</v>
      </c>
      <c r="AB47" s="55">
        <v>93188.86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2:48" ht="15.5" thickBot="1" x14ac:dyDescent="0.9">
      <c r="B48" s="4" t="s">
        <v>108</v>
      </c>
      <c r="F48" s="4" t="s">
        <v>106</v>
      </c>
      <c r="H48" s="129">
        <f>+K80</f>
        <v>65.25</v>
      </c>
      <c r="J48" s="103" t="s">
        <v>276</v>
      </c>
      <c r="K48" s="107">
        <f>((K45)+(K46))+(K47)</f>
        <v>3607.87</v>
      </c>
      <c r="M48" s="123">
        <f t="shared" si="0"/>
        <v>3607.87</v>
      </c>
      <c r="N48" s="19"/>
      <c r="O48" s="19"/>
      <c r="P48" s="19"/>
      <c r="Q48" s="19" t="s">
        <v>125</v>
      </c>
      <c r="R48" s="19"/>
      <c r="S48" s="19"/>
      <c r="T48" s="20">
        <f>ROUND(SUM(T43:T47),5)</f>
        <v>37639.51</v>
      </c>
      <c r="V48" s="56"/>
      <c r="W48" s="19"/>
      <c r="X48" s="19"/>
      <c r="Y48" s="19"/>
      <c r="Z48" s="19" t="s">
        <v>125</v>
      </c>
      <c r="AA48" s="19"/>
      <c r="AB48" s="20">
        <f>ROUND(SUM(AB43:AB47),5)</f>
        <v>150744.4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3:49" ht="22.25" x14ac:dyDescent="0.75">
      <c r="H49" s="15">
        <f>+H47+H48</f>
        <v>-353589.85000000003</v>
      </c>
      <c r="J49" s="103" t="s">
        <v>277</v>
      </c>
      <c r="K49" s="108">
        <f>332.95</f>
        <v>332.95</v>
      </c>
      <c r="M49" s="123">
        <f t="shared" si="0"/>
        <v>332.95</v>
      </c>
      <c r="N49" s="19"/>
      <c r="O49" s="19"/>
      <c r="P49" s="19"/>
      <c r="Q49" s="19" t="s">
        <v>70</v>
      </c>
      <c r="R49" s="19"/>
      <c r="S49" s="19"/>
      <c r="T49" s="33">
        <v>16</v>
      </c>
      <c r="V49" s="56"/>
      <c r="W49" s="19"/>
      <c r="X49" s="19"/>
      <c r="Y49" s="19"/>
      <c r="Z49" s="19" t="s">
        <v>70</v>
      </c>
      <c r="AA49" s="19"/>
      <c r="AB49" s="33">
        <v>895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3:49" x14ac:dyDescent="0.75">
      <c r="J50" s="103" t="s">
        <v>278</v>
      </c>
      <c r="K50" s="108">
        <f>76525</f>
        <v>76525</v>
      </c>
      <c r="M50" s="121">
        <v>0</v>
      </c>
      <c r="N50" s="19"/>
      <c r="O50" s="19"/>
      <c r="P50" s="19"/>
      <c r="Q50" s="19"/>
      <c r="R50" s="19"/>
      <c r="S50" s="19"/>
      <c r="T50" s="74"/>
      <c r="V50" s="56"/>
      <c r="W50" s="19"/>
      <c r="X50" s="19"/>
      <c r="Y50" s="19"/>
      <c r="Z50" s="19" t="s">
        <v>126</v>
      </c>
      <c r="AA50" s="19"/>
      <c r="AB50" s="20">
        <v>-4519.66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3:49" ht="22.25" x14ac:dyDescent="0.75">
      <c r="D51" s="4" t="s">
        <v>84</v>
      </c>
      <c r="H51" s="60">
        <f>+H84</f>
        <v>74150</v>
      </c>
      <c r="J51" s="103" t="s">
        <v>279</v>
      </c>
      <c r="K51" s="108">
        <f>-15381.25</f>
        <v>-15381.25</v>
      </c>
      <c r="M51" s="121">
        <v>0</v>
      </c>
      <c r="N51" s="19"/>
      <c r="O51" s="19"/>
      <c r="P51" s="19"/>
      <c r="Q51" s="19" t="s">
        <v>71</v>
      </c>
      <c r="R51" s="19"/>
      <c r="S51" s="19"/>
      <c r="T51" s="36">
        <v>1090.8900000000001</v>
      </c>
      <c r="V51" s="56"/>
      <c r="W51" s="19"/>
      <c r="X51" s="19"/>
      <c r="Y51" s="19"/>
      <c r="Z51" s="19" t="s">
        <v>71</v>
      </c>
      <c r="AA51" s="19"/>
      <c r="AB51" s="36">
        <v>5089.5600000000004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3:49" ht="22.25" x14ac:dyDescent="0.75">
      <c r="D52" s="4" t="s">
        <v>2</v>
      </c>
      <c r="H52" s="60">
        <f>+H85-202</f>
        <v>57915.520000000004</v>
      </c>
      <c r="J52" s="103" t="s">
        <v>280</v>
      </c>
      <c r="K52" s="107">
        <f>(K50)+(K51)</f>
        <v>61143.75</v>
      </c>
      <c r="M52" s="123">
        <f t="shared" si="0"/>
        <v>61143.75</v>
      </c>
      <c r="N52" s="19"/>
      <c r="O52" s="19"/>
      <c r="P52" s="19"/>
      <c r="Q52" s="19"/>
      <c r="R52" s="19"/>
      <c r="S52" s="19"/>
      <c r="T52" s="74"/>
      <c r="V52" s="56"/>
      <c r="W52" s="19"/>
      <c r="X52" s="19"/>
      <c r="Y52" s="19"/>
      <c r="Z52" s="19" t="s">
        <v>72</v>
      </c>
      <c r="AA52" s="19"/>
      <c r="AB52" s="36">
        <v>58.68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3:49" ht="22.25" x14ac:dyDescent="0.75">
      <c r="D53" s="4" t="s">
        <v>83</v>
      </c>
      <c r="H53" s="141">
        <v>0</v>
      </c>
      <c r="J53" s="103" t="s">
        <v>281</v>
      </c>
      <c r="K53" s="109">
        <f>71984.32</f>
        <v>71984.320000000007</v>
      </c>
      <c r="M53" s="124">
        <f t="shared" si="0"/>
        <v>71984.320000000007</v>
      </c>
      <c r="N53" s="19"/>
      <c r="O53" s="19"/>
      <c r="P53" s="19"/>
      <c r="V53" s="56"/>
      <c r="W53" s="19"/>
      <c r="X53" s="19"/>
      <c r="Y53" s="19"/>
      <c r="Z53" s="19" t="s">
        <v>101</v>
      </c>
      <c r="AA53" s="19"/>
      <c r="AB53" s="36">
        <v>261.17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3:49" ht="22.5" x14ac:dyDescent="0.8">
      <c r="C54" s="6"/>
      <c r="D54" s="6" t="s">
        <v>4</v>
      </c>
      <c r="E54" s="6"/>
      <c r="G54" s="77"/>
      <c r="H54" s="15">
        <f>SUM(H51:H53)</f>
        <v>132065.52000000002</v>
      </c>
      <c r="J54" s="103" t="s">
        <v>282</v>
      </c>
      <c r="K54" s="109">
        <f>1864.5</f>
        <v>1864.5</v>
      </c>
      <c r="M54" s="124">
        <f t="shared" si="0"/>
        <v>1864.5</v>
      </c>
      <c r="N54" s="19"/>
      <c r="O54" s="19"/>
      <c r="P54" s="19"/>
      <c r="Q54" s="19" t="s">
        <v>73</v>
      </c>
      <c r="R54" s="19"/>
      <c r="S54" s="19"/>
      <c r="T54" s="20"/>
      <c r="V54" s="56"/>
      <c r="W54" s="19"/>
      <c r="X54" s="19"/>
      <c r="Y54" s="19"/>
      <c r="Z54" s="19" t="s">
        <v>73</v>
      </c>
      <c r="AA54" s="19"/>
      <c r="AB54" s="20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3:49" ht="22.25" x14ac:dyDescent="0.75">
      <c r="G55" s="26"/>
      <c r="J55" s="103" t="s">
        <v>283</v>
      </c>
      <c r="K55" s="109">
        <f>17369.77</f>
        <v>17369.77</v>
      </c>
      <c r="M55" s="124">
        <f t="shared" si="0"/>
        <v>17369.77</v>
      </c>
      <c r="N55" s="19"/>
      <c r="O55" s="19"/>
      <c r="P55" s="19"/>
      <c r="Q55" s="19"/>
      <c r="R55" s="19" t="s">
        <v>142</v>
      </c>
      <c r="S55" s="19"/>
      <c r="T55" s="33">
        <v>18360</v>
      </c>
      <c r="V55" s="56"/>
      <c r="W55" s="19"/>
      <c r="X55" s="19"/>
      <c r="Y55" s="19"/>
      <c r="Z55" s="19"/>
      <c r="AA55" s="19" t="s">
        <v>142</v>
      </c>
      <c r="AB55" s="33">
        <v>105785</v>
      </c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3:49" x14ac:dyDescent="0.75">
      <c r="D56" s="4" t="s">
        <v>5</v>
      </c>
      <c r="G56" s="26"/>
      <c r="H56" s="15">
        <f>+H12</f>
        <v>48274.149999999994</v>
      </c>
      <c r="J56" s="103" t="s">
        <v>284</v>
      </c>
      <c r="K56" s="108">
        <f>8839.87</f>
        <v>8839.8700000000008</v>
      </c>
      <c r="M56" s="123">
        <f t="shared" si="0"/>
        <v>8839.8700000000008</v>
      </c>
      <c r="N56" s="19"/>
      <c r="O56" s="19"/>
      <c r="P56" s="19"/>
      <c r="Q56" s="19"/>
      <c r="R56" s="19" t="s">
        <v>143</v>
      </c>
      <c r="S56" s="19"/>
      <c r="T56" s="33">
        <v>48518.46</v>
      </c>
      <c r="V56" s="56"/>
      <c r="W56" s="19"/>
      <c r="X56" s="19"/>
      <c r="Y56" s="19"/>
      <c r="Z56" s="19"/>
      <c r="AA56" s="19" t="s">
        <v>143</v>
      </c>
      <c r="AB56" s="33">
        <v>95204.17</v>
      </c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3:49" ht="29.75" customHeight="1" thickBot="1" x14ac:dyDescent="0.9">
      <c r="J57" s="103" t="s">
        <v>285</v>
      </c>
      <c r="K57" s="118"/>
      <c r="M57" s="121">
        <f t="shared" si="0"/>
        <v>0</v>
      </c>
      <c r="N57" s="19"/>
      <c r="O57" s="19"/>
      <c r="P57" s="19"/>
      <c r="Q57" s="19"/>
      <c r="R57" s="19" t="s">
        <v>144</v>
      </c>
      <c r="S57" s="19"/>
      <c r="T57" s="62">
        <v>7270</v>
      </c>
      <c r="V57" s="56"/>
      <c r="W57" s="19"/>
      <c r="X57" s="19"/>
      <c r="Y57" s="19"/>
      <c r="Z57" s="19"/>
      <c r="AA57" s="19" t="s">
        <v>144</v>
      </c>
      <c r="AB57" s="33">
        <v>14940</v>
      </c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3:49" ht="22.75" customHeight="1" thickBot="1" x14ac:dyDescent="0.9">
      <c r="C58" s="1"/>
      <c r="D58" s="1" t="s">
        <v>6</v>
      </c>
      <c r="E58" s="1"/>
      <c r="G58" s="26"/>
      <c r="H58" s="15">
        <f>+H54-H56</f>
        <v>83791.370000000024</v>
      </c>
      <c r="J58" s="103" t="s">
        <v>286</v>
      </c>
      <c r="K58" s="118"/>
      <c r="M58" s="121">
        <f t="shared" si="0"/>
        <v>0</v>
      </c>
      <c r="N58" s="19"/>
      <c r="O58" s="19"/>
      <c r="P58" s="19"/>
      <c r="Q58" s="19"/>
      <c r="R58" s="19"/>
      <c r="S58" s="19"/>
      <c r="T58" s="76"/>
      <c r="V58" s="56"/>
      <c r="W58" s="19"/>
      <c r="X58" s="19"/>
      <c r="Y58" s="19"/>
      <c r="Z58" s="19"/>
      <c r="AA58" s="19" t="s">
        <v>145</v>
      </c>
      <c r="AB58" s="62">
        <v>14.5</v>
      </c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3:49" x14ac:dyDescent="0.75">
      <c r="J59" s="103" t="s">
        <v>287</v>
      </c>
      <c r="K59" s="109">
        <f>4275.72</f>
        <v>4275.72</v>
      </c>
      <c r="M59" s="121">
        <v>0</v>
      </c>
      <c r="N59" s="19"/>
      <c r="O59" s="19"/>
      <c r="P59" s="19"/>
      <c r="Q59" s="19" t="s">
        <v>146</v>
      </c>
      <c r="R59" s="19"/>
      <c r="S59" s="19"/>
      <c r="T59" s="20">
        <f>ROUND(SUM(T54:T57),5)</f>
        <v>74148.460000000006</v>
      </c>
      <c r="V59" s="56"/>
      <c r="W59" s="19"/>
      <c r="X59" s="19"/>
      <c r="Y59" s="19"/>
      <c r="Z59" s="19" t="s">
        <v>146</v>
      </c>
      <c r="AA59" s="19"/>
      <c r="AB59" s="20">
        <f>ROUND(SUM(AB54:AB58),5)</f>
        <v>215943.67</v>
      </c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3:49" x14ac:dyDescent="0.75">
      <c r="C60" s="15"/>
      <c r="D60" s="15" t="s">
        <v>12</v>
      </c>
      <c r="E60" s="15"/>
      <c r="H60" s="15">
        <f>+H19+H21+H27+H30+H42+H44+H45</f>
        <v>99358.83</v>
      </c>
      <c r="J60" s="103" t="s">
        <v>288</v>
      </c>
      <c r="K60" s="110">
        <f>(K58)+(K59)</f>
        <v>4275.72</v>
      </c>
      <c r="M60" s="121">
        <v>0</v>
      </c>
      <c r="N60" s="19"/>
      <c r="O60" s="19"/>
      <c r="P60" s="19"/>
      <c r="Q60" s="19" t="s">
        <v>74</v>
      </c>
      <c r="R60" s="19"/>
      <c r="S60" s="19"/>
      <c r="T60" s="20"/>
      <c r="V60" s="56"/>
      <c r="W60" s="19"/>
      <c r="X60" s="19"/>
      <c r="Y60" s="19"/>
      <c r="Z60" s="19"/>
      <c r="AA60" s="19"/>
      <c r="AB60" s="2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3:49" ht="15.5" thickBot="1" x14ac:dyDescent="0.9">
      <c r="C61" s="35"/>
      <c r="D61" s="35" t="s">
        <v>13</v>
      </c>
      <c r="E61" s="35"/>
      <c r="G61" s="35"/>
      <c r="H61" s="35">
        <f>+H34+H38</f>
        <v>18369.509999999998</v>
      </c>
      <c r="J61" s="103" t="s">
        <v>289</v>
      </c>
      <c r="K61" s="109">
        <f>1188.46</f>
        <v>1188.46</v>
      </c>
      <c r="M61" s="121">
        <v>0</v>
      </c>
      <c r="N61" s="19"/>
      <c r="O61" s="19"/>
      <c r="P61" s="19"/>
      <c r="Q61" s="19"/>
      <c r="R61" s="19" t="s">
        <v>187</v>
      </c>
      <c r="S61" s="19"/>
      <c r="T61" s="55">
        <v>7480.29</v>
      </c>
      <c r="V61" s="56"/>
      <c r="W61" s="19"/>
      <c r="X61" s="19"/>
      <c r="Y61" s="19"/>
      <c r="Z61" s="19"/>
      <c r="AA61" s="19"/>
      <c r="AB61" s="20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3:49" x14ac:dyDescent="0.75">
      <c r="C62" s="32"/>
      <c r="D62" s="32" t="s">
        <v>109</v>
      </c>
      <c r="E62" s="32"/>
      <c r="G62" s="32"/>
      <c r="H62" s="32">
        <f>+H22+H35+H36+H37+H48</f>
        <v>130026.4</v>
      </c>
      <c r="J62" s="103" t="s">
        <v>290</v>
      </c>
      <c r="K62" s="110">
        <f>((K57)+(K60))+(K61)</f>
        <v>5464.18</v>
      </c>
      <c r="M62" s="124">
        <f t="shared" si="0"/>
        <v>5464.18</v>
      </c>
      <c r="N62" s="19"/>
      <c r="O62" s="19"/>
      <c r="P62" s="19"/>
      <c r="Q62" s="19" t="s">
        <v>188</v>
      </c>
      <c r="R62" s="19"/>
      <c r="S62" s="19"/>
      <c r="T62" s="36">
        <f>ROUND(SUM(T60:T61),5)</f>
        <v>7480.29</v>
      </c>
      <c r="V62" s="56"/>
      <c r="W62" s="19"/>
      <c r="X62" s="19"/>
      <c r="Y62" s="19"/>
      <c r="Z62" s="19" t="s">
        <v>74</v>
      </c>
      <c r="AA62" s="19"/>
      <c r="AB62" s="36">
        <v>34751.440000000002</v>
      </c>
      <c r="AI62" s="56"/>
      <c r="AJ62"/>
      <c r="AK62"/>
      <c r="AL62"/>
      <c r="AM62"/>
      <c r="AN62"/>
      <c r="AO62"/>
      <c r="AP62"/>
    </row>
    <row r="63" spans="3:49" ht="15.5" thickBot="1" x14ac:dyDescent="0.9">
      <c r="C63" s="24"/>
      <c r="D63" s="24" t="s">
        <v>8</v>
      </c>
      <c r="E63" s="24"/>
      <c r="G63" s="25"/>
      <c r="H63" s="25">
        <f>+H16+H18+H23+H25+H26+H29+H41+H43</f>
        <v>88687.01999999999</v>
      </c>
      <c r="J63" s="103" t="s">
        <v>291</v>
      </c>
      <c r="K63" s="118"/>
      <c r="M63" s="121">
        <f t="shared" si="0"/>
        <v>0</v>
      </c>
      <c r="N63" s="19"/>
      <c r="O63" s="19"/>
      <c r="P63" s="19"/>
      <c r="Q63" s="19"/>
      <c r="R63" s="19"/>
      <c r="S63" s="19"/>
      <c r="T63" s="66"/>
      <c r="V63" s="56"/>
      <c r="W63" s="19"/>
      <c r="X63" s="19"/>
      <c r="Y63" s="19"/>
      <c r="Z63" s="19" t="s">
        <v>75</v>
      </c>
      <c r="AA63" s="19"/>
      <c r="AB63" s="20"/>
      <c r="AD63" s="1"/>
      <c r="AI63" s="56"/>
      <c r="AJ63"/>
      <c r="AK63"/>
      <c r="AL63"/>
      <c r="AM63"/>
      <c r="AN63"/>
      <c r="AO63"/>
      <c r="AP63"/>
    </row>
    <row r="64" spans="3:49" x14ac:dyDescent="0.75">
      <c r="C64" s="1"/>
      <c r="D64" s="4" t="s">
        <v>51</v>
      </c>
      <c r="H64" s="15">
        <f>+H60+H61+H62+H63</f>
        <v>336441.76</v>
      </c>
      <c r="J64" s="103" t="s">
        <v>292</v>
      </c>
      <c r="K64" s="109">
        <f>2940.87</f>
        <v>2940.87</v>
      </c>
      <c r="M64" s="121">
        <v>0</v>
      </c>
      <c r="N64" s="19"/>
      <c r="O64" s="19"/>
      <c r="P64" s="19"/>
      <c r="Q64" s="19"/>
      <c r="R64" s="19"/>
      <c r="S64" s="19"/>
      <c r="T64" s="66"/>
      <c r="V64" s="56"/>
      <c r="W64" s="19"/>
      <c r="X64" s="19"/>
      <c r="Y64" s="19"/>
      <c r="Z64" s="19"/>
      <c r="AA64" s="19" t="s">
        <v>147</v>
      </c>
      <c r="AB64" s="34">
        <v>178.37</v>
      </c>
      <c r="AD64" s="3">
        <v>2018</v>
      </c>
      <c r="AI64" s="56"/>
      <c r="AJ64"/>
      <c r="AK64"/>
      <c r="AL64"/>
      <c r="AM64"/>
      <c r="AN64"/>
      <c r="AO64"/>
      <c r="AP64"/>
    </row>
    <row r="65" spans="2:42" ht="15.5" thickBot="1" x14ac:dyDescent="0.9">
      <c r="J65" s="103" t="s">
        <v>293</v>
      </c>
      <c r="K65" s="109">
        <f>118.05</f>
        <v>118.05</v>
      </c>
      <c r="M65" s="121">
        <v>0</v>
      </c>
      <c r="N65" s="19"/>
      <c r="O65" s="19"/>
      <c r="P65" s="19"/>
      <c r="Q65" s="19"/>
      <c r="R65" s="19"/>
      <c r="S65" s="19"/>
      <c r="T65" s="66"/>
      <c r="V65" s="56"/>
      <c r="W65" s="19"/>
      <c r="X65" s="19"/>
      <c r="Y65" s="19"/>
      <c r="Z65" s="19"/>
      <c r="AA65" s="19" t="s">
        <v>148</v>
      </c>
      <c r="AB65" s="61">
        <v>4911.42</v>
      </c>
      <c r="AI65" s="56"/>
      <c r="AJ65"/>
      <c r="AK65"/>
      <c r="AL65"/>
      <c r="AM65"/>
      <c r="AN65"/>
      <c r="AO65"/>
      <c r="AP65"/>
    </row>
    <row r="66" spans="2:42" ht="22.25" x14ac:dyDescent="0.75">
      <c r="C66" s="1"/>
      <c r="D66" s="1" t="s">
        <v>308</v>
      </c>
      <c r="E66" s="1"/>
      <c r="H66" s="15">
        <f>+H58-H64</f>
        <v>-252650.38999999998</v>
      </c>
      <c r="J66" s="103" t="s">
        <v>294</v>
      </c>
      <c r="K66" s="110">
        <f>((K63)+(K64))+(K65)</f>
        <v>3058.92</v>
      </c>
      <c r="M66" s="124">
        <f t="shared" si="0"/>
        <v>3058.92</v>
      </c>
      <c r="N66" s="19"/>
      <c r="O66" s="19"/>
      <c r="P66" s="19"/>
      <c r="Q66" s="19"/>
      <c r="R66" s="19"/>
      <c r="S66" s="19"/>
      <c r="T66" s="66"/>
      <c r="V66" s="56"/>
      <c r="W66" s="19"/>
      <c r="X66" s="19"/>
      <c r="Y66" s="19"/>
      <c r="Z66" s="19" t="s">
        <v>149</v>
      </c>
      <c r="AA66" s="19"/>
      <c r="AB66" s="20">
        <f>ROUND(SUM(AB63:AB65),5)</f>
        <v>5089.79</v>
      </c>
      <c r="AI66" s="56"/>
      <c r="AJ66"/>
      <c r="AK66"/>
      <c r="AL66"/>
      <c r="AM66"/>
      <c r="AN66"/>
      <c r="AO66"/>
      <c r="AP66"/>
    </row>
    <row r="67" spans="2:42" ht="22.25" x14ac:dyDescent="0.75">
      <c r="C67" s="1"/>
      <c r="D67" s="1"/>
      <c r="E67" s="1"/>
      <c r="H67" s="15"/>
      <c r="J67" s="103" t="s">
        <v>295</v>
      </c>
      <c r="K67" s="118"/>
      <c r="M67" s="121">
        <v>0</v>
      </c>
      <c r="N67" s="19"/>
      <c r="O67" s="19"/>
      <c r="P67" s="19"/>
      <c r="Q67" s="19" t="s">
        <v>76</v>
      </c>
      <c r="R67" s="19"/>
      <c r="S67" s="19"/>
      <c r="T67" s="34">
        <v>552.63</v>
      </c>
      <c r="V67" s="56"/>
      <c r="W67" s="19"/>
      <c r="X67" s="19"/>
      <c r="Y67" s="19"/>
      <c r="Z67" s="19" t="s">
        <v>76</v>
      </c>
      <c r="AA67" s="19"/>
      <c r="AB67" s="34">
        <v>4741.63</v>
      </c>
      <c r="AD67" s="15">
        <v>305625</v>
      </c>
      <c r="AI67" s="56"/>
      <c r="AJ67"/>
      <c r="AK67"/>
      <c r="AL67"/>
      <c r="AM67"/>
      <c r="AN67"/>
      <c r="AO67"/>
      <c r="AP67"/>
    </row>
    <row r="68" spans="2:42" ht="22.25" x14ac:dyDescent="0.75">
      <c r="J68" s="103" t="s">
        <v>296</v>
      </c>
      <c r="K68" s="109">
        <f>1173.67</f>
        <v>1173.67</v>
      </c>
      <c r="M68" s="124">
        <f>+K68</f>
        <v>1173.67</v>
      </c>
      <c r="N68" s="19"/>
      <c r="O68" s="19"/>
      <c r="P68" s="19"/>
      <c r="Q68" s="19" t="s">
        <v>77</v>
      </c>
      <c r="R68" s="19"/>
      <c r="S68" s="19"/>
      <c r="T68" s="20"/>
      <c r="V68" s="56"/>
      <c r="W68" s="19"/>
      <c r="X68" s="19"/>
      <c r="Y68" s="19"/>
      <c r="Z68" s="19"/>
      <c r="AA68" s="19"/>
      <c r="AB68" s="74"/>
      <c r="AD68" s="15">
        <v>175729</v>
      </c>
      <c r="AI68" s="56"/>
      <c r="AJ68"/>
      <c r="AK68"/>
      <c r="AL68"/>
      <c r="AM68"/>
      <c r="AN68"/>
      <c r="AO68"/>
      <c r="AP68"/>
    </row>
    <row r="69" spans="2:42" ht="23" thickBot="1" x14ac:dyDescent="0.9">
      <c r="D69" s="4" t="s">
        <v>52</v>
      </c>
      <c r="H69" s="84">
        <f>-K16-K22</f>
        <v>-13557.59</v>
      </c>
      <c r="J69" s="103" t="s">
        <v>297</v>
      </c>
      <c r="K69" s="108">
        <f>5773.26</f>
        <v>5773.26</v>
      </c>
      <c r="M69" s="123">
        <f>+K69</f>
        <v>5773.26</v>
      </c>
      <c r="N69" s="19"/>
      <c r="O69" s="19"/>
      <c r="P69" s="19"/>
      <c r="Q69" s="19"/>
      <c r="R69" s="19" t="s">
        <v>189</v>
      </c>
      <c r="S69" s="19"/>
      <c r="T69" s="20">
        <v>-7773</v>
      </c>
      <c r="V69" s="56"/>
      <c r="W69" s="19"/>
      <c r="X69" s="19"/>
      <c r="Y69" s="19"/>
      <c r="Z69" s="19"/>
      <c r="AA69" s="19"/>
      <c r="AB69" s="74"/>
      <c r="AD69" s="17">
        <v>42551</v>
      </c>
      <c r="AI69" s="56"/>
      <c r="AJ69"/>
      <c r="AK69"/>
      <c r="AL69"/>
      <c r="AM69"/>
      <c r="AN69"/>
      <c r="AO69"/>
      <c r="AP69"/>
    </row>
    <row r="70" spans="2:42" ht="15.5" thickBot="1" x14ac:dyDescent="0.9">
      <c r="D70" s="4" t="s">
        <v>306</v>
      </c>
      <c r="H70" s="35">
        <f>-K55-K72</f>
        <v>-55302.770000000004</v>
      </c>
      <c r="J70" s="103" t="s">
        <v>298</v>
      </c>
      <c r="K70" s="116">
        <f>10136.94</f>
        <v>10136.94</v>
      </c>
      <c r="M70" s="127">
        <f>+K70</f>
        <v>10136.94</v>
      </c>
      <c r="N70" s="19"/>
      <c r="O70" s="19"/>
      <c r="P70" s="19"/>
      <c r="Q70" s="19"/>
      <c r="R70" s="19" t="s">
        <v>190</v>
      </c>
      <c r="S70" s="19"/>
      <c r="T70" s="55">
        <v>31092</v>
      </c>
      <c r="V70" s="56"/>
      <c r="W70" s="19"/>
      <c r="X70" s="19"/>
      <c r="Y70" s="19"/>
      <c r="Z70" s="19"/>
      <c r="AA70" s="19"/>
      <c r="AB70" s="74"/>
      <c r="AD70" s="16">
        <f>SUM(AD67:AD69)</f>
        <v>523905</v>
      </c>
      <c r="AI70" s="56"/>
      <c r="AJ70"/>
      <c r="AK70"/>
      <c r="AL70"/>
      <c r="AM70"/>
      <c r="AN70"/>
      <c r="AO70"/>
      <c r="AP70"/>
    </row>
    <row r="71" spans="2:42" x14ac:dyDescent="0.75">
      <c r="D71" s="4" t="s">
        <v>38</v>
      </c>
      <c r="H71" s="58">
        <f>-K71</f>
        <v>-21739.71</v>
      </c>
      <c r="J71" s="103" t="s">
        <v>299</v>
      </c>
      <c r="K71" s="117">
        <f>21739.71</f>
        <v>21739.71</v>
      </c>
      <c r="M71" s="128">
        <f>+K71</f>
        <v>21739.71</v>
      </c>
      <c r="N71" s="19"/>
      <c r="O71" s="19"/>
      <c r="P71" s="19"/>
      <c r="Q71" s="19" t="s">
        <v>191</v>
      </c>
      <c r="R71" s="19"/>
      <c r="S71" s="19"/>
      <c r="T71" s="34">
        <f>ROUND(SUM(T68:T70),5)</f>
        <v>23319</v>
      </c>
      <c r="V71" s="56"/>
      <c r="W71" s="19"/>
      <c r="X71" s="19"/>
      <c r="Y71" s="19"/>
      <c r="Z71" s="19" t="s">
        <v>77</v>
      </c>
      <c r="AA71" s="19"/>
      <c r="AB71" s="34">
        <v>114986.7</v>
      </c>
      <c r="AI71" s="56"/>
      <c r="AJ71"/>
      <c r="AK71"/>
      <c r="AL71"/>
      <c r="AM71"/>
      <c r="AN71"/>
      <c r="AO71"/>
      <c r="AP71"/>
    </row>
    <row r="72" spans="2:42" ht="22.25" x14ac:dyDescent="0.75">
      <c r="D72" s="4" t="s">
        <v>39</v>
      </c>
      <c r="H72" s="85">
        <f>-K70</f>
        <v>-10136.94</v>
      </c>
      <c r="J72" s="103" t="s">
        <v>300</v>
      </c>
      <c r="K72" s="109">
        <f>37933</f>
        <v>37933</v>
      </c>
      <c r="M72" s="124">
        <f>+K72</f>
        <v>37933</v>
      </c>
      <c r="N72" s="19"/>
      <c r="O72" s="19"/>
      <c r="P72" s="19"/>
      <c r="Q72" s="19" t="s">
        <v>78</v>
      </c>
      <c r="R72" s="19"/>
      <c r="S72" s="19"/>
      <c r="T72" s="20">
        <v>1788</v>
      </c>
      <c r="V72" s="56"/>
      <c r="W72" s="19"/>
      <c r="X72" s="19"/>
      <c r="Y72" s="19"/>
      <c r="Z72" s="19" t="s">
        <v>78</v>
      </c>
      <c r="AA72" s="19"/>
      <c r="AB72" s="20">
        <v>7820.51</v>
      </c>
      <c r="AD72" s="15">
        <v>150596</v>
      </c>
      <c r="AI72" s="56"/>
      <c r="AJ72"/>
      <c r="AK72"/>
      <c r="AL72"/>
      <c r="AM72"/>
      <c r="AN72"/>
      <c r="AO72"/>
      <c r="AP72"/>
    </row>
    <row r="73" spans="2:42" ht="22.25" x14ac:dyDescent="0.75">
      <c r="J73" s="103" t="s">
        <v>301</v>
      </c>
      <c r="K73" s="106">
        <f>(((((K67)+(K68))+(K69))+(K70))+(K71))+(K72)</f>
        <v>76756.58</v>
      </c>
      <c r="M73" s="122">
        <v>0</v>
      </c>
      <c r="N73" s="19"/>
      <c r="O73" s="19"/>
      <c r="P73" s="19"/>
      <c r="Q73" s="19" t="s">
        <v>79</v>
      </c>
      <c r="R73" s="19"/>
      <c r="S73" s="19"/>
      <c r="T73" s="34">
        <v>8527.52</v>
      </c>
      <c r="V73" s="56"/>
      <c r="W73" s="19"/>
      <c r="X73" s="19"/>
      <c r="Y73" s="19"/>
      <c r="Z73" s="19" t="s">
        <v>79</v>
      </c>
      <c r="AA73" s="19"/>
      <c r="AB73" s="34">
        <v>40127.730000000003</v>
      </c>
      <c r="AI73" s="56"/>
      <c r="AJ73"/>
      <c r="AK73"/>
      <c r="AL73"/>
      <c r="AM73"/>
      <c r="AN73"/>
      <c r="AO73"/>
      <c r="AP73"/>
    </row>
    <row r="74" spans="2:42" x14ac:dyDescent="0.75">
      <c r="C74" s="1"/>
      <c r="D74" s="1" t="s">
        <v>15</v>
      </c>
      <c r="E74" s="1"/>
      <c r="G74" s="4">
        <f>+K81</f>
        <v>-353387.85000000003</v>
      </c>
      <c r="H74" s="15">
        <f>+H66+H69+H70+H71+H72</f>
        <v>-353387.4</v>
      </c>
      <c r="I74" s="4">
        <f>+G74-H74</f>
        <v>-0.45000000001164153</v>
      </c>
      <c r="J74" s="103" t="s">
        <v>9</v>
      </c>
      <c r="K74" s="110">
        <f>((((((((((((((((((((((((K16)+(K19))+(K20))+(K21))+(K22))+(K23))+(K24))+(K27))+(K30))+(K31))+(K32))+(K33))+(K38))+(K41))+(K44))+(K48))+(K49))+(K52))+(K53))+(K54))+(K55))+(K56))+(K62))+(K66))+(K73)</f>
        <v>437446.47000000003</v>
      </c>
      <c r="M74" s="121">
        <f>SUM(M16:M73)</f>
        <v>437446.47000000003</v>
      </c>
      <c r="N74" s="19"/>
      <c r="O74" s="19"/>
      <c r="P74" s="19"/>
      <c r="Q74" s="19" t="s">
        <v>80</v>
      </c>
      <c r="R74" s="19"/>
      <c r="S74" s="19"/>
      <c r="T74" s="20"/>
      <c r="V74" s="56"/>
      <c r="W74" s="19"/>
      <c r="X74" s="19"/>
      <c r="Y74" s="19"/>
      <c r="Z74" s="19"/>
      <c r="AA74" s="19"/>
      <c r="AB74" s="66"/>
      <c r="AD74" s="16">
        <f>+AD70-AD72</f>
        <v>373309</v>
      </c>
      <c r="AI74" s="56"/>
      <c r="AJ74"/>
      <c r="AK74"/>
      <c r="AL74"/>
      <c r="AM74"/>
      <c r="AN74"/>
      <c r="AO74"/>
      <c r="AP74"/>
    </row>
    <row r="75" spans="2:42" x14ac:dyDescent="0.75">
      <c r="D75" s="1"/>
      <c r="E75" s="1"/>
      <c r="H75" s="40"/>
      <c r="J75" s="103" t="s">
        <v>302</v>
      </c>
      <c r="K75" s="110">
        <f>(K14)-(K74)</f>
        <v>-353453.10000000003</v>
      </c>
      <c r="M75" s="121"/>
      <c r="N75" s="19"/>
      <c r="O75" s="19"/>
      <c r="P75" s="19"/>
      <c r="Q75" s="19"/>
      <c r="R75" s="19" t="s">
        <v>192</v>
      </c>
      <c r="S75" s="19"/>
      <c r="T75" s="20"/>
      <c r="V75" s="56" t="s">
        <v>32</v>
      </c>
      <c r="W75" s="19"/>
      <c r="X75" s="19"/>
      <c r="Y75" s="19"/>
      <c r="Z75" s="19"/>
      <c r="AA75" s="19"/>
      <c r="AB75" s="66"/>
      <c r="AI75" s="56"/>
      <c r="AJ75"/>
      <c r="AK75"/>
      <c r="AL75"/>
      <c r="AM75"/>
      <c r="AN75"/>
      <c r="AO75"/>
      <c r="AP75"/>
    </row>
    <row r="76" spans="2:42" x14ac:dyDescent="0.75">
      <c r="D76" s="1"/>
      <c r="E76" s="1"/>
      <c r="G76" s="101"/>
      <c r="H76" s="131" t="s">
        <v>234</v>
      </c>
      <c r="J76" s="103"/>
      <c r="K76" s="130"/>
      <c r="M76" s="121"/>
      <c r="N76" s="19"/>
      <c r="O76" s="19"/>
      <c r="P76" s="19"/>
      <c r="Q76" s="19"/>
      <c r="R76" s="19"/>
      <c r="S76" s="19"/>
      <c r="T76" s="20"/>
      <c r="V76" s="56"/>
      <c r="W76" s="19"/>
      <c r="X76" s="19"/>
      <c r="Y76" s="19"/>
      <c r="Z76" s="19"/>
      <c r="AA76" s="19"/>
      <c r="AB76" s="66"/>
      <c r="AI76" s="56"/>
      <c r="AJ76" s="18"/>
      <c r="AK76" s="18"/>
      <c r="AL76" s="18"/>
      <c r="AM76" s="18"/>
      <c r="AN76" s="18"/>
      <c r="AO76" s="18"/>
      <c r="AP76" s="18"/>
    </row>
    <row r="77" spans="2:42" ht="15.5" thickBot="1" x14ac:dyDescent="0.9">
      <c r="D77" s="1"/>
      <c r="E77" s="1"/>
      <c r="G77" s="101" t="s">
        <v>312</v>
      </c>
      <c r="H77" s="138">
        <v>735</v>
      </c>
      <c r="J77" s="103" t="s">
        <v>105</v>
      </c>
      <c r="K77" s="104"/>
      <c r="M77" s="121"/>
      <c r="N77" s="19"/>
      <c r="O77" s="19"/>
      <c r="P77" s="19"/>
      <c r="Q77" s="19"/>
      <c r="R77" s="19"/>
      <c r="S77" s="19" t="s">
        <v>193</v>
      </c>
      <c r="T77" s="20">
        <v>3809.85</v>
      </c>
      <c r="W77" s="19"/>
      <c r="X77" s="19"/>
      <c r="Y77" s="19"/>
      <c r="Z77" s="19"/>
      <c r="AA77" s="19"/>
      <c r="AB77" s="66"/>
      <c r="AD77" s="15">
        <v>133335</v>
      </c>
      <c r="AI77" s="56"/>
      <c r="AJ77"/>
      <c r="AK77"/>
      <c r="AL77"/>
      <c r="AM77"/>
      <c r="AN77"/>
      <c r="AO77"/>
      <c r="AP77"/>
    </row>
    <row r="78" spans="2:42" ht="15.5" thickBot="1" x14ac:dyDescent="0.9">
      <c r="B78"/>
      <c r="C78"/>
      <c r="D78" s="1"/>
      <c r="E78" s="1"/>
      <c r="G78" s="132" t="s">
        <v>310</v>
      </c>
      <c r="H78" s="137">
        <f>5031.9</f>
        <v>5031.8999999999996</v>
      </c>
      <c r="J78" s="103" t="s">
        <v>303</v>
      </c>
      <c r="K78" s="105">
        <f>65.25</f>
        <v>65.25</v>
      </c>
      <c r="M78" s="121"/>
      <c r="N78" s="19"/>
      <c r="O78" s="19"/>
      <c r="P78" s="19"/>
      <c r="Q78" s="19"/>
      <c r="R78" s="19" t="s">
        <v>194</v>
      </c>
      <c r="S78" s="19"/>
      <c r="T78" s="21">
        <f>ROUND(SUM(T75:T77),5)</f>
        <v>3809.85</v>
      </c>
      <c r="W78" s="19"/>
      <c r="X78" s="19"/>
      <c r="Y78" s="19"/>
      <c r="Z78" s="19"/>
      <c r="AA78" s="19"/>
      <c r="AB78" s="66"/>
      <c r="AD78" s="15">
        <v>47961</v>
      </c>
      <c r="AI78" s="56"/>
      <c r="AJ78"/>
      <c r="AK78"/>
      <c r="AL78"/>
      <c r="AM78"/>
      <c r="AN78"/>
      <c r="AO78"/>
      <c r="AP78"/>
    </row>
    <row r="79" spans="2:42" x14ac:dyDescent="0.75">
      <c r="B79"/>
      <c r="C79"/>
      <c r="D79" s="1"/>
      <c r="E79" s="1"/>
      <c r="G79" s="132" t="s">
        <v>311</v>
      </c>
      <c r="H79" s="136">
        <f>30400</f>
        <v>30400</v>
      </c>
      <c r="J79" s="103" t="s">
        <v>107</v>
      </c>
      <c r="K79" s="106">
        <f>K78</f>
        <v>65.25</v>
      </c>
      <c r="M79" s="121"/>
      <c r="N79" s="19"/>
      <c r="O79" s="19"/>
      <c r="P79" s="19"/>
      <c r="Q79" s="19" t="s">
        <v>195</v>
      </c>
      <c r="R79" s="19"/>
      <c r="S79" s="19"/>
      <c r="T79" s="20">
        <f>ROUND(T74+T78,5)</f>
        <v>3809.85</v>
      </c>
      <c r="W79" s="19"/>
      <c r="X79" s="19"/>
      <c r="Y79" s="19"/>
      <c r="Z79" s="19" t="s">
        <v>80</v>
      </c>
      <c r="AA79" s="19"/>
      <c r="AB79" s="20">
        <v>15927.38</v>
      </c>
      <c r="AD79" s="15">
        <v>124470</v>
      </c>
      <c r="AI79" s="56"/>
      <c r="AJ79"/>
      <c r="AK79"/>
      <c r="AL79"/>
      <c r="AM79"/>
      <c r="AN79"/>
      <c r="AO79"/>
      <c r="AP79"/>
    </row>
    <row r="80" spans="2:42" ht="15.5" thickBot="1" x14ac:dyDescent="0.9">
      <c r="B80"/>
      <c r="C80"/>
      <c r="D80" s="1"/>
      <c r="E80" s="1"/>
      <c r="G80" s="132" t="s">
        <v>87</v>
      </c>
      <c r="H80" s="137">
        <f>7840.22</f>
        <v>7840.22</v>
      </c>
      <c r="J80" s="103" t="s">
        <v>108</v>
      </c>
      <c r="K80" s="114">
        <f>(K79)-(0)</f>
        <v>65.25</v>
      </c>
      <c r="M80" s="121"/>
      <c r="N80" s="19"/>
      <c r="O80" s="19"/>
      <c r="P80" s="19"/>
      <c r="Q80" s="19" t="s">
        <v>81</v>
      </c>
      <c r="R80" s="19"/>
      <c r="S80" s="19"/>
      <c r="T80" s="20"/>
      <c r="W80" s="19"/>
      <c r="X80" s="19"/>
      <c r="Y80" s="19"/>
      <c r="Z80" s="19"/>
      <c r="AA80" s="19"/>
      <c r="AB80" s="20"/>
      <c r="AD80" s="17">
        <v>128438</v>
      </c>
      <c r="AI80" s="56"/>
      <c r="AJ80"/>
      <c r="AK80"/>
      <c r="AL80"/>
      <c r="AM80"/>
      <c r="AN80"/>
      <c r="AO80"/>
      <c r="AP80"/>
    </row>
    <row r="81" spans="2:42" x14ac:dyDescent="0.75">
      <c r="B81"/>
      <c r="C81"/>
      <c r="D81" s="1"/>
      <c r="E81" s="1"/>
      <c r="G81" s="132" t="s">
        <v>88</v>
      </c>
      <c r="H81" s="136">
        <f>43750</f>
        <v>43750</v>
      </c>
      <c r="J81" s="103" t="s">
        <v>32</v>
      </c>
      <c r="K81" s="110">
        <f>(K75)+(K80)</f>
        <v>-353387.85000000003</v>
      </c>
      <c r="M81" s="121"/>
      <c r="N81" s="19"/>
      <c r="O81" s="19"/>
      <c r="P81" s="19"/>
      <c r="Q81" s="19"/>
      <c r="R81" s="19" t="s">
        <v>196</v>
      </c>
      <c r="S81" s="19"/>
      <c r="T81" s="20">
        <v>4149.88</v>
      </c>
      <c r="W81" s="19"/>
      <c r="X81" s="19"/>
      <c r="Y81" s="19"/>
      <c r="Z81" s="19"/>
      <c r="AA81" s="19"/>
      <c r="AB81" s="20"/>
      <c r="AD81" s="16">
        <f>SUM(AD77:AD80)</f>
        <v>434204</v>
      </c>
      <c r="AI81" s="56"/>
      <c r="AJ81"/>
      <c r="AK81"/>
      <c r="AL81"/>
      <c r="AM81"/>
      <c r="AN81"/>
      <c r="AO81"/>
      <c r="AP81"/>
    </row>
    <row r="82" spans="2:42" ht="15.5" thickBot="1" x14ac:dyDescent="0.9">
      <c r="B82"/>
      <c r="C82"/>
      <c r="D82" s="1"/>
      <c r="E82" s="1"/>
      <c r="G82" s="132" t="s">
        <v>89</v>
      </c>
      <c r="H82" s="137">
        <f>44510.4</f>
        <v>44510.400000000001</v>
      </c>
      <c r="M82" s="121"/>
      <c r="N82" s="19"/>
      <c r="O82" s="19"/>
      <c r="P82" s="19"/>
      <c r="Q82" s="19"/>
      <c r="R82" s="19" t="s">
        <v>197</v>
      </c>
      <c r="S82" s="19"/>
      <c r="T82" s="20">
        <v>1783.04</v>
      </c>
      <c r="W82" s="19"/>
      <c r="X82" s="19"/>
      <c r="Y82" s="19"/>
      <c r="Z82" s="19"/>
      <c r="AA82" s="19"/>
      <c r="AB82" s="20"/>
      <c r="AI82" s="56"/>
      <c r="AJ82"/>
      <c r="AK82"/>
      <c r="AL82"/>
      <c r="AM82"/>
      <c r="AN82"/>
      <c r="AO82"/>
      <c r="AP82"/>
    </row>
    <row r="83" spans="2:42" ht="15.5" thickBot="1" x14ac:dyDescent="0.9">
      <c r="B83"/>
      <c r="C83"/>
      <c r="D83" s="1"/>
      <c r="E83" s="1"/>
      <c r="G83" s="132" t="s">
        <v>91</v>
      </c>
      <c r="H83" s="134">
        <f>((((H78)+(H79))+(H80))+(H81))+(H82)</f>
        <v>131532.51999999999</v>
      </c>
      <c r="M83" s="121"/>
      <c r="N83" s="19"/>
      <c r="O83" s="19"/>
      <c r="P83" s="19"/>
      <c r="Q83" s="19" t="s">
        <v>198</v>
      </c>
      <c r="R83" s="19"/>
      <c r="S83" s="19"/>
      <c r="T83" s="22">
        <f>ROUND(SUM(T80:T82),5)</f>
        <v>5932.92</v>
      </c>
      <c r="W83" s="19"/>
      <c r="X83" s="19"/>
      <c r="Y83" s="19"/>
      <c r="Z83" s="19" t="s">
        <v>81</v>
      </c>
      <c r="AA83" s="19"/>
      <c r="AB83" s="20">
        <v>24977.21</v>
      </c>
      <c r="AD83" s="16">
        <f>+AD74-AD81</f>
        <v>-60895</v>
      </c>
      <c r="AI83" s="56"/>
      <c r="AJ83"/>
      <c r="AK83"/>
      <c r="AL83"/>
      <c r="AM83"/>
      <c r="AN83"/>
      <c r="AO83"/>
      <c r="AP83"/>
    </row>
    <row r="84" spans="2:42" ht="15.5" thickBot="1" x14ac:dyDescent="0.9">
      <c r="B84"/>
      <c r="C84"/>
      <c r="D84" s="1"/>
      <c r="E84" s="4" t="s">
        <v>203</v>
      </c>
      <c r="H84" s="15">
        <f>+H79+H81</f>
        <v>74150</v>
      </c>
      <c r="M84" s="121"/>
      <c r="N84" s="19"/>
      <c r="O84" s="19"/>
      <c r="P84" s="19" t="s">
        <v>102</v>
      </c>
      <c r="Q84" s="19"/>
      <c r="R84" s="19"/>
      <c r="S84" s="19"/>
      <c r="T84" s="21">
        <f>ROUND(T16+T19+SUM(T23:T27)+SUM(T31:T37)+T42+SUM(T48:T52)+T59+SUM(T62:T67)+SUM(T71:T73)+T79+T83,5)</f>
        <v>247032.25</v>
      </c>
      <c r="W84" s="19"/>
      <c r="X84" s="19"/>
      <c r="Y84" s="19" t="s">
        <v>102</v>
      </c>
      <c r="Z84" s="19"/>
      <c r="AA84" s="19"/>
      <c r="AB84" s="21">
        <f>ROUND(SUM(AB18:AB42)+SUM(AB48:AB53)+SUM(AB59:AB62)+SUM(AB66:AB83),5)</f>
        <v>869117.82</v>
      </c>
      <c r="AI84" s="56"/>
      <c r="AJ84"/>
      <c r="AK84"/>
      <c r="AL84"/>
      <c r="AM84"/>
      <c r="AN84"/>
      <c r="AO84"/>
      <c r="AP84"/>
    </row>
    <row r="85" spans="2:42" ht="15.5" thickBot="1" x14ac:dyDescent="0.9">
      <c r="B85"/>
      <c r="C85"/>
      <c r="D85" s="1"/>
      <c r="E85" s="4" t="s">
        <v>2</v>
      </c>
      <c r="H85" s="129">
        <f>+H82+H80+H78+H77</f>
        <v>58117.520000000004</v>
      </c>
      <c r="M85" s="121"/>
      <c r="N85" s="19" t="s">
        <v>103</v>
      </c>
      <c r="O85" s="19"/>
      <c r="P85" s="19"/>
      <c r="Q85" s="19"/>
      <c r="R85" s="19"/>
      <c r="S85" s="19"/>
      <c r="T85" s="20">
        <f>ROUND(T2+T15-T84,5)</f>
        <v>-77438.52</v>
      </c>
      <c r="W85" s="19" t="s">
        <v>103</v>
      </c>
      <c r="X85" s="19"/>
      <c r="Y85" s="19"/>
      <c r="Z85" s="19"/>
      <c r="AA85" s="19"/>
      <c r="AB85" s="20">
        <f>ROUND(AB5+AB15-AB84,5)</f>
        <v>-244644.13</v>
      </c>
      <c r="AD85" s="15">
        <v>-45168</v>
      </c>
      <c r="AI85" s="56"/>
      <c r="AJ85"/>
      <c r="AK85"/>
      <c r="AL85"/>
      <c r="AM85"/>
      <c r="AN85"/>
      <c r="AO85"/>
      <c r="AP85"/>
    </row>
    <row r="86" spans="2:42" x14ac:dyDescent="0.75">
      <c r="B86"/>
      <c r="C86"/>
      <c r="D86" s="1"/>
      <c r="H86" s="40">
        <f>+H84+H85</f>
        <v>132267.52000000002</v>
      </c>
      <c r="M86" s="121"/>
      <c r="N86" s="19" t="s">
        <v>104</v>
      </c>
      <c r="O86" s="19"/>
      <c r="P86" s="19"/>
      <c r="Q86" s="19"/>
      <c r="R86" s="19"/>
      <c r="S86" s="19"/>
      <c r="T86" s="20"/>
      <c r="W86" s="19" t="s">
        <v>104</v>
      </c>
      <c r="X86" s="19"/>
      <c r="Y86" s="19"/>
      <c r="Z86" s="19"/>
      <c r="AA86" s="19"/>
      <c r="AB86" s="20"/>
      <c r="AD86" s="15">
        <v>-80000</v>
      </c>
      <c r="AI86" s="56"/>
      <c r="AJ86"/>
      <c r="AK86"/>
      <c r="AL86"/>
      <c r="AM86"/>
      <c r="AN86"/>
      <c r="AO86"/>
      <c r="AP86"/>
    </row>
    <row r="87" spans="2:42" ht="15.5" thickBot="1" x14ac:dyDescent="0.9">
      <c r="B87"/>
      <c r="C87"/>
      <c r="E87" s="4" t="s">
        <v>3</v>
      </c>
      <c r="H87" s="25">
        <v>0</v>
      </c>
      <c r="M87" s="121"/>
      <c r="N87" s="19"/>
      <c r="O87" s="19" t="s">
        <v>105</v>
      </c>
      <c r="P87" s="19"/>
      <c r="Q87" s="19"/>
      <c r="R87" s="19"/>
      <c r="S87" s="19"/>
      <c r="T87" s="20"/>
      <c r="W87" s="19"/>
      <c r="X87" s="19" t="s">
        <v>105</v>
      </c>
      <c r="Y87" s="19"/>
      <c r="Z87" s="19"/>
      <c r="AA87" s="19"/>
      <c r="AB87" s="20"/>
      <c r="AD87" s="15">
        <v>-32707</v>
      </c>
      <c r="AI87" s="56"/>
      <c r="AJ87"/>
      <c r="AK87"/>
      <c r="AL87"/>
      <c r="AM87"/>
      <c r="AN87"/>
      <c r="AO87"/>
      <c r="AP87"/>
    </row>
    <row r="88" spans="2:42" ht="15.5" thickBot="1" x14ac:dyDescent="0.9">
      <c r="B88"/>
      <c r="C88"/>
      <c r="E88" s="4" t="s">
        <v>4</v>
      </c>
      <c r="H88" s="4">
        <f>+H84+H85+H87</f>
        <v>132267.52000000002</v>
      </c>
      <c r="J88" s="4" t="e">
        <f>+J77+J78+J81</f>
        <v>#VALUE!</v>
      </c>
      <c r="M88" s="121"/>
      <c r="N88" s="19"/>
      <c r="O88" s="19"/>
      <c r="P88" s="19" t="s">
        <v>106</v>
      </c>
      <c r="Q88" s="19"/>
      <c r="R88" s="19"/>
      <c r="S88" s="19"/>
      <c r="T88" s="20">
        <v>37.450000000000003</v>
      </c>
      <c r="W88" s="19"/>
      <c r="X88" s="19"/>
      <c r="Y88" s="19" t="s">
        <v>106</v>
      </c>
      <c r="Z88" s="19"/>
      <c r="AA88" s="19"/>
      <c r="AB88" s="20">
        <v>70.400000000000006</v>
      </c>
      <c r="AD88" s="17">
        <v>-94101</v>
      </c>
      <c r="AI88" s="56"/>
      <c r="AJ88"/>
      <c r="AK88"/>
      <c r="AL88"/>
      <c r="AM88"/>
      <c r="AN88"/>
      <c r="AO88"/>
      <c r="AP88"/>
    </row>
    <row r="89" spans="2:42" ht="15.5" thickBot="1" x14ac:dyDescent="0.9">
      <c r="B89"/>
      <c r="C89"/>
      <c r="J89" s="4" t="e">
        <f>+J73+J74+J75+J79+J80+J83+J84+J85</f>
        <v>#VALUE!</v>
      </c>
      <c r="M89" s="121"/>
      <c r="N89" s="19"/>
      <c r="O89" s="19" t="s">
        <v>107</v>
      </c>
      <c r="P89" s="19"/>
      <c r="Q89" s="19"/>
      <c r="R89" s="19"/>
      <c r="S89" s="19"/>
      <c r="T89" s="22">
        <f>ROUND(SUM(T87:T88),5)</f>
        <v>37.450000000000003</v>
      </c>
      <c r="W89" s="19"/>
      <c r="X89" s="19" t="s">
        <v>107</v>
      </c>
      <c r="Y89" s="19"/>
      <c r="Z89" s="19"/>
      <c r="AA89" s="19"/>
      <c r="AB89" s="22">
        <f>ROUND(SUM(AB87:AB88),5)</f>
        <v>70.400000000000006</v>
      </c>
      <c r="AI89" s="56"/>
      <c r="AJ89"/>
      <c r="AK89"/>
      <c r="AL89"/>
      <c r="AM89"/>
      <c r="AN89"/>
      <c r="AO89"/>
      <c r="AP89"/>
    </row>
    <row r="90" spans="2:42" ht="15.5" thickBot="1" x14ac:dyDescent="0.9">
      <c r="B90"/>
      <c r="C90"/>
      <c r="G90" s="4" t="s">
        <v>313</v>
      </c>
      <c r="H90" s="4">
        <f>+H54</f>
        <v>132065.52000000002</v>
      </c>
      <c r="J90" s="8" t="e">
        <f>225921-J88-J89</f>
        <v>#VALUE!</v>
      </c>
      <c r="M90" s="121"/>
      <c r="N90" s="19" t="s">
        <v>108</v>
      </c>
      <c r="O90" s="19"/>
      <c r="P90" s="19"/>
      <c r="Q90" s="19"/>
      <c r="R90" s="19"/>
      <c r="S90" s="19"/>
      <c r="T90" s="22">
        <f>ROUND(T86+T89,5)</f>
        <v>37.450000000000003</v>
      </c>
      <c r="W90" s="19" t="s">
        <v>108</v>
      </c>
      <c r="X90" s="19"/>
      <c r="Y90" s="19"/>
      <c r="Z90" s="19"/>
      <c r="AA90" s="19"/>
      <c r="AB90" s="22">
        <f>ROUND(AB86+AB89,5)</f>
        <v>70.400000000000006</v>
      </c>
      <c r="AD90" s="16">
        <f>+AD83+AD85+AD86+AD87+AD88</f>
        <v>-312871</v>
      </c>
      <c r="AI90" s="56"/>
      <c r="AJ90"/>
      <c r="AK90"/>
      <c r="AL90"/>
      <c r="AM90"/>
      <c r="AN90"/>
      <c r="AO90"/>
      <c r="AP90"/>
    </row>
    <row r="91" spans="2:42" ht="15.5" thickBot="1" x14ac:dyDescent="0.9">
      <c r="D91"/>
      <c r="J91" s="4">
        <v>225921</v>
      </c>
      <c r="M91" s="121" t="s">
        <v>32</v>
      </c>
      <c r="N91" s="19"/>
      <c r="O91" s="19"/>
      <c r="P91" s="19"/>
      <c r="Q91" s="19"/>
      <c r="R91" s="19"/>
      <c r="S91" s="19"/>
      <c r="T91" s="23">
        <f>ROUND(T85+T90,5)</f>
        <v>-77401.070000000007</v>
      </c>
      <c r="W91" s="19"/>
      <c r="X91" s="19"/>
      <c r="Y91" s="19"/>
      <c r="Z91" s="19"/>
      <c r="AA91" s="19"/>
      <c r="AB91" s="23">
        <f>ROUND(AB85+AB90,5)</f>
        <v>-244573.73</v>
      </c>
      <c r="AI91" s="56"/>
      <c r="AJ91"/>
      <c r="AK91"/>
      <c r="AL91"/>
      <c r="AM91"/>
      <c r="AN91"/>
      <c r="AO91"/>
      <c r="AP91"/>
    </row>
    <row r="92" spans="2:42" ht="15.5" thickTop="1" x14ac:dyDescent="0.75">
      <c r="D92"/>
      <c r="E92"/>
      <c r="G92" s="140" t="s">
        <v>314</v>
      </c>
      <c r="H92" s="139">
        <f>+H88-H90</f>
        <v>202</v>
      </c>
      <c r="AC92"/>
      <c r="AI92" s="56"/>
      <c r="AJ92"/>
      <c r="AK92"/>
      <c r="AL92"/>
      <c r="AM92"/>
      <c r="AN92"/>
      <c r="AO92"/>
      <c r="AP92"/>
    </row>
    <row r="93" spans="2:42" x14ac:dyDescent="0.75">
      <c r="D93"/>
      <c r="E93"/>
      <c r="G93" s="132"/>
      <c r="H93" s="135"/>
      <c r="P93" s="4" t="s">
        <v>84</v>
      </c>
      <c r="AC93"/>
      <c r="AI93" s="56"/>
      <c r="AJ93"/>
      <c r="AK93"/>
      <c r="AL93"/>
      <c r="AM93"/>
      <c r="AN93"/>
      <c r="AO93"/>
      <c r="AP93"/>
    </row>
    <row r="94" spans="2:42" x14ac:dyDescent="0.75">
      <c r="D94"/>
      <c r="E94"/>
      <c r="G94" s="132"/>
      <c r="H94" s="135"/>
      <c r="P94" s="4" t="s">
        <v>2</v>
      </c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2:42" x14ac:dyDescent="0.75">
      <c r="D95"/>
      <c r="E95"/>
      <c r="H95" s="40" t="s">
        <v>219</v>
      </c>
      <c r="P95" s="4" t="s">
        <v>83</v>
      </c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2:42" ht="16" x14ac:dyDescent="0.8">
      <c r="D96"/>
      <c r="E96"/>
      <c r="G96" s="4" t="s">
        <v>87</v>
      </c>
      <c r="H96" s="24">
        <v>5195.8599999999997</v>
      </c>
      <c r="P96" s="6" t="s">
        <v>4</v>
      </c>
      <c r="Q96" s="6"/>
      <c r="R96" s="6"/>
      <c r="T96" s="77">
        <f>+T6</f>
        <v>225921.41</v>
      </c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4:42" x14ac:dyDescent="0.75">
      <c r="D97"/>
      <c r="E97"/>
      <c r="G97" s="4" t="s">
        <v>199</v>
      </c>
      <c r="H97" s="24">
        <v>661.03</v>
      </c>
      <c r="T97" s="26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4:42" x14ac:dyDescent="0.75">
      <c r="D98"/>
      <c r="E98"/>
      <c r="G98" s="4" t="s">
        <v>220</v>
      </c>
      <c r="H98" s="24">
        <v>1120.05</v>
      </c>
      <c r="P98" s="4" t="s">
        <v>5</v>
      </c>
      <c r="T98" s="26">
        <f>+T14</f>
        <v>56327.68</v>
      </c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4:42" x14ac:dyDescent="0.75">
      <c r="D99"/>
      <c r="E99"/>
      <c r="G99" s="4" t="s">
        <v>88</v>
      </c>
      <c r="H99" s="15">
        <v>52500</v>
      </c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4:42" x14ac:dyDescent="0.75">
      <c r="D100"/>
      <c r="E100"/>
      <c r="G100" s="4" t="s">
        <v>221</v>
      </c>
      <c r="H100" s="24">
        <v>2490.75</v>
      </c>
      <c r="P100" s="1" t="s">
        <v>6</v>
      </c>
      <c r="Q100" s="1"/>
      <c r="R100" s="1"/>
      <c r="T100" s="26">
        <f>+T96-T98</f>
        <v>169593.73</v>
      </c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4:42" x14ac:dyDescent="0.75">
      <c r="D101"/>
      <c r="E101"/>
      <c r="G101" s="4" t="s">
        <v>111</v>
      </c>
      <c r="H101" s="15">
        <v>14200</v>
      </c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4:42" x14ac:dyDescent="0.75">
      <c r="D102"/>
      <c r="E102"/>
      <c r="G102" s="4" t="s">
        <v>89</v>
      </c>
      <c r="H102" s="24">
        <v>32688</v>
      </c>
      <c r="P102" s="4" t="s">
        <v>12</v>
      </c>
      <c r="T102" s="4">
        <v>65030</v>
      </c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4:42" x14ac:dyDescent="0.75">
      <c r="D103"/>
      <c r="E103"/>
      <c r="F103" s="4" t="s">
        <v>91</v>
      </c>
      <c r="G103" s="4" t="s">
        <v>222</v>
      </c>
      <c r="H103" s="24">
        <v>416</v>
      </c>
      <c r="P103" s="35" t="s">
        <v>13</v>
      </c>
      <c r="Q103" s="35"/>
      <c r="R103" s="35"/>
      <c r="T103" s="35">
        <f>+T51+T62</f>
        <v>8571.18</v>
      </c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4:42" x14ac:dyDescent="0.75">
      <c r="E104"/>
      <c r="G104" s="4" t="s">
        <v>90</v>
      </c>
      <c r="H104" s="15">
        <v>15350</v>
      </c>
      <c r="I104" s="86"/>
      <c r="P104" s="32" t="s">
        <v>109</v>
      </c>
      <c r="Q104" s="32"/>
      <c r="R104" s="32"/>
      <c r="T104" s="32">
        <f>+T31+T49+T55+T56+T57</f>
        <v>74864.91</v>
      </c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4:42" ht="15.5" thickBot="1" x14ac:dyDescent="0.9">
      <c r="E105" s="18"/>
      <c r="G105" s="4" t="s">
        <v>164</v>
      </c>
      <c r="H105" s="24">
        <v>1457.03</v>
      </c>
      <c r="P105" s="24" t="s">
        <v>8</v>
      </c>
      <c r="Q105" s="24"/>
      <c r="R105" s="24"/>
      <c r="T105" s="25">
        <f>+T19+T23+T24+T25+T37+T67+T71+T73</f>
        <v>44919.270000000004</v>
      </c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4:42" x14ac:dyDescent="0.75">
      <c r="E106" s="18"/>
      <c r="G106" s="4" t="s">
        <v>223</v>
      </c>
      <c r="H106" s="24">
        <v>1290.46</v>
      </c>
      <c r="P106" s="1" t="s">
        <v>51</v>
      </c>
      <c r="T106" s="4">
        <v>193385</v>
      </c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4:42" x14ac:dyDescent="0.75">
      <c r="E107" s="18"/>
      <c r="F107" s="87"/>
      <c r="H107" s="4">
        <v>127369.18</v>
      </c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4:42" x14ac:dyDescent="0.75">
      <c r="E108" s="87"/>
      <c r="G108" s="88"/>
      <c r="H108" s="86"/>
      <c r="P108" s="1" t="s">
        <v>14</v>
      </c>
      <c r="Q108" s="1"/>
      <c r="R108" s="1"/>
      <c r="T108" s="4">
        <f>+T100-T106</f>
        <v>-23791.26999999999</v>
      </c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4:42" x14ac:dyDescent="0.75">
      <c r="E109" s="4" t="s">
        <v>203</v>
      </c>
      <c r="H109" s="15">
        <f>+H99+H101+H104</f>
        <v>82050</v>
      </c>
      <c r="I109" s="86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4:42" ht="15.5" thickBot="1" x14ac:dyDescent="0.9">
      <c r="E110" s="4" t="s">
        <v>2</v>
      </c>
      <c r="H110" s="25">
        <f>+H96+H97+H98+H100+H102+H103+H105+H106-2031</f>
        <v>43288.18</v>
      </c>
      <c r="I110" s="86"/>
      <c r="P110" s="4" t="s">
        <v>52</v>
      </c>
      <c r="T110" s="4">
        <v>-19508</v>
      </c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4:42" x14ac:dyDescent="0.75">
      <c r="H111" s="40">
        <f>+H109+H110</f>
        <v>125338.18</v>
      </c>
      <c r="I111" s="86"/>
      <c r="P111" s="4" t="s">
        <v>82</v>
      </c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4:42" ht="15.5" thickBot="1" x14ac:dyDescent="0.9">
      <c r="E112" s="4" t="s">
        <v>3</v>
      </c>
      <c r="H112" s="8">
        <v>3293</v>
      </c>
      <c r="I112" s="86"/>
      <c r="P112" s="4" t="s">
        <v>38</v>
      </c>
      <c r="T112" s="4">
        <v>-9425</v>
      </c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5:42" x14ac:dyDescent="0.75">
      <c r="E113" s="4" t="s">
        <v>4</v>
      </c>
      <c r="F113" s="86"/>
      <c r="H113" s="4">
        <f>+H109+H110+H112</f>
        <v>128631.18</v>
      </c>
      <c r="I113" s="86"/>
      <c r="P113" s="4" t="s">
        <v>39</v>
      </c>
      <c r="T113" s="4">
        <v>-24678</v>
      </c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5:42" x14ac:dyDescent="0.75">
      <c r="E114" s="86"/>
      <c r="F114" s="86"/>
      <c r="G114" s="86"/>
      <c r="H114" s="86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5:42" x14ac:dyDescent="0.75">
      <c r="E115" s="86"/>
      <c r="F115" s="86"/>
      <c r="G115" s="86"/>
      <c r="H115" s="86"/>
      <c r="P115" s="1" t="s">
        <v>15</v>
      </c>
      <c r="Q115" s="1"/>
      <c r="R115" s="1"/>
      <c r="T115" s="4">
        <f>+T108+T110+T111+T112+T113</f>
        <v>-77402.26999999999</v>
      </c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5:42" x14ac:dyDescent="0.75">
      <c r="E116" s="86"/>
      <c r="F116" s="86"/>
      <c r="G116" s="86"/>
      <c r="H116" s="8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5:42" x14ac:dyDescent="0.75">
      <c r="E117" s="86"/>
      <c r="F117" s="86"/>
      <c r="G117" s="86"/>
      <c r="H117" s="86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5:42" x14ac:dyDescent="0.75">
      <c r="E118" s="86"/>
      <c r="G118" s="86"/>
      <c r="H118" s="86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5:42" ht="15.5" thickBot="1" x14ac:dyDescent="0.9">
      <c r="R119" s="29"/>
      <c r="S119" s="29"/>
      <c r="T119" s="51" t="s">
        <v>168</v>
      </c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5:42" ht="15.5" thickTop="1" x14ac:dyDescent="0.75">
      <c r="R120" s="19"/>
      <c r="S120" s="19" t="s">
        <v>87</v>
      </c>
      <c r="T120" s="20">
        <v>3715.73</v>
      </c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5:42" x14ac:dyDescent="0.75">
      <c r="R121" s="19"/>
      <c r="S121" s="19" t="s">
        <v>199</v>
      </c>
      <c r="T121" s="20">
        <v>3866.24</v>
      </c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5:42" x14ac:dyDescent="0.75">
      <c r="R122" s="19"/>
      <c r="S122" s="19" t="s">
        <v>158</v>
      </c>
      <c r="T122" s="20">
        <v>976.18</v>
      </c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5:42" x14ac:dyDescent="0.75">
      <c r="R123" s="19"/>
      <c r="S123" s="19" t="s">
        <v>88</v>
      </c>
      <c r="T123" s="20">
        <v>123800</v>
      </c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5:42" x14ac:dyDescent="0.75">
      <c r="R124" s="19"/>
      <c r="S124" s="19" t="s">
        <v>111</v>
      </c>
      <c r="T124" s="20">
        <v>11000</v>
      </c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5:42" x14ac:dyDescent="0.75">
      <c r="R125" s="19"/>
      <c r="S125" s="19" t="s">
        <v>89</v>
      </c>
      <c r="T125" s="20">
        <v>43975.8</v>
      </c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5:42" x14ac:dyDescent="0.75">
      <c r="R126" s="19"/>
      <c r="S126" s="19" t="s">
        <v>200</v>
      </c>
      <c r="T126" s="20">
        <v>606.63</v>
      </c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5:42" x14ac:dyDescent="0.75">
      <c r="R127" s="19"/>
      <c r="S127" s="19" t="s">
        <v>90</v>
      </c>
      <c r="T127" s="20">
        <v>32950</v>
      </c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5:42" x14ac:dyDescent="0.75">
      <c r="R128" s="19"/>
      <c r="S128" s="19" t="s">
        <v>164</v>
      </c>
      <c r="T128" s="20">
        <v>2174.9299999999998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5:42" x14ac:dyDescent="0.75">
      <c r="R129" s="19"/>
      <c r="S129" s="19" t="s">
        <v>112</v>
      </c>
      <c r="T129" s="20">
        <v>535.91999999999996</v>
      </c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5:42" x14ac:dyDescent="0.75">
      <c r="R130" s="19"/>
      <c r="S130" s="19" t="s">
        <v>201</v>
      </c>
      <c r="T130" s="20">
        <v>590</v>
      </c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5:42" ht="15.5" thickBot="1" x14ac:dyDescent="0.9">
      <c r="R131" s="19"/>
      <c r="S131" s="19" t="s">
        <v>202</v>
      </c>
      <c r="T131" s="20">
        <v>509.98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5:42" ht="15.5" thickBot="1" x14ac:dyDescent="0.9">
      <c r="R132" s="19" t="s">
        <v>91</v>
      </c>
      <c r="S132" s="19"/>
      <c r="T132" s="23">
        <f>ROUND(SUM(T120:T131),5)</f>
        <v>224701.41</v>
      </c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5:42" ht="15.5" thickTop="1" x14ac:dyDescent="0.75">
      <c r="Y133" s="56"/>
      <c r="Z133"/>
      <c r="AA133"/>
      <c r="AB133"/>
      <c r="AJ133"/>
      <c r="AK133"/>
      <c r="AL133"/>
      <c r="AM133"/>
      <c r="AN133"/>
      <c r="AO133"/>
      <c r="AP133"/>
    </row>
    <row r="134" spans="15:42" x14ac:dyDescent="0.75">
      <c r="O134" s="4" t="s">
        <v>203</v>
      </c>
      <c r="T134" s="4">
        <f>+T123+T124+T127</f>
        <v>167750</v>
      </c>
      <c r="Y134" s="56"/>
      <c r="Z134"/>
      <c r="AA134"/>
      <c r="AB134"/>
      <c r="AJ134"/>
      <c r="AK134"/>
      <c r="AL134"/>
      <c r="AM134"/>
      <c r="AN134"/>
      <c r="AO134"/>
      <c r="AP134"/>
    </row>
    <row r="135" spans="15:42" x14ac:dyDescent="0.75">
      <c r="O135" s="4" t="s">
        <v>2</v>
      </c>
      <c r="T135" s="4">
        <f>+T120+T121+T122+T125+T126+T129+T130+T131</f>
        <v>54776.480000000003</v>
      </c>
      <c r="Y135" s="56"/>
      <c r="Z135"/>
      <c r="AA135"/>
      <c r="AB135"/>
      <c r="AJ135"/>
      <c r="AK135"/>
      <c r="AL135"/>
      <c r="AM135"/>
      <c r="AN135"/>
      <c r="AO135"/>
      <c r="AP135"/>
    </row>
    <row r="136" spans="15:42" ht="15.5" thickBot="1" x14ac:dyDescent="0.9">
      <c r="O136" s="4" t="s">
        <v>3</v>
      </c>
      <c r="T136" s="8">
        <f>225921-T134-T135</f>
        <v>3394.5199999999968</v>
      </c>
      <c r="Y136" s="56"/>
      <c r="Z136"/>
      <c r="AA136"/>
      <c r="AB136"/>
      <c r="AJ136"/>
      <c r="AK136"/>
      <c r="AL136"/>
      <c r="AM136"/>
      <c r="AN136"/>
      <c r="AO136"/>
      <c r="AP136"/>
    </row>
    <row r="137" spans="15:42" x14ac:dyDescent="0.75">
      <c r="O137" s="4" t="s">
        <v>4</v>
      </c>
      <c r="T137" s="4">
        <v>225921</v>
      </c>
      <c r="Y137" s="56"/>
      <c r="Z137"/>
      <c r="AA137"/>
      <c r="AB137"/>
      <c r="AJ137"/>
      <c r="AK137"/>
      <c r="AL137"/>
      <c r="AM137"/>
      <c r="AN137"/>
      <c r="AO137"/>
      <c r="AP137"/>
    </row>
    <row r="138" spans="15:42" x14ac:dyDescent="0.75">
      <c r="Y138" s="56"/>
      <c r="Z138"/>
      <c r="AA138"/>
      <c r="AB138"/>
      <c r="AJ138"/>
      <c r="AK138"/>
      <c r="AL138"/>
      <c r="AM138"/>
      <c r="AN138"/>
      <c r="AO138"/>
      <c r="AP138"/>
    </row>
    <row r="139" spans="15:42" x14ac:dyDescent="0.75">
      <c r="Y139" s="56"/>
      <c r="Z139"/>
      <c r="AA139"/>
      <c r="AB139"/>
    </row>
    <row r="140" spans="15:42" x14ac:dyDescent="0.75">
      <c r="Y140" s="56"/>
      <c r="Z140"/>
      <c r="AA140"/>
      <c r="AB140"/>
    </row>
    <row r="141" spans="15:42" x14ac:dyDescent="0.75">
      <c r="Y141" s="56"/>
      <c r="Z141"/>
      <c r="AA141"/>
      <c r="AB141"/>
    </row>
    <row r="142" spans="15:42" x14ac:dyDescent="0.75">
      <c r="Y142" s="56"/>
      <c r="Z142"/>
      <c r="AA142"/>
      <c r="AB142"/>
    </row>
    <row r="143" spans="15:42" x14ac:dyDescent="0.75">
      <c r="Z143"/>
      <c r="AA143"/>
      <c r="AB143"/>
    </row>
    <row r="144" spans="15:42" x14ac:dyDescent="0.75">
      <c r="Z144"/>
      <c r="AA144"/>
      <c r="AB144"/>
    </row>
    <row r="145" spans="26:28" x14ac:dyDescent="0.75">
      <c r="Z145"/>
      <c r="AA145"/>
      <c r="AB145"/>
    </row>
    <row r="146" spans="26:28" x14ac:dyDescent="0.75">
      <c r="Z146"/>
      <c r="AA146"/>
      <c r="AB146"/>
    </row>
    <row r="147" spans="26:28" x14ac:dyDescent="0.75">
      <c r="Z147"/>
      <c r="AA147"/>
      <c r="AB147"/>
    </row>
  </sheetData>
  <pageMargins left="0.7" right="0.7" top="0.75" bottom="0.75" header="0.3" footer="0.3"/>
  <pageSetup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9AF9-A986-4149-A51B-36A69747BCA1}">
  <dimension ref="A1:T103"/>
  <sheetViews>
    <sheetView workbookViewId="0">
      <selection sqref="A1:B1048576"/>
    </sheetView>
  </sheetViews>
  <sheetFormatPr defaultRowHeight="14.75" x14ac:dyDescent="0.75"/>
  <cols>
    <col min="1" max="11" width="8.7265625" style="18"/>
    <col min="17" max="17" width="18.1796875" customWidth="1"/>
    <col min="18" max="18" width="11.40625" customWidth="1"/>
  </cols>
  <sheetData>
    <row r="1" spans="12:20" x14ac:dyDescent="0.75">
      <c r="L1" s="4"/>
      <c r="M1" s="4"/>
      <c r="N1" s="4"/>
      <c r="O1" s="4"/>
      <c r="P1" s="4"/>
      <c r="Q1" s="4"/>
      <c r="R1" s="4"/>
      <c r="S1" s="4"/>
      <c r="T1" s="18"/>
    </row>
    <row r="2" spans="12:20" ht="15.5" thickBot="1" x14ac:dyDescent="0.9">
      <c r="L2" s="29"/>
      <c r="M2" s="29"/>
      <c r="N2" s="29"/>
      <c r="O2" s="29"/>
      <c r="P2" s="29"/>
      <c r="Q2" s="29"/>
      <c r="R2" s="51" t="s">
        <v>150</v>
      </c>
      <c r="S2" s="18"/>
      <c r="T2" s="18"/>
    </row>
    <row r="3" spans="12:20" ht="15.5" thickTop="1" x14ac:dyDescent="0.75">
      <c r="L3" s="19"/>
      <c r="M3" s="19" t="s">
        <v>96</v>
      </c>
      <c r="N3" s="19"/>
      <c r="O3" s="19"/>
      <c r="P3" s="19"/>
      <c r="Q3" s="19"/>
      <c r="R3" s="20"/>
      <c r="S3" s="18"/>
      <c r="T3" s="18"/>
    </row>
    <row r="4" spans="12:20" x14ac:dyDescent="0.75">
      <c r="L4" s="19"/>
      <c r="M4" s="19"/>
      <c r="N4" s="19"/>
      <c r="O4" s="19" t="s">
        <v>59</v>
      </c>
      <c r="P4" s="19"/>
      <c r="Q4" s="19"/>
      <c r="R4" s="31">
        <v>253089.69</v>
      </c>
      <c r="S4" s="18"/>
      <c r="T4" s="18"/>
    </row>
    <row r="5" spans="12:20" x14ac:dyDescent="0.75">
      <c r="L5" s="19"/>
      <c r="M5" s="19"/>
      <c r="N5" s="19"/>
      <c r="O5" s="19" t="s">
        <v>97</v>
      </c>
      <c r="P5" s="19"/>
      <c r="Q5" s="19"/>
      <c r="R5" s="20"/>
      <c r="S5" s="18"/>
      <c r="T5" s="18"/>
    </row>
    <row r="6" spans="12:20" ht="15.5" thickBot="1" x14ac:dyDescent="0.9">
      <c r="L6" s="19"/>
      <c r="M6" s="19"/>
      <c r="N6" s="19"/>
      <c r="O6" s="19"/>
      <c r="P6" s="19" t="s">
        <v>5</v>
      </c>
      <c r="Q6" s="19"/>
      <c r="R6" s="20">
        <v>73150.86</v>
      </c>
      <c r="S6" s="18"/>
      <c r="T6" s="18"/>
    </row>
    <row r="7" spans="12:20" ht="15.5" thickBot="1" x14ac:dyDescent="0.9">
      <c r="L7" s="19"/>
      <c r="M7" s="19"/>
      <c r="N7" s="19"/>
      <c r="O7" s="19" t="s">
        <v>98</v>
      </c>
      <c r="P7" s="19"/>
      <c r="Q7" s="19"/>
      <c r="R7" s="48">
        <f>ROUND(SUM(R5:R6),5)</f>
        <v>73150.86</v>
      </c>
      <c r="S7" s="18"/>
      <c r="T7" s="18"/>
    </row>
    <row r="8" spans="12:20" x14ac:dyDescent="0.75">
      <c r="L8" s="19"/>
      <c r="M8" s="19"/>
      <c r="N8" s="19" t="s">
        <v>6</v>
      </c>
      <c r="O8" s="19"/>
      <c r="P8" s="19"/>
      <c r="Q8" s="19"/>
      <c r="R8" s="31">
        <f>ROUND(R4-R7,5)</f>
        <v>179938.83</v>
      </c>
      <c r="S8" s="18"/>
      <c r="T8" s="18"/>
    </row>
    <row r="9" spans="12:20" x14ac:dyDescent="0.75">
      <c r="L9" s="19"/>
      <c r="M9" s="19"/>
      <c r="N9" s="19"/>
      <c r="O9" s="19" t="s">
        <v>60</v>
      </c>
      <c r="P9" s="19"/>
      <c r="Q9" s="19"/>
      <c r="R9" s="20"/>
      <c r="S9" s="18"/>
      <c r="T9" s="18"/>
    </row>
    <row r="10" spans="12:20" x14ac:dyDescent="0.75">
      <c r="L10" s="19"/>
      <c r="M10" s="19"/>
      <c r="N10" s="19"/>
      <c r="O10" s="19"/>
      <c r="P10" s="19" t="s">
        <v>7</v>
      </c>
      <c r="Q10" s="19"/>
      <c r="R10" s="34">
        <v>10362.040000000001</v>
      </c>
      <c r="S10" s="18"/>
      <c r="T10" s="18"/>
    </row>
    <row r="11" spans="12:20" x14ac:dyDescent="0.75">
      <c r="L11" s="19"/>
      <c r="M11" s="19"/>
      <c r="N11" s="19"/>
      <c r="O11" s="19"/>
      <c r="P11" s="19" t="s">
        <v>61</v>
      </c>
      <c r="Q11" s="19"/>
      <c r="R11" s="34">
        <v>0</v>
      </c>
      <c r="S11" s="18"/>
      <c r="T11" s="18"/>
    </row>
    <row r="12" spans="12:20" x14ac:dyDescent="0.75">
      <c r="L12" s="19"/>
      <c r="M12" s="19"/>
      <c r="N12" s="19"/>
      <c r="O12" s="19"/>
      <c r="P12" s="19" t="s">
        <v>62</v>
      </c>
      <c r="Q12" s="19"/>
      <c r="R12" s="34">
        <v>270</v>
      </c>
      <c r="S12" s="18"/>
      <c r="T12" s="18"/>
    </row>
    <row r="13" spans="12:20" x14ac:dyDescent="0.75">
      <c r="L13" s="19"/>
      <c r="M13" s="19"/>
      <c r="N13" s="19"/>
      <c r="O13" s="19"/>
      <c r="P13" s="19" t="s">
        <v>63</v>
      </c>
      <c r="Q13" s="19"/>
      <c r="R13" s="34">
        <v>481.55</v>
      </c>
      <c r="S13" s="18"/>
      <c r="T13" s="18"/>
    </row>
    <row r="14" spans="12:20" x14ac:dyDescent="0.75">
      <c r="L14" s="19"/>
      <c r="M14" s="19"/>
      <c r="N14" s="19"/>
      <c r="O14" s="19"/>
      <c r="P14" s="19" t="s">
        <v>64</v>
      </c>
      <c r="Q14" s="19"/>
      <c r="R14" s="49">
        <v>1854.01</v>
      </c>
      <c r="S14" s="18"/>
      <c r="T14" s="18"/>
    </row>
    <row r="15" spans="12:20" x14ac:dyDescent="0.75">
      <c r="L15" s="19"/>
      <c r="M15" s="19"/>
      <c r="N15" s="19"/>
      <c r="O15" s="19"/>
      <c r="P15" s="19" t="s">
        <v>65</v>
      </c>
      <c r="Q15" s="19"/>
      <c r="R15" s="20">
        <v>39948.68</v>
      </c>
      <c r="S15" s="18"/>
      <c r="T15" s="18"/>
    </row>
    <row r="16" spans="12:20" x14ac:dyDescent="0.75">
      <c r="L16" s="19"/>
      <c r="M16" s="19"/>
      <c r="N16" s="19"/>
      <c r="O16" s="19"/>
      <c r="P16" s="19" t="s">
        <v>66</v>
      </c>
      <c r="Q16" s="19"/>
      <c r="R16" s="33">
        <v>770.32</v>
      </c>
      <c r="S16" s="18"/>
      <c r="T16" s="18"/>
    </row>
    <row r="17" spans="12:20" x14ac:dyDescent="0.75">
      <c r="L17" s="19"/>
      <c r="M17" s="19"/>
      <c r="N17" s="19"/>
      <c r="O17" s="19"/>
      <c r="P17" s="19" t="s">
        <v>93</v>
      </c>
      <c r="Q17" s="19"/>
      <c r="R17" s="34">
        <v>1306.77</v>
      </c>
      <c r="S17" s="18"/>
      <c r="T17" s="18"/>
    </row>
    <row r="18" spans="12:20" x14ac:dyDescent="0.75">
      <c r="L18" s="19"/>
      <c r="M18" s="19"/>
      <c r="N18" s="19"/>
      <c r="O18" s="19"/>
      <c r="P18" s="19" t="s">
        <v>67</v>
      </c>
      <c r="Q18" s="19"/>
      <c r="R18" s="49">
        <v>18579.23</v>
      </c>
      <c r="S18" s="18"/>
      <c r="T18" s="18"/>
    </row>
    <row r="19" spans="12:20" x14ac:dyDescent="0.75">
      <c r="L19" s="19"/>
      <c r="M19" s="19"/>
      <c r="N19" s="19"/>
      <c r="O19" s="19"/>
      <c r="P19" s="19" t="s">
        <v>68</v>
      </c>
      <c r="Q19" s="19"/>
      <c r="R19" s="20">
        <v>132</v>
      </c>
      <c r="S19" s="18"/>
      <c r="T19" s="18"/>
    </row>
    <row r="20" spans="12:20" x14ac:dyDescent="0.75">
      <c r="L20" s="19"/>
      <c r="M20" s="19"/>
      <c r="N20" s="19"/>
      <c r="O20" s="19"/>
      <c r="P20" s="19" t="s">
        <v>85</v>
      </c>
      <c r="Q20" s="19"/>
      <c r="R20" s="34">
        <v>-5605.53</v>
      </c>
      <c r="S20" s="18"/>
      <c r="T20" s="18"/>
    </row>
    <row r="21" spans="12:20" x14ac:dyDescent="0.75">
      <c r="L21" s="19"/>
      <c r="M21" s="19"/>
      <c r="N21" s="19"/>
      <c r="O21" s="19"/>
      <c r="P21" s="19" t="s">
        <v>69</v>
      </c>
      <c r="Q21" s="19"/>
      <c r="R21" s="20">
        <v>6698.21</v>
      </c>
      <c r="S21" s="18"/>
      <c r="T21" s="18"/>
    </row>
    <row r="22" spans="12:20" x14ac:dyDescent="0.75">
      <c r="L22" s="19"/>
      <c r="M22" s="19"/>
      <c r="N22" s="19"/>
      <c r="O22" s="19"/>
      <c r="P22" s="19" t="s">
        <v>100</v>
      </c>
      <c r="Q22" s="19"/>
      <c r="R22" s="20"/>
      <c r="S22" s="18"/>
      <c r="T22" s="18"/>
    </row>
    <row r="23" spans="12:20" x14ac:dyDescent="0.75">
      <c r="L23" s="19"/>
      <c r="M23" s="19"/>
      <c r="N23" s="19"/>
      <c r="O23" s="19"/>
      <c r="P23" s="19"/>
      <c r="Q23" s="19" t="s">
        <v>121</v>
      </c>
      <c r="R23" s="20">
        <v>6258.17</v>
      </c>
      <c r="S23" s="18"/>
      <c r="T23" s="18"/>
    </row>
    <row r="24" spans="12:20" x14ac:dyDescent="0.75">
      <c r="L24" s="19"/>
      <c r="M24" s="19"/>
      <c r="N24" s="19"/>
      <c r="O24" s="19"/>
      <c r="P24" s="19"/>
      <c r="Q24" s="19" t="s">
        <v>122</v>
      </c>
      <c r="R24" s="20">
        <v>1745.91</v>
      </c>
      <c r="S24" s="18"/>
      <c r="T24" s="18"/>
    </row>
    <row r="25" spans="12:20" x14ac:dyDescent="0.75">
      <c r="L25" s="19"/>
      <c r="M25" s="19"/>
      <c r="N25" s="19"/>
      <c r="O25" s="19"/>
      <c r="P25" s="19"/>
      <c r="Q25" s="19" t="s">
        <v>123</v>
      </c>
      <c r="R25" s="49">
        <v>9331.6200000000008</v>
      </c>
      <c r="S25" s="18"/>
      <c r="T25" s="18"/>
    </row>
    <row r="26" spans="12:20" ht="15.5" thickBot="1" x14ac:dyDescent="0.9">
      <c r="L26" s="19"/>
      <c r="M26" s="19"/>
      <c r="N26" s="19"/>
      <c r="O26" s="19"/>
      <c r="P26" s="19"/>
      <c r="Q26" s="19" t="s">
        <v>124</v>
      </c>
      <c r="R26" s="67">
        <v>24266.93</v>
      </c>
      <c r="S26" s="18"/>
      <c r="T26" s="18"/>
    </row>
    <row r="27" spans="12:20" x14ac:dyDescent="0.75">
      <c r="L27" s="19"/>
      <c r="M27" s="19"/>
      <c r="N27" s="19"/>
      <c r="O27" s="19"/>
      <c r="P27" s="19" t="s">
        <v>125</v>
      </c>
      <c r="Q27" s="19"/>
      <c r="R27" s="20">
        <f>ROUND(SUM(R22:R26),5)</f>
        <v>41602.629999999997</v>
      </c>
      <c r="S27" s="18"/>
      <c r="T27" s="18"/>
    </row>
    <row r="28" spans="12:20" x14ac:dyDescent="0.75">
      <c r="L28" s="19"/>
      <c r="M28" s="19"/>
      <c r="N28" s="19"/>
      <c r="O28" s="19"/>
      <c r="P28" s="19" t="s">
        <v>70</v>
      </c>
      <c r="Q28" s="19"/>
      <c r="R28" s="20">
        <v>60</v>
      </c>
      <c r="S28" s="18"/>
      <c r="T28" s="18"/>
    </row>
    <row r="29" spans="12:20" x14ac:dyDescent="0.75">
      <c r="L29" s="19"/>
      <c r="M29" s="19"/>
      <c r="N29" s="19"/>
      <c r="O29" s="19"/>
      <c r="P29" s="19" t="s">
        <v>126</v>
      </c>
      <c r="Q29" s="19"/>
      <c r="R29" s="20">
        <v>-4519.66</v>
      </c>
      <c r="S29" s="18"/>
      <c r="T29" s="18"/>
    </row>
    <row r="30" spans="12:20" x14ac:dyDescent="0.75">
      <c r="L30" s="19"/>
      <c r="M30" s="19"/>
      <c r="N30" s="19"/>
      <c r="O30" s="19"/>
      <c r="P30" s="19" t="s">
        <v>71</v>
      </c>
      <c r="Q30" s="19"/>
      <c r="R30" s="36">
        <v>610.74</v>
      </c>
      <c r="S30" s="18"/>
      <c r="T30" s="18"/>
    </row>
    <row r="31" spans="12:20" x14ac:dyDescent="0.75">
      <c r="L31" s="19"/>
      <c r="M31" s="19"/>
      <c r="N31" s="19"/>
      <c r="O31" s="19"/>
      <c r="P31" s="19" t="s">
        <v>73</v>
      </c>
      <c r="Q31" s="19"/>
      <c r="R31" s="33">
        <v>52747.65</v>
      </c>
      <c r="S31" s="18"/>
      <c r="T31" s="18"/>
    </row>
    <row r="32" spans="12:20" x14ac:dyDescent="0.75">
      <c r="L32" s="19"/>
      <c r="M32" s="19"/>
      <c r="N32" s="19"/>
      <c r="O32" s="19"/>
      <c r="P32" s="19" t="s">
        <v>74</v>
      </c>
      <c r="Q32" s="19"/>
      <c r="R32" s="36">
        <v>7170.57</v>
      </c>
      <c r="S32" s="18"/>
      <c r="T32" s="18"/>
    </row>
    <row r="33" spans="12:20" x14ac:dyDescent="0.75">
      <c r="L33" s="19"/>
      <c r="M33" s="19"/>
      <c r="N33" s="19"/>
      <c r="O33" s="19"/>
      <c r="P33" s="19" t="s">
        <v>76</v>
      </c>
      <c r="Q33" s="19"/>
      <c r="R33" s="34">
        <v>675</v>
      </c>
      <c r="S33" s="18"/>
      <c r="T33" s="18"/>
    </row>
    <row r="34" spans="12:20" x14ac:dyDescent="0.75">
      <c r="L34" s="19"/>
      <c r="M34" s="19"/>
      <c r="N34" s="19"/>
      <c r="O34" s="19"/>
      <c r="P34" s="19" t="s">
        <v>77</v>
      </c>
      <c r="Q34" s="19"/>
      <c r="R34" s="34">
        <v>23719.05</v>
      </c>
      <c r="S34" s="18"/>
      <c r="T34" s="18"/>
    </row>
    <row r="35" spans="12:20" x14ac:dyDescent="0.75">
      <c r="L35" s="19"/>
      <c r="M35" s="19"/>
      <c r="N35" s="19"/>
      <c r="O35" s="19"/>
      <c r="P35" s="19" t="s">
        <v>78</v>
      </c>
      <c r="Q35" s="19"/>
      <c r="R35" s="20">
        <v>1800</v>
      </c>
      <c r="S35" s="18"/>
      <c r="T35" s="18"/>
    </row>
    <row r="36" spans="12:20" x14ac:dyDescent="0.75">
      <c r="L36" s="19"/>
      <c r="M36" s="19"/>
      <c r="N36" s="19"/>
      <c r="O36" s="19"/>
      <c r="P36" s="19" t="s">
        <v>79</v>
      </c>
      <c r="Q36" s="19"/>
      <c r="R36" s="34">
        <v>13818</v>
      </c>
      <c r="S36" s="18"/>
      <c r="T36" s="18"/>
    </row>
    <row r="37" spans="12:20" x14ac:dyDescent="0.75">
      <c r="L37" s="19"/>
      <c r="M37" s="19"/>
      <c r="N37" s="19"/>
      <c r="O37" s="19"/>
      <c r="P37" s="19" t="s">
        <v>80</v>
      </c>
      <c r="Q37" s="19"/>
      <c r="R37" s="36">
        <v>6596.2</v>
      </c>
      <c r="S37" s="18"/>
      <c r="T37" s="18"/>
    </row>
    <row r="38" spans="12:20" ht="15.5" thickBot="1" x14ac:dyDescent="0.9">
      <c r="L38" s="19"/>
      <c r="M38" s="19"/>
      <c r="N38" s="19"/>
      <c r="O38" s="19"/>
      <c r="P38" s="19" t="s">
        <v>81</v>
      </c>
      <c r="Q38" s="19"/>
      <c r="R38" s="20">
        <v>7477.33</v>
      </c>
      <c r="S38" s="18"/>
      <c r="T38" s="18"/>
    </row>
    <row r="39" spans="12:20" ht="15.5" thickBot="1" x14ac:dyDescent="0.9">
      <c r="L39" s="19"/>
      <c r="M39" s="19"/>
      <c r="N39" s="19"/>
      <c r="O39" s="19" t="s">
        <v>102</v>
      </c>
      <c r="P39" s="19"/>
      <c r="Q39" s="19"/>
      <c r="R39" s="21">
        <f>ROUND(SUM(R9:R21)+SUM(R27:R38),5)</f>
        <v>226554.79</v>
      </c>
      <c r="S39" s="18"/>
      <c r="T39" s="18"/>
    </row>
    <row r="40" spans="12:20" x14ac:dyDescent="0.75">
      <c r="L40" s="19"/>
      <c r="M40" s="19" t="s">
        <v>103</v>
      </c>
      <c r="N40" s="19"/>
      <c r="O40" s="19"/>
      <c r="P40" s="19"/>
      <c r="Q40" s="19"/>
      <c r="R40" s="20">
        <f>ROUND(R3+R8-R39,5)</f>
        <v>-46615.96</v>
      </c>
      <c r="S40" s="18"/>
      <c r="T40" s="18"/>
    </row>
    <row r="41" spans="12:20" x14ac:dyDescent="0.75">
      <c r="L41" s="19"/>
      <c r="M41" s="19" t="s">
        <v>104</v>
      </c>
      <c r="N41" s="19"/>
      <c r="O41" s="19"/>
      <c r="P41" s="19"/>
      <c r="Q41" s="19"/>
      <c r="R41" s="20"/>
      <c r="S41" s="18"/>
      <c r="T41" s="18"/>
    </row>
    <row r="42" spans="12:20" x14ac:dyDescent="0.75">
      <c r="L42" s="19"/>
      <c r="M42" s="19"/>
      <c r="N42" s="19" t="s">
        <v>105</v>
      </c>
      <c r="O42" s="19"/>
      <c r="P42" s="19"/>
      <c r="Q42" s="19"/>
      <c r="R42" s="20"/>
      <c r="S42" s="18"/>
      <c r="T42" s="18"/>
    </row>
    <row r="43" spans="12:20" ht="15.5" thickBot="1" x14ac:dyDescent="0.9">
      <c r="L43" s="19"/>
      <c r="M43" s="19"/>
      <c r="N43" s="19"/>
      <c r="O43" s="19" t="s">
        <v>106</v>
      </c>
      <c r="P43" s="19"/>
      <c r="Q43" s="19"/>
      <c r="R43" s="20">
        <v>0.12</v>
      </c>
      <c r="S43" s="18"/>
      <c r="T43" s="18"/>
    </row>
    <row r="44" spans="12:20" ht="15.5" thickBot="1" x14ac:dyDescent="0.9">
      <c r="L44" s="19"/>
      <c r="M44" s="19"/>
      <c r="N44" s="19" t="s">
        <v>107</v>
      </c>
      <c r="O44" s="19"/>
      <c r="P44" s="19"/>
      <c r="Q44" s="19"/>
      <c r="R44" s="22">
        <f>ROUND(SUM(R42:R43),5)</f>
        <v>0.12</v>
      </c>
      <c r="S44" s="18"/>
      <c r="T44" s="18"/>
    </row>
    <row r="45" spans="12:20" ht="15.5" thickBot="1" x14ac:dyDescent="0.9">
      <c r="L45" s="19"/>
      <c r="M45" s="19" t="s">
        <v>108</v>
      </c>
      <c r="N45" s="19"/>
      <c r="O45" s="19"/>
      <c r="P45" s="19"/>
      <c r="Q45" s="19"/>
      <c r="R45" s="22">
        <f>ROUND(R41+R44,5)</f>
        <v>0.12</v>
      </c>
      <c r="S45" s="18"/>
      <c r="T45" s="18"/>
    </row>
    <row r="46" spans="12:20" ht="15.5" thickBot="1" x14ac:dyDescent="0.9">
      <c r="L46" s="19" t="s">
        <v>32</v>
      </c>
      <c r="M46" s="19"/>
      <c r="N46" s="19"/>
      <c r="O46" s="19"/>
      <c r="P46" s="19"/>
      <c r="Q46" s="19"/>
      <c r="R46" s="23">
        <f>ROUND(R40+R45,5)</f>
        <v>-46615.839999999997</v>
      </c>
      <c r="S46" s="18"/>
      <c r="T46" s="18"/>
    </row>
    <row r="47" spans="12:20" ht="15.5" thickTop="1" x14ac:dyDescent="0.75">
      <c r="L47" s="4"/>
      <c r="M47" s="4"/>
      <c r="N47" s="4"/>
      <c r="O47" s="4"/>
      <c r="P47" s="4"/>
      <c r="Q47" s="4"/>
      <c r="R47" s="4"/>
      <c r="S47" s="4"/>
      <c r="T47" s="18"/>
    </row>
    <row r="48" spans="12:20" x14ac:dyDescent="0.75">
      <c r="L48" s="4"/>
      <c r="M48" s="4"/>
      <c r="N48" s="4"/>
      <c r="O48" s="4"/>
      <c r="P48" s="4"/>
      <c r="Q48" s="4"/>
      <c r="R48" s="4"/>
      <c r="S48" s="4"/>
      <c r="T48" s="18"/>
    </row>
    <row r="49" spans="12:20" x14ac:dyDescent="0.75">
      <c r="L49" s="4"/>
      <c r="M49" s="4"/>
      <c r="N49" s="4"/>
      <c r="O49" s="4"/>
      <c r="P49" s="4"/>
      <c r="Q49" s="4"/>
      <c r="R49" s="4"/>
      <c r="S49" s="4"/>
      <c r="T49" s="4"/>
    </row>
    <row r="50" spans="12:20" x14ac:dyDescent="0.75">
      <c r="L50" s="4"/>
      <c r="M50" s="4"/>
      <c r="N50" s="4"/>
      <c r="O50" s="1" t="s">
        <v>37</v>
      </c>
      <c r="P50" s="1"/>
      <c r="Q50" s="1"/>
      <c r="R50" s="1"/>
      <c r="S50" s="4"/>
      <c r="T50" s="1"/>
    </row>
    <row r="51" spans="12:20" x14ac:dyDescent="0.75">
      <c r="L51" s="4"/>
      <c r="M51" s="4"/>
      <c r="N51" s="4"/>
      <c r="O51" s="1" t="s">
        <v>151</v>
      </c>
      <c r="P51" s="1"/>
      <c r="Q51" s="1"/>
      <c r="R51" s="2">
        <v>2019</v>
      </c>
      <c r="S51" s="4"/>
      <c r="T51" s="2">
        <v>2019</v>
      </c>
    </row>
    <row r="52" spans="12:20" x14ac:dyDescent="0.75">
      <c r="L52" s="4"/>
      <c r="M52" s="4"/>
      <c r="N52" s="4"/>
      <c r="O52" s="1" t="s">
        <v>50</v>
      </c>
      <c r="P52" s="4"/>
      <c r="Q52" s="4"/>
      <c r="R52" s="4"/>
      <c r="S52" s="4"/>
      <c r="T52" s="4"/>
    </row>
    <row r="53" spans="12:20" x14ac:dyDescent="0.75">
      <c r="L53" s="4"/>
      <c r="M53" s="4"/>
      <c r="N53" s="4"/>
      <c r="O53" s="4"/>
      <c r="P53" s="4"/>
      <c r="Q53" s="4"/>
      <c r="R53" s="4"/>
      <c r="S53" s="4"/>
      <c r="T53" s="4"/>
    </row>
    <row r="54" spans="12:20" x14ac:dyDescent="0.75">
      <c r="L54" s="4"/>
      <c r="M54" s="4"/>
      <c r="N54" s="4"/>
      <c r="O54" s="4" t="s">
        <v>84</v>
      </c>
      <c r="P54" s="4"/>
      <c r="Q54" s="4"/>
      <c r="R54" s="4">
        <v>181171</v>
      </c>
      <c r="S54" s="4"/>
      <c r="T54" s="26">
        <v>175533</v>
      </c>
    </row>
    <row r="55" spans="12:20" x14ac:dyDescent="0.75">
      <c r="L55" s="4"/>
      <c r="M55" s="4"/>
      <c r="N55" s="4"/>
      <c r="O55" s="4" t="s">
        <v>2</v>
      </c>
      <c r="P55" s="4"/>
      <c r="Q55" s="4"/>
      <c r="R55" s="4">
        <v>70171</v>
      </c>
      <c r="S55" s="4"/>
      <c r="T55" s="26">
        <v>49658</v>
      </c>
    </row>
    <row r="56" spans="12:20" ht="15.5" thickBot="1" x14ac:dyDescent="0.9">
      <c r="L56" s="4"/>
      <c r="M56" s="4"/>
      <c r="N56" s="4"/>
      <c r="O56" s="4" t="s">
        <v>83</v>
      </c>
      <c r="P56" s="4"/>
      <c r="Q56" s="4"/>
      <c r="R56" s="4">
        <v>1748</v>
      </c>
      <c r="S56" s="4"/>
      <c r="T56" s="27">
        <v>0</v>
      </c>
    </row>
    <row r="57" spans="12:20" ht="16" x14ac:dyDescent="0.8">
      <c r="L57" s="4"/>
      <c r="M57" s="4"/>
      <c r="N57" s="4"/>
      <c r="O57" s="6" t="s">
        <v>4</v>
      </c>
      <c r="P57" s="6"/>
      <c r="Q57" s="6"/>
      <c r="R57" s="16">
        <f>+R4</f>
        <v>253089.69</v>
      </c>
      <c r="S57" s="4"/>
      <c r="T57" s="28">
        <f>SUM(T54:T56)</f>
        <v>225191</v>
      </c>
    </row>
    <row r="58" spans="12:20" x14ac:dyDescent="0.75">
      <c r="L58" s="4"/>
      <c r="M58" s="4"/>
      <c r="N58" s="4"/>
      <c r="O58" s="4"/>
      <c r="P58" s="4"/>
      <c r="Q58" s="4"/>
      <c r="R58" s="4"/>
      <c r="S58" s="4"/>
      <c r="T58" s="26"/>
    </row>
    <row r="59" spans="12:20" x14ac:dyDescent="0.75">
      <c r="L59" s="4"/>
      <c r="M59" s="4"/>
      <c r="N59" s="4"/>
      <c r="O59" s="4" t="s">
        <v>5</v>
      </c>
      <c r="P59" s="4"/>
      <c r="Q59" s="4"/>
      <c r="R59" s="15">
        <f>+R7</f>
        <v>73150.86</v>
      </c>
      <c r="S59" s="4"/>
      <c r="T59" s="26">
        <f>75623-1</f>
        <v>75622</v>
      </c>
    </row>
    <row r="60" spans="12:20" x14ac:dyDescent="0.75">
      <c r="L60" s="4"/>
      <c r="M60" s="4"/>
      <c r="N60" s="4"/>
      <c r="O60" s="4"/>
      <c r="P60" s="4"/>
      <c r="Q60" s="4"/>
      <c r="R60" s="4"/>
      <c r="S60" s="4"/>
      <c r="T60" s="26"/>
    </row>
    <row r="61" spans="12:20" x14ac:dyDescent="0.75">
      <c r="L61" s="4"/>
      <c r="M61" s="4"/>
      <c r="N61" s="4"/>
      <c r="O61" s="1" t="s">
        <v>6</v>
      </c>
      <c r="P61" s="1"/>
      <c r="Q61" s="1"/>
      <c r="R61" s="16">
        <f>+R57-R59</f>
        <v>179938.83000000002</v>
      </c>
      <c r="S61" s="4"/>
      <c r="T61" s="28">
        <f>+T57-T59</f>
        <v>149569</v>
      </c>
    </row>
    <row r="62" spans="12:20" x14ac:dyDescent="0.75">
      <c r="L62" s="4"/>
      <c r="M62" s="4"/>
      <c r="N62" s="4"/>
      <c r="O62" s="4"/>
      <c r="P62" s="4"/>
      <c r="Q62" s="4"/>
      <c r="R62" s="4"/>
      <c r="S62" s="4"/>
      <c r="T62" s="26"/>
    </row>
    <row r="63" spans="12:20" x14ac:dyDescent="0.75">
      <c r="L63" s="4"/>
      <c r="M63" s="4"/>
      <c r="N63" s="4"/>
      <c r="O63" s="4" t="s">
        <v>12</v>
      </c>
      <c r="P63" s="4"/>
      <c r="Q63" s="4"/>
      <c r="R63" s="4">
        <f>+R67-R64-R65-R66</f>
        <v>59600.639999999985</v>
      </c>
      <c r="S63" s="4"/>
      <c r="T63" s="26">
        <v>77387</v>
      </c>
    </row>
    <row r="64" spans="12:20" x14ac:dyDescent="0.75">
      <c r="L64" s="4"/>
      <c r="M64" s="4"/>
      <c r="N64" s="4"/>
      <c r="O64" s="35" t="s">
        <v>13</v>
      </c>
      <c r="P64" s="35"/>
      <c r="Q64" s="35"/>
      <c r="R64" s="35">
        <f>+R30+R32+R37</f>
        <v>14377.509999999998</v>
      </c>
      <c r="S64" s="4"/>
      <c r="T64" s="26">
        <v>12524</v>
      </c>
    </row>
    <row r="65" spans="12:20" x14ac:dyDescent="0.75">
      <c r="L65" s="4"/>
      <c r="M65" s="4"/>
      <c r="N65" s="4"/>
      <c r="O65" s="32" t="s">
        <v>109</v>
      </c>
      <c r="P65" s="32"/>
      <c r="Q65" s="32"/>
      <c r="R65" s="32">
        <f>+R16+R31</f>
        <v>53517.97</v>
      </c>
      <c r="S65" s="4"/>
      <c r="T65" s="26">
        <v>66035</v>
      </c>
    </row>
    <row r="66" spans="12:20" ht="15.5" thickBot="1" x14ac:dyDescent="0.9">
      <c r="L66" s="4"/>
      <c r="M66" s="4"/>
      <c r="N66" s="4"/>
      <c r="O66" s="24" t="s">
        <v>8</v>
      </c>
      <c r="P66" s="24"/>
      <c r="Q66" s="24"/>
      <c r="R66" s="25">
        <f>+R10+R11+R12+R13+R17+R20+R33+R34+R36</f>
        <v>45026.880000000005</v>
      </c>
      <c r="S66" s="4"/>
      <c r="T66" s="27">
        <v>38736</v>
      </c>
    </row>
    <row r="67" spans="12:20" x14ac:dyDescent="0.75">
      <c r="L67" s="4"/>
      <c r="M67" s="4"/>
      <c r="N67" s="4"/>
      <c r="O67" s="1" t="s">
        <v>51</v>
      </c>
      <c r="P67" s="4"/>
      <c r="Q67" s="4"/>
      <c r="R67" s="1">
        <f>226554.79-R14-R18-R25-R26</f>
        <v>172523</v>
      </c>
      <c r="S67" s="4"/>
      <c r="T67" s="28">
        <f>SUM(T63:T66)</f>
        <v>194682</v>
      </c>
    </row>
    <row r="68" spans="12:20" x14ac:dyDescent="0.75">
      <c r="L68" s="4"/>
      <c r="M68" s="4"/>
      <c r="N68" s="4"/>
      <c r="O68" s="4"/>
      <c r="P68" s="4"/>
      <c r="Q68" s="4"/>
      <c r="R68" s="4"/>
      <c r="S68" s="4"/>
      <c r="T68" s="26"/>
    </row>
    <row r="69" spans="12:20" x14ac:dyDescent="0.75">
      <c r="L69" s="4"/>
      <c r="M69" s="4"/>
      <c r="N69" s="4"/>
      <c r="O69" s="1" t="s">
        <v>14</v>
      </c>
      <c r="P69" s="1"/>
      <c r="Q69" s="1"/>
      <c r="R69" s="16">
        <f>+R61-R67</f>
        <v>7415.8300000000163</v>
      </c>
      <c r="S69" s="4"/>
      <c r="T69" s="28">
        <f>+T61-T67</f>
        <v>-45113</v>
      </c>
    </row>
    <row r="70" spans="12:20" x14ac:dyDescent="0.75">
      <c r="L70" s="4"/>
      <c r="M70" s="4"/>
      <c r="N70" s="4"/>
      <c r="O70" s="4"/>
      <c r="P70" s="4"/>
      <c r="Q70" s="4"/>
      <c r="R70" s="4"/>
      <c r="S70" s="4"/>
      <c r="T70" s="26"/>
    </row>
    <row r="71" spans="12:20" x14ac:dyDescent="0.75">
      <c r="L71" s="4"/>
      <c r="M71" s="4"/>
      <c r="N71" s="4"/>
      <c r="O71" s="4" t="s">
        <v>52</v>
      </c>
      <c r="P71" s="4"/>
      <c r="Q71" s="4"/>
      <c r="R71" s="58">
        <f>-R14-R18</f>
        <v>-20433.239999999998</v>
      </c>
      <c r="S71" s="4"/>
      <c r="T71" s="26">
        <v>-13627</v>
      </c>
    </row>
    <row r="72" spans="12:20" x14ac:dyDescent="0.75">
      <c r="L72" s="4"/>
      <c r="M72" s="4"/>
      <c r="N72" s="4"/>
      <c r="O72" s="4" t="s">
        <v>82</v>
      </c>
      <c r="P72" s="4"/>
      <c r="Q72" s="4"/>
      <c r="R72" s="4"/>
      <c r="S72" s="4"/>
      <c r="T72" s="26">
        <v>0</v>
      </c>
    </row>
    <row r="73" spans="12:20" x14ac:dyDescent="0.75">
      <c r="L73" s="4"/>
      <c r="M73" s="4"/>
      <c r="N73" s="4"/>
      <c r="O73" s="4" t="s">
        <v>38</v>
      </c>
      <c r="P73" s="4"/>
      <c r="Q73" s="4"/>
      <c r="R73" s="58">
        <f>-R26</f>
        <v>-24266.93</v>
      </c>
      <c r="S73" s="4"/>
      <c r="T73" s="26">
        <v>-23614</v>
      </c>
    </row>
    <row r="74" spans="12:20" ht="15.5" thickBot="1" x14ac:dyDescent="0.9">
      <c r="L74" s="4"/>
      <c r="M74" s="4"/>
      <c r="N74" s="4"/>
      <c r="O74" s="4" t="s">
        <v>39</v>
      </c>
      <c r="P74" s="4"/>
      <c r="Q74" s="4"/>
      <c r="R74" s="59">
        <f>-R25</f>
        <v>-9331.6200000000008</v>
      </c>
      <c r="S74" s="4"/>
      <c r="T74" s="27">
        <v>-9193</v>
      </c>
    </row>
    <row r="75" spans="12:20" x14ac:dyDescent="0.75">
      <c r="L75" s="4"/>
      <c r="M75" s="4"/>
      <c r="N75" s="4"/>
      <c r="O75" s="4"/>
      <c r="P75" s="4"/>
      <c r="Q75" s="4"/>
      <c r="R75" s="4"/>
      <c r="S75" s="4"/>
      <c r="T75" s="26"/>
    </row>
    <row r="76" spans="12:20" x14ac:dyDescent="0.75">
      <c r="L76" s="4"/>
      <c r="M76" s="4"/>
      <c r="N76" s="4"/>
      <c r="O76" s="1" t="s">
        <v>15</v>
      </c>
      <c r="P76" s="1"/>
      <c r="Q76" s="1"/>
      <c r="R76" s="16">
        <f>+R69+R71+R72+R73+R74</f>
        <v>-46615.959999999985</v>
      </c>
      <c r="S76" s="4"/>
      <c r="T76" s="28">
        <f>+T69+T71+T72+T73+T74</f>
        <v>-91547</v>
      </c>
    </row>
    <row r="77" spans="12:20" x14ac:dyDescent="0.75">
      <c r="L77" s="4"/>
      <c r="M77" s="4"/>
      <c r="N77" s="4"/>
      <c r="O77" s="56"/>
      <c r="P77" s="56"/>
      <c r="Q77" s="56"/>
      <c r="R77" s="4"/>
      <c r="S77" s="4"/>
      <c r="T77" s="26"/>
    </row>
    <row r="78" spans="12:20" ht="15.5" thickBot="1" x14ac:dyDescent="0.9">
      <c r="L78" s="4"/>
      <c r="M78" s="4"/>
      <c r="N78" s="4"/>
      <c r="Q78" s="29"/>
      <c r="R78" s="51" t="s">
        <v>150</v>
      </c>
    </row>
    <row r="79" spans="12:20" ht="15.5" thickTop="1" x14ac:dyDescent="0.75">
      <c r="L79" s="4"/>
      <c r="M79" s="4"/>
      <c r="N79" s="4"/>
      <c r="Q79" s="19" t="s">
        <v>155</v>
      </c>
      <c r="R79" s="20">
        <v>404.27</v>
      </c>
    </row>
    <row r="80" spans="12:20" x14ac:dyDescent="0.75">
      <c r="L80" s="4"/>
      <c r="M80" s="4"/>
      <c r="N80" s="4"/>
      <c r="Q80" s="19" t="s">
        <v>156</v>
      </c>
      <c r="R80" s="20">
        <v>622.77</v>
      </c>
    </row>
    <row r="81" spans="12:18" x14ac:dyDescent="0.75">
      <c r="L81" s="4"/>
      <c r="M81" s="4"/>
      <c r="N81" s="4"/>
      <c r="Q81" s="19" t="s">
        <v>157</v>
      </c>
      <c r="R81" s="20">
        <v>2121.27</v>
      </c>
    </row>
    <row r="82" spans="12:18" x14ac:dyDescent="0.75">
      <c r="L82" s="4"/>
      <c r="M82" s="4"/>
      <c r="N82" s="4"/>
      <c r="Q82" s="19" t="s">
        <v>87</v>
      </c>
      <c r="R82" s="20">
        <v>7587.61</v>
      </c>
    </row>
    <row r="83" spans="12:18" x14ac:dyDescent="0.75">
      <c r="L83" s="4"/>
      <c r="M83" s="4"/>
      <c r="N83" s="4"/>
      <c r="Q83" s="19" t="s">
        <v>158</v>
      </c>
      <c r="R83" s="20">
        <v>1736.31</v>
      </c>
    </row>
    <row r="84" spans="12:18" x14ac:dyDescent="0.75">
      <c r="L84" s="4"/>
      <c r="M84" s="4"/>
      <c r="N84" s="4"/>
      <c r="Q84" s="19" t="s">
        <v>110</v>
      </c>
      <c r="R84" s="20">
        <v>3928.84</v>
      </c>
    </row>
    <row r="85" spans="12:18" x14ac:dyDescent="0.75">
      <c r="L85" s="4"/>
      <c r="M85" s="4"/>
      <c r="N85" s="4"/>
      <c r="Q85" s="19" t="s">
        <v>159</v>
      </c>
      <c r="R85" s="20">
        <v>511.89</v>
      </c>
    </row>
    <row r="86" spans="12:18" x14ac:dyDescent="0.75">
      <c r="L86" s="4"/>
      <c r="M86" s="4"/>
      <c r="N86" s="4"/>
      <c r="Q86" s="19" t="s">
        <v>160</v>
      </c>
      <c r="R86" s="20">
        <v>1140</v>
      </c>
    </row>
    <row r="87" spans="12:18" x14ac:dyDescent="0.75">
      <c r="L87" s="4"/>
      <c r="M87" s="4"/>
      <c r="N87" s="4"/>
      <c r="Q87" s="19" t="s">
        <v>88</v>
      </c>
      <c r="R87" s="33">
        <v>130300</v>
      </c>
    </row>
    <row r="88" spans="12:18" x14ac:dyDescent="0.75">
      <c r="L88" s="4"/>
      <c r="M88" s="4"/>
      <c r="N88" s="4"/>
      <c r="Q88" s="19" t="s">
        <v>111</v>
      </c>
      <c r="R88" s="33">
        <v>5500</v>
      </c>
    </row>
    <row r="89" spans="12:18" x14ac:dyDescent="0.75">
      <c r="L89" s="4"/>
      <c r="M89" s="4"/>
      <c r="N89" s="4"/>
      <c r="Q89" s="19" t="s">
        <v>89</v>
      </c>
      <c r="R89" s="20">
        <v>47530</v>
      </c>
    </row>
    <row r="90" spans="12:18" x14ac:dyDescent="0.75">
      <c r="L90" s="4"/>
      <c r="M90" s="4"/>
      <c r="N90" s="4"/>
      <c r="Q90" s="19" t="s">
        <v>161</v>
      </c>
      <c r="R90" s="20">
        <v>536.37</v>
      </c>
    </row>
    <row r="91" spans="12:18" x14ac:dyDescent="0.75">
      <c r="L91" s="4"/>
      <c r="M91" s="4"/>
      <c r="N91" s="4"/>
      <c r="Q91" s="19" t="s">
        <v>162</v>
      </c>
      <c r="R91" s="20">
        <v>2326.27</v>
      </c>
    </row>
    <row r="92" spans="12:18" x14ac:dyDescent="0.75">
      <c r="L92" s="4"/>
      <c r="M92" s="4"/>
      <c r="N92" s="4"/>
      <c r="Q92" s="19" t="s">
        <v>163</v>
      </c>
      <c r="R92" s="20">
        <v>528.46</v>
      </c>
    </row>
    <row r="93" spans="12:18" x14ac:dyDescent="0.75">
      <c r="L93" s="4"/>
      <c r="M93" s="4"/>
      <c r="N93" s="4"/>
      <c r="Q93" s="19" t="s">
        <v>90</v>
      </c>
      <c r="R93" s="33">
        <v>45370.6</v>
      </c>
    </row>
    <row r="94" spans="12:18" ht="15.5" thickBot="1" x14ac:dyDescent="0.9">
      <c r="L94" s="4"/>
      <c r="M94" s="4"/>
      <c r="N94" s="4"/>
      <c r="Q94" s="19" t="s">
        <v>164</v>
      </c>
      <c r="R94" s="20">
        <v>1120.51</v>
      </c>
    </row>
    <row r="95" spans="12:18" ht="15.5" thickBot="1" x14ac:dyDescent="0.9">
      <c r="L95" s="4"/>
      <c r="M95" s="4"/>
      <c r="N95" s="4"/>
      <c r="Q95" s="19"/>
      <c r="R95" s="23">
        <f>ROUND(SUM(R79:R94),5)</f>
        <v>251265.17</v>
      </c>
    </row>
    <row r="96" spans="12:18" ht="16.25" thickTop="1" thickBot="1" x14ac:dyDescent="0.9">
      <c r="L96" s="4"/>
      <c r="M96" s="4"/>
      <c r="N96" s="4"/>
      <c r="Q96" s="50" t="s">
        <v>113</v>
      </c>
      <c r="R96" s="36">
        <v>1824.52</v>
      </c>
    </row>
    <row r="97" spans="12:18" ht="15.5" thickBot="1" x14ac:dyDescent="0.9">
      <c r="L97" s="4"/>
      <c r="M97" s="4"/>
      <c r="N97" s="4"/>
      <c r="Q97" s="50"/>
      <c r="R97" s="52">
        <f>+R95+R96</f>
        <v>253089.69</v>
      </c>
    </row>
    <row r="98" spans="12:18" ht="15.5" thickTop="1" x14ac:dyDescent="0.75">
      <c r="Q98" s="50"/>
      <c r="R98" s="50"/>
    </row>
    <row r="99" spans="12:18" x14ac:dyDescent="0.75">
      <c r="P99" s="50" t="s">
        <v>84</v>
      </c>
      <c r="R99" s="70">
        <f>+R87+R88+R93</f>
        <v>181170.6</v>
      </c>
    </row>
    <row r="100" spans="12:18" x14ac:dyDescent="0.75">
      <c r="P100" s="50" t="s">
        <v>92</v>
      </c>
      <c r="R100" s="69">
        <f>+R102-R101-R99</f>
        <v>70094.570000000007</v>
      </c>
    </row>
    <row r="101" spans="12:18" ht="15.5" thickBot="1" x14ac:dyDescent="0.9">
      <c r="P101" s="50" t="s">
        <v>113</v>
      </c>
      <c r="R101" s="71">
        <f>+R96</f>
        <v>1824.52</v>
      </c>
    </row>
    <row r="102" spans="12:18" ht="15.5" thickBot="1" x14ac:dyDescent="0.9">
      <c r="Q102" s="50"/>
      <c r="R102" s="52">
        <f>+R97</f>
        <v>253089.69</v>
      </c>
    </row>
    <row r="103" spans="12:18" ht="15.5" thickTop="1" x14ac:dyDescent="0.7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"/>
  <sheetViews>
    <sheetView workbookViewId="0">
      <pane ySplit="885" activePane="bottomLeft"/>
      <selection activeCell="K2" sqref="K2"/>
      <selection pane="bottomLeft" activeCell="M7" sqref="M7"/>
    </sheetView>
  </sheetViews>
  <sheetFormatPr defaultRowHeight="14.75" x14ac:dyDescent="0.75"/>
  <cols>
    <col min="2" max="2" width="29.90625" customWidth="1"/>
    <col min="3" max="3" width="10.453125" customWidth="1"/>
    <col min="4" max="4" width="5.953125" customWidth="1"/>
    <col min="5" max="5" width="11.1796875" customWidth="1"/>
    <col min="6" max="6" width="5" customWidth="1"/>
    <col min="7" max="7" width="9.54296875" customWidth="1"/>
    <col min="8" max="8" width="5.1796875" customWidth="1"/>
    <col min="9" max="9" width="10.7265625" customWidth="1"/>
    <col min="11" max="11" width="12.36328125" style="4" bestFit="1" customWidth="1"/>
  </cols>
  <sheetData>
    <row r="1" spans="1:12" x14ac:dyDescent="0.75">
      <c r="A1" s="1" t="s">
        <v>0</v>
      </c>
      <c r="B1" s="1"/>
      <c r="C1" s="1"/>
      <c r="D1" s="1"/>
      <c r="E1" s="1"/>
      <c r="F1" s="1"/>
      <c r="G1" s="1"/>
    </row>
    <row r="2" spans="1:12" x14ac:dyDescent="0.75">
      <c r="A2" s="1" t="s">
        <v>165</v>
      </c>
      <c r="B2" s="1"/>
      <c r="C2" s="2">
        <v>2016</v>
      </c>
      <c r="D2" s="3"/>
      <c r="E2" s="2">
        <v>2017</v>
      </c>
      <c r="F2" s="3"/>
      <c r="G2" s="2">
        <v>2018</v>
      </c>
      <c r="I2" s="68">
        <v>2019</v>
      </c>
      <c r="K2" s="12">
        <v>2020</v>
      </c>
    </row>
    <row r="3" spans="1:12" x14ac:dyDescent="0.75">
      <c r="A3" s="9" t="s">
        <v>166</v>
      </c>
      <c r="B3" s="4"/>
      <c r="C3" s="5"/>
      <c r="D3" s="5"/>
      <c r="E3" s="5"/>
      <c r="F3" s="5"/>
      <c r="G3" s="5"/>
    </row>
    <row r="4" spans="1:12" x14ac:dyDescent="0.75">
      <c r="A4" s="4"/>
      <c r="B4" s="4"/>
      <c r="C4" s="5"/>
      <c r="D4" s="5"/>
      <c r="E4" s="5"/>
      <c r="F4" s="5"/>
      <c r="G4" s="5"/>
    </row>
    <row r="5" spans="1:12" x14ac:dyDescent="0.75">
      <c r="A5" s="4" t="s">
        <v>1</v>
      </c>
      <c r="B5" s="4"/>
      <c r="C5" s="4">
        <v>38860</v>
      </c>
      <c r="D5" s="4"/>
      <c r="E5" s="4">
        <v>104919</v>
      </c>
      <c r="F5" s="4"/>
      <c r="G5" s="4">
        <v>305625</v>
      </c>
      <c r="I5" s="4">
        <v>657745</v>
      </c>
      <c r="K5" s="4">
        <v>1229000</v>
      </c>
    </row>
    <row r="6" spans="1:12" x14ac:dyDescent="0.75">
      <c r="A6" s="4" t="s">
        <v>2</v>
      </c>
      <c r="B6" s="4"/>
      <c r="C6" s="4">
        <v>126438</v>
      </c>
      <c r="D6" s="4"/>
      <c r="E6" s="4">
        <v>150203</v>
      </c>
      <c r="F6" s="4"/>
      <c r="G6" s="4">
        <v>175729</v>
      </c>
      <c r="I6" s="4">
        <v>207902</v>
      </c>
      <c r="K6" s="4">
        <v>303000</v>
      </c>
    </row>
    <row r="7" spans="1:12" ht="15.5" thickBot="1" x14ac:dyDescent="0.9">
      <c r="A7" s="4" t="s">
        <v>3</v>
      </c>
      <c r="B7" s="4"/>
      <c r="C7" s="8">
        <v>6474</v>
      </c>
      <c r="D7" s="4"/>
      <c r="E7" s="8">
        <v>7026</v>
      </c>
      <c r="F7" s="4"/>
      <c r="G7" s="8">
        <v>42551</v>
      </c>
      <c r="I7" s="8">
        <v>16729</v>
      </c>
      <c r="K7" s="8">
        <v>0</v>
      </c>
      <c r="L7" s="18"/>
    </row>
    <row r="8" spans="1:12" ht="16" x14ac:dyDescent="0.8">
      <c r="A8" s="6" t="s">
        <v>4</v>
      </c>
      <c r="B8" s="6"/>
      <c r="C8" s="6">
        <f>SUM(C5:C7)</f>
        <v>171772</v>
      </c>
      <c r="D8" s="6"/>
      <c r="E8" s="6">
        <f>SUM(E5:E7)</f>
        <v>262148</v>
      </c>
      <c r="F8" s="6"/>
      <c r="G8" s="6">
        <f>SUM(G5:G7)</f>
        <v>523905</v>
      </c>
      <c r="I8" s="6">
        <f>SUM(I5:I7)</f>
        <v>882376</v>
      </c>
      <c r="K8" s="6">
        <f>SUM(K5:K7)</f>
        <v>1532000</v>
      </c>
      <c r="L8" s="18"/>
    </row>
    <row r="9" spans="1:12" x14ac:dyDescent="0.75">
      <c r="A9" s="4"/>
      <c r="B9" s="4"/>
      <c r="C9" s="4"/>
      <c r="D9" s="4"/>
      <c r="E9" s="4"/>
      <c r="F9" s="4"/>
      <c r="G9" s="4"/>
      <c r="I9" s="4"/>
      <c r="L9" s="18"/>
    </row>
    <row r="10" spans="1:12" x14ac:dyDescent="0.75">
      <c r="A10" s="4" t="s">
        <v>5</v>
      </c>
      <c r="C10" s="4">
        <v>65130</v>
      </c>
      <c r="D10" s="4"/>
      <c r="E10" s="4">
        <v>104707</v>
      </c>
      <c r="F10" s="4"/>
      <c r="G10" s="4">
        <v>150596</v>
      </c>
      <c r="I10" s="4">
        <v>257901</v>
      </c>
      <c r="K10" s="4">
        <v>383000</v>
      </c>
      <c r="L10" s="18"/>
    </row>
    <row r="11" spans="1:12" x14ac:dyDescent="0.75">
      <c r="A11" s="4"/>
      <c r="B11" s="4"/>
      <c r="C11" s="4"/>
      <c r="D11" s="4"/>
      <c r="E11" s="4"/>
      <c r="F11" s="4"/>
      <c r="G11" s="4"/>
      <c r="I11" s="4"/>
      <c r="L11" s="18"/>
    </row>
    <row r="12" spans="1:12" s="9" customFormat="1" x14ac:dyDescent="0.75">
      <c r="A12" s="1" t="s">
        <v>6</v>
      </c>
      <c r="B12" s="1"/>
      <c r="C12" s="1">
        <f>+C8-C10</f>
        <v>106642</v>
      </c>
      <c r="D12" s="11">
        <f>+C12/C8</f>
        <v>0.62083459469529378</v>
      </c>
      <c r="E12" s="1">
        <f>+E8-E10</f>
        <v>157441</v>
      </c>
      <c r="F12" s="11">
        <f>+E12/E8</f>
        <v>0.60058058806475734</v>
      </c>
      <c r="G12" s="1">
        <f>+G8-G10</f>
        <v>373309</v>
      </c>
      <c r="H12" s="11">
        <f>+G12/G8</f>
        <v>0.71255093957874038</v>
      </c>
      <c r="I12" s="1">
        <f>+I8-I10</f>
        <v>624475</v>
      </c>
      <c r="J12" s="11">
        <f>+I12/I8</f>
        <v>0.7077198382548936</v>
      </c>
      <c r="K12" s="1">
        <f>+K8-K10</f>
        <v>1149000</v>
      </c>
      <c r="L12" s="11">
        <f>+K12/K8</f>
        <v>0.75</v>
      </c>
    </row>
    <row r="13" spans="1:12" x14ac:dyDescent="0.75">
      <c r="A13" s="4"/>
      <c r="B13" s="4"/>
      <c r="C13" s="4"/>
      <c r="D13" s="4"/>
      <c r="E13" s="4"/>
      <c r="F13" s="4"/>
      <c r="G13" s="4"/>
      <c r="I13" s="4"/>
      <c r="L13" s="18"/>
    </row>
    <row r="14" spans="1:12" x14ac:dyDescent="0.75">
      <c r="A14" s="4" t="s">
        <v>152</v>
      </c>
      <c r="B14" s="4"/>
      <c r="C14" s="4">
        <v>48073</v>
      </c>
      <c r="D14" s="4"/>
      <c r="E14" s="4">
        <v>145176</v>
      </c>
      <c r="F14" s="4"/>
      <c r="G14" s="4">
        <v>133335</v>
      </c>
      <c r="I14" s="4">
        <v>220550</v>
      </c>
      <c r="K14" s="4">
        <v>306000</v>
      </c>
      <c r="L14" s="18"/>
    </row>
    <row r="15" spans="1:12" x14ac:dyDescent="0.75">
      <c r="A15" s="4" t="s">
        <v>13</v>
      </c>
      <c r="B15" s="4"/>
      <c r="C15" s="4">
        <v>20512</v>
      </c>
      <c r="D15" s="4"/>
      <c r="E15" s="4">
        <v>27986</v>
      </c>
      <c r="F15" s="4"/>
      <c r="G15" s="4">
        <v>47961</v>
      </c>
      <c r="I15" s="4">
        <v>47661</v>
      </c>
      <c r="K15" s="4">
        <v>77000</v>
      </c>
      <c r="L15" s="18"/>
    </row>
    <row r="16" spans="1:12" x14ac:dyDescent="0.75">
      <c r="A16" s="4" t="s">
        <v>153</v>
      </c>
      <c r="B16" s="4"/>
      <c r="C16" s="4">
        <v>77036</v>
      </c>
      <c r="D16" s="4"/>
      <c r="E16" s="4">
        <v>137460</v>
      </c>
      <c r="F16" s="4"/>
      <c r="G16" s="4">
        <v>124470</v>
      </c>
      <c r="I16" s="4">
        <v>220786</v>
      </c>
      <c r="K16" s="4">
        <v>306000</v>
      </c>
      <c r="L16" s="18"/>
    </row>
    <row r="17" spans="1:12" ht="15.5" thickBot="1" x14ac:dyDescent="0.9">
      <c r="A17" s="4" t="s">
        <v>8</v>
      </c>
      <c r="B17" s="4"/>
      <c r="C17" s="8">
        <v>92386</v>
      </c>
      <c r="D17" s="4"/>
      <c r="E17" s="8">
        <v>122170</v>
      </c>
      <c r="F17" s="4"/>
      <c r="G17" s="8">
        <v>128438</v>
      </c>
      <c r="I17" s="8">
        <v>194788</v>
      </c>
      <c r="K17" s="8">
        <v>245000</v>
      </c>
      <c r="L17" s="18"/>
    </row>
    <row r="18" spans="1:12" s="9" customFormat="1" x14ac:dyDescent="0.75">
      <c r="A18" s="1" t="s">
        <v>9</v>
      </c>
      <c r="B18" s="1"/>
      <c r="C18" s="1">
        <f>SUM(C14:C17)</f>
        <v>238007</v>
      </c>
      <c r="D18" s="1"/>
      <c r="E18" s="1">
        <f>SUM(E14:E17)</f>
        <v>432792</v>
      </c>
      <c r="F18" s="1"/>
      <c r="G18" s="1">
        <f>SUM(G14:G17)</f>
        <v>434204</v>
      </c>
      <c r="I18" s="1">
        <f>SUM(I14:I17)</f>
        <v>683785</v>
      </c>
      <c r="K18" s="1">
        <f>SUM(K14:K17)</f>
        <v>934000</v>
      </c>
    </row>
    <row r="19" spans="1:12" x14ac:dyDescent="0.75">
      <c r="A19" s="4"/>
      <c r="B19" s="4"/>
      <c r="C19" s="4"/>
      <c r="D19" s="4"/>
      <c r="E19" s="4"/>
      <c r="F19" s="4"/>
      <c r="G19" s="4"/>
      <c r="I19" s="4"/>
      <c r="L19" s="18"/>
    </row>
    <row r="20" spans="1:12" x14ac:dyDescent="0.75">
      <c r="A20" s="1" t="s">
        <v>10</v>
      </c>
      <c r="B20" s="1"/>
      <c r="C20" s="1">
        <f>+C12-C18</f>
        <v>-131365</v>
      </c>
      <c r="D20" s="1"/>
      <c r="E20" s="1">
        <f>+E12-E18</f>
        <v>-275351</v>
      </c>
      <c r="F20" s="1"/>
      <c r="G20" s="1">
        <f>+G12-G18</f>
        <v>-60895</v>
      </c>
      <c r="I20" s="1">
        <f>+I12-I18</f>
        <v>-59310</v>
      </c>
      <c r="K20" s="1">
        <f>+K12-K18</f>
        <v>215000</v>
      </c>
      <c r="L20" s="18"/>
    </row>
    <row r="21" spans="1:12" x14ac:dyDescent="0.75">
      <c r="G21" s="18"/>
      <c r="I21" s="18"/>
      <c r="K21" s="18"/>
      <c r="L21" s="18"/>
    </row>
    <row r="22" spans="1:12" s="4" customFormat="1" x14ac:dyDescent="0.75">
      <c r="A22" s="4" t="s">
        <v>49</v>
      </c>
      <c r="E22" s="4">
        <v>-20412</v>
      </c>
      <c r="G22" s="4">
        <v>-45168</v>
      </c>
      <c r="I22" s="4">
        <v>-58465</v>
      </c>
      <c r="K22" s="4">
        <v>-87000</v>
      </c>
    </row>
    <row r="23" spans="1:12" s="4" customFormat="1" x14ac:dyDescent="0.75">
      <c r="A23" s="4" t="s">
        <v>154</v>
      </c>
      <c r="G23" s="4">
        <v>-80000</v>
      </c>
      <c r="I23" s="4">
        <v>0</v>
      </c>
      <c r="K23" s="4">
        <v>0</v>
      </c>
    </row>
    <row r="24" spans="1:12" s="4" customFormat="1" x14ac:dyDescent="0.75">
      <c r="A24" s="4" t="s">
        <v>167</v>
      </c>
      <c r="K24" s="4">
        <v>-61000</v>
      </c>
    </row>
    <row r="25" spans="1:12" s="4" customFormat="1" x14ac:dyDescent="0.75">
      <c r="A25" s="4" t="s">
        <v>38</v>
      </c>
      <c r="E25" s="4">
        <v>-10417</v>
      </c>
      <c r="G25" s="4">
        <v>-32707</v>
      </c>
      <c r="I25" s="4">
        <v>-93189</v>
      </c>
      <c r="K25" s="4">
        <v>-95000</v>
      </c>
    </row>
    <row r="26" spans="1:12" s="4" customFormat="1" x14ac:dyDescent="0.75">
      <c r="A26" s="4" t="s">
        <v>39</v>
      </c>
      <c r="C26" s="4">
        <v>-125868</v>
      </c>
      <c r="E26" s="4">
        <v>-144018</v>
      </c>
      <c r="G26" s="4">
        <v>-94101</v>
      </c>
      <c r="I26" s="4">
        <v>-36459</v>
      </c>
      <c r="K26" s="4">
        <v>-37000</v>
      </c>
    </row>
    <row r="27" spans="1:12" x14ac:dyDescent="0.75">
      <c r="G27" s="18"/>
      <c r="I27" s="18"/>
      <c r="K27" s="18"/>
      <c r="L27" s="18"/>
    </row>
    <row r="28" spans="1:12" s="9" customFormat="1" x14ac:dyDescent="0.75">
      <c r="A28" s="1" t="s">
        <v>15</v>
      </c>
      <c r="C28" s="10">
        <f>+C20+C22+C23+C25+C26</f>
        <v>-257233</v>
      </c>
      <c r="E28" s="10">
        <f>+E20+E22+E23+E25+E26</f>
        <v>-450198</v>
      </c>
      <c r="G28" s="10">
        <f>+G20+G22+G23+G25+G26</f>
        <v>-312871</v>
      </c>
      <c r="I28" s="10">
        <f>+I20+I22+I23+I25+I26</f>
        <v>-247423</v>
      </c>
      <c r="K28" s="10">
        <f>SUM(K20:K27)</f>
        <v>-65000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YEAR 2020  2019</vt:lpstr>
      <vt:lpstr>QIV FS 2020</vt:lpstr>
      <vt:lpstr>QIV IS 2020</vt:lpstr>
      <vt:lpstr>QIV QIII 2020</vt:lpstr>
      <vt:lpstr> QIII FS 2020 </vt:lpstr>
      <vt:lpstr>QIII QB BS SUMMARy</vt:lpstr>
      <vt:lpstr> QIII QB IS SUMMARY </vt:lpstr>
      <vt:lpstr>QI 2020 &amp; QIV Prior Quarter </vt:lpstr>
      <vt:lpstr>2016-2020 </vt:lpstr>
      <vt:lpstr>' QIII FS 2020 '!Print_Area</vt:lpstr>
      <vt:lpstr>' QIII QB IS SUMMARY '!Print_Area</vt:lpstr>
      <vt:lpstr>'2016-2020 '!Print_Area</vt:lpstr>
      <vt:lpstr>'QIII QB BS SUMMARy'!Print_Area</vt:lpstr>
      <vt:lpstr>'QIV QIII 2020'!Print_Area</vt:lpstr>
      <vt:lpstr>'YEAR 2020  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2021-03-04T18:42:05Z</cp:lastPrinted>
  <dcterms:created xsi:type="dcterms:W3CDTF">2018-03-14T21:06:53Z</dcterms:created>
  <dcterms:modified xsi:type="dcterms:W3CDTF">2021-03-08T22:08:05Z</dcterms:modified>
</cp:coreProperties>
</file>