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3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drawings/drawing4.xml" ContentType="application/vnd.openxmlformats-officedocument.drawing+xml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drawings/drawing5.xml" ContentType="application/vnd.openxmlformats-officedocument.drawing+xml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drawings/drawing6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drawings/drawing7.xml" ContentType="application/vnd.openxmlformats-officedocument.drawing+xml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drawings/drawing8.xml" ContentType="application/vnd.openxmlformats-officedocument.drawing+xml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drawings/drawing9.xml" ContentType="application/vnd.openxmlformats-officedocument.drawing+xml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drawings/drawing10.xml" ContentType="application/vnd.openxmlformats-officedocument.drawing+xml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11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drawings/drawing12.xml" ContentType="application/vnd.openxmlformats-officedocument.drawing+xml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drawings/drawing13.xml" ContentType="application/vnd.openxmlformats-officedocument.drawing+xml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drawings/drawing14.xml" ContentType="application/vnd.openxmlformats-officedocument.drawing+xml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drawings/drawing15.xml" ContentType="application/vnd.openxmlformats-officedocument.drawing+xml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drawings/drawing16.xml" ContentType="application/vnd.openxmlformats-officedocument.drawing+xml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drawings/drawing17.xml" ContentType="application/vnd.openxmlformats-officedocument.drawing+xml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drawings/drawing18.xml" ContentType="application/vnd.openxmlformats-officedocument.drawing+xml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Desktop\"/>
    </mc:Choice>
  </mc:AlternateContent>
  <xr:revisionPtr revIDLastSave="0" documentId="8_{76D5E1EE-B740-4C62-9A5E-F9F673F1699B}" xr6:coauthVersionLast="46" xr6:coauthVersionMax="46" xr10:uidLastSave="{00000000-0000-0000-0000-000000000000}"/>
  <bookViews>
    <workbookView xWindow="-90" yWindow="-90" windowWidth="19380" windowHeight="10530" xr2:uid="{9E1DC507-E942-458F-AD0C-651FE35A49FA}"/>
  </bookViews>
  <sheets>
    <sheet name="Balance Sheets" sheetId="18" r:id="rId1"/>
    <sheet name="Stmt of Ops FY-20 &amp; 19" sheetId="38" r:id="rId2"/>
    <sheet name="Stmt Stk Equity" sheetId="46" r:id="rId3"/>
    <sheet name="Cash Flows FY-20 &amp; 19" sheetId="45" r:id="rId4"/>
    <sheet name="Stmt of Ops FY-19" sheetId="19" r:id="rId5"/>
    <sheet name="WASO" sheetId="24" r:id="rId6"/>
    <sheet name="CF Worksheet 10-31-20" sheetId="39" r:id="rId7"/>
    <sheet name="CF Worksheet 10-31-19" sheetId="25" r:id="rId8"/>
    <sheet name="JEs Posted after auditors got" sheetId="41" r:id="rId9"/>
    <sheet name="CF Worksheet 07-31-20" sheetId="40" r:id="rId10"/>
    <sheet name="CF Worksheet 04-30-20" sheetId="42" r:id="rId11"/>
    <sheet name="CF Worksheet 01-31-20" sheetId="44" r:id="rId12"/>
    <sheet name="Detail P&amp;L Analytic" sheetId="21" r:id="rId13"/>
    <sheet name="Common Stock OS info" sheetId="20" r:id="rId14"/>
    <sheet name="PY TB-18" sheetId="22" r:id="rId15"/>
    <sheet name="Q4 TB-19" sheetId="14" r:id="rId16"/>
    <sheet name="Q4 TB-20" sheetId="36" r:id="rId17"/>
    <sheet name="Q1 TB-19" sheetId="1" state="hidden" r:id="rId18"/>
    <sheet name="Q2 TB-19" sheetId="12" state="hidden" r:id="rId19"/>
    <sheet name="Q3 TB-19" sheetId="13" state="hidden" r:id="rId20"/>
    <sheet name="Q1 TB-20" sheetId="29" r:id="rId21"/>
    <sheet name="Q2 TB-20" sheetId="34" r:id="rId22"/>
    <sheet name="Q3 TB-20" sheetId="35" r:id="rId23"/>
    <sheet name="Raw Data 10-31-2018" sheetId="23" r:id="rId24"/>
    <sheet name="Raw Data 01-31-2019" sheetId="11" state="hidden" r:id="rId25"/>
    <sheet name="Raw Data 04-30-2019" sheetId="15" state="hidden" r:id="rId26"/>
    <sheet name="Raw Data 07-31-2019" sheetId="16" state="hidden" r:id="rId27"/>
    <sheet name="Raw Data 10-31-2019" sheetId="17" r:id="rId28"/>
    <sheet name="Raw Data 10-31-2020" sheetId="33" r:id="rId29"/>
    <sheet name="Raw Data 01-31-2020" sheetId="30" r:id="rId30"/>
    <sheet name="Raw Data 04-30-2020" sheetId="31" r:id="rId31"/>
    <sheet name="Raw Data 07-31-2020" sheetId="32" r:id="rId32"/>
    <sheet name="Alert" sheetId="9" state="hidden" r:id="rId33"/>
  </sheets>
  <definedNames>
    <definedName name="_xlnm._FilterDatabase" localSheetId="14" hidden="1">'PY TB-18'!$A$5:$H$255</definedName>
    <definedName name="_xlnm._FilterDatabase" localSheetId="15" hidden="1">'Q4 TB-19'!$A$5:$H$255</definedName>
    <definedName name="_xlnm._FilterDatabase" localSheetId="16" hidden="1">'Q4 TB-20'!$A$5:$H$255</definedName>
    <definedName name="ASDF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2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2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2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2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2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SDF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2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2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EDED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2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2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2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2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2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2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2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DSA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2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2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YHY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2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2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2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IKIK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2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2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2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2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LOL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'Balance Sheets'!$A$1:$G$74</definedName>
    <definedName name="_xlnm.Print_Area" localSheetId="3">'Cash Flows FY-20 &amp; 19'!$A$1:$I$69</definedName>
    <definedName name="_xlnm.Print_Area" localSheetId="1">'Stmt of Ops FY-20 &amp; 19'!$A$1:$H$45</definedName>
    <definedName name="_xlnm.Print_Area" localSheetId="2">'Stmt Stk Equity'!$A$1:$K$33</definedName>
    <definedName name="_xlnm.Print_Titles" localSheetId="12">'Detail P&amp;L Analytic'!$A:$B,'Detail P&amp;L Analytic'!$1:$2</definedName>
    <definedName name="_xlnm.Print_Titles" localSheetId="14">'PY TB-18'!$A:$B,'PY TB-18'!$4:$5</definedName>
    <definedName name="_xlnm.Print_Titles" localSheetId="17">'Q1 TB-19'!$A:$B,'Q1 TB-19'!$4:$5</definedName>
    <definedName name="_xlnm.Print_Titles" localSheetId="20">'Q1 TB-20'!$A:$B,'Q1 TB-20'!$4:$5</definedName>
    <definedName name="_xlnm.Print_Titles" localSheetId="18">'Q2 TB-19'!$A:$B,'Q2 TB-19'!$4:$5</definedName>
    <definedName name="_xlnm.Print_Titles" localSheetId="21">'Q2 TB-20'!$A:$B,'Q2 TB-20'!$4:$5</definedName>
    <definedName name="_xlnm.Print_Titles" localSheetId="19">'Q3 TB-19'!$A:$B,'Q3 TB-19'!$4:$5</definedName>
    <definedName name="_xlnm.Print_Titles" localSheetId="22">'Q3 TB-20'!$A:$B,'Q3 TB-20'!$4:$5</definedName>
    <definedName name="_xlnm.Print_Titles" localSheetId="15">'Q4 TB-19'!$A:$B,'Q4 TB-19'!$4:$5</definedName>
    <definedName name="_xlnm.Print_Titles" localSheetId="16">'Q4 TB-20'!$A:$B,'Q4 TB-20'!$4:$5</definedName>
    <definedName name="_xlnm.Print_Titles" localSheetId="24">'Raw Data 01-31-2019'!$A:$B,'Raw Data 01-31-2019'!$4:$5</definedName>
    <definedName name="_xlnm.Print_Titles" localSheetId="29">'Raw Data 01-31-2020'!$A:$B,'Raw Data 01-31-2020'!$4:$5</definedName>
    <definedName name="_xlnm.Print_Titles" localSheetId="25">'Raw Data 04-30-2019'!$A:$B,'Raw Data 04-30-2019'!$4:$5</definedName>
    <definedName name="_xlnm.Print_Titles" localSheetId="30">'Raw Data 04-30-2020'!$A:$B,'Raw Data 04-30-2020'!$4:$5</definedName>
    <definedName name="_xlnm.Print_Titles" localSheetId="26">'Raw Data 07-31-2019'!$A:$B,'Raw Data 07-31-2019'!$4:$5</definedName>
    <definedName name="_xlnm.Print_Titles" localSheetId="31">'Raw Data 07-31-2020'!$A:$B,'Raw Data 07-31-2020'!$4:$5</definedName>
    <definedName name="_xlnm.Print_Titles" localSheetId="27">'Raw Data 10-31-2019'!$A:$B,'Raw Data 10-31-2019'!$4:$5</definedName>
    <definedName name="_xlnm.Print_Titles" localSheetId="28">'Raw Data 10-31-2020'!$A:$B,'Raw Data 10-31-2020'!$4:$5</definedName>
    <definedName name="QB_COLUMN_290" localSheetId="12" hidden="1">'Detail P&amp;L Analytic'!#REF!</definedName>
    <definedName name="QB_COLUMN_290" localSheetId="14" hidden="1">'PY TB-18'!$C$4</definedName>
    <definedName name="QB_COLUMN_290" localSheetId="17" hidden="1">'Q1 TB-19'!$C$4</definedName>
    <definedName name="QB_COLUMN_290" localSheetId="20" hidden="1">'Q1 TB-20'!$C$4</definedName>
    <definedName name="QB_COLUMN_290" localSheetId="18" hidden="1">'Q2 TB-19'!$C$4</definedName>
    <definedName name="QB_COLUMN_290" localSheetId="21" hidden="1">'Q2 TB-20'!$C$4</definedName>
    <definedName name="QB_COLUMN_290" localSheetId="19" hidden="1">'Q3 TB-19'!$C$4</definedName>
    <definedName name="QB_COLUMN_290" localSheetId="22" hidden="1">'Q3 TB-20'!$C$4</definedName>
    <definedName name="QB_COLUMN_290" localSheetId="15" hidden="1">'Q4 TB-19'!$C$4</definedName>
    <definedName name="QB_COLUMN_290" localSheetId="16" hidden="1">'Q4 TB-20'!$C$4</definedName>
    <definedName name="QB_COLUMN_290" localSheetId="24" hidden="1">'Raw Data 01-31-2019'!$C$4</definedName>
    <definedName name="QB_COLUMN_290" localSheetId="29" hidden="1">'Raw Data 01-31-2020'!$C$4</definedName>
    <definedName name="QB_COLUMN_290" localSheetId="25" hidden="1">'Raw Data 04-30-2019'!$C$4</definedName>
    <definedName name="QB_COLUMN_290" localSheetId="30" hidden="1">'Raw Data 04-30-2020'!$C$4</definedName>
    <definedName name="QB_COLUMN_290" localSheetId="26" hidden="1">'Raw Data 07-31-2019'!$C$4</definedName>
    <definedName name="QB_COLUMN_290" localSheetId="31" hidden="1">'Raw Data 07-31-2020'!$C$4</definedName>
    <definedName name="QB_COLUMN_290" localSheetId="27" hidden="1">'Raw Data 10-31-2019'!$C$4</definedName>
    <definedName name="QB_COLUMN_290" localSheetId="28" hidden="1">'Raw Data 10-31-2020'!$C$4</definedName>
    <definedName name="QB_COLUMN_57200" localSheetId="12" hidden="1">'Detail P&amp;L Analytic'!#REF!</definedName>
    <definedName name="QB_COLUMN_57200" localSheetId="14" hidden="1">'PY TB-18'!$C$5</definedName>
    <definedName name="QB_COLUMN_57200" localSheetId="17" hidden="1">'Q1 TB-19'!$C$5</definedName>
    <definedName name="QB_COLUMN_57200" localSheetId="20" hidden="1">'Q1 TB-20'!$C$5</definedName>
    <definedName name="QB_COLUMN_57200" localSheetId="18" hidden="1">'Q2 TB-19'!$C$5</definedName>
    <definedName name="QB_COLUMN_57200" localSheetId="21" hidden="1">'Q2 TB-20'!$C$5</definedName>
    <definedName name="QB_COLUMN_57200" localSheetId="19" hidden="1">'Q3 TB-19'!$C$5</definedName>
    <definedName name="QB_COLUMN_57200" localSheetId="22" hidden="1">'Q3 TB-20'!$C$5</definedName>
    <definedName name="QB_COLUMN_57200" localSheetId="15" hidden="1">'Q4 TB-19'!$C$5</definedName>
    <definedName name="QB_COLUMN_57200" localSheetId="16" hidden="1">'Q4 TB-20'!$C$5</definedName>
    <definedName name="QB_COLUMN_57200" localSheetId="24" hidden="1">'Raw Data 01-31-2019'!$C$5</definedName>
    <definedName name="QB_COLUMN_57200" localSheetId="29" hidden="1">'Raw Data 01-31-2020'!$C$5</definedName>
    <definedName name="QB_COLUMN_57200" localSheetId="25" hidden="1">'Raw Data 04-30-2019'!$C$5</definedName>
    <definedName name="QB_COLUMN_57200" localSheetId="30" hidden="1">'Raw Data 04-30-2020'!$C$5</definedName>
    <definedName name="QB_COLUMN_57200" localSheetId="26" hidden="1">'Raw Data 07-31-2019'!$C$5</definedName>
    <definedName name="QB_COLUMN_57200" localSheetId="31" hidden="1">'Raw Data 07-31-2020'!$C$5</definedName>
    <definedName name="QB_COLUMN_57200" localSheetId="27" hidden="1">'Raw Data 10-31-2019'!$C$5</definedName>
    <definedName name="QB_COLUMN_57200" localSheetId="28" hidden="1">'Raw Data 10-31-2020'!$C$5</definedName>
    <definedName name="QB_COLUMN_58210" localSheetId="12" hidden="1">'Detail P&amp;L Analytic'!#REF!</definedName>
    <definedName name="QB_COLUMN_58210" localSheetId="14" hidden="1">'PY TB-18'!$E$5</definedName>
    <definedName name="QB_COLUMN_58210" localSheetId="17" hidden="1">'Q1 TB-19'!$E$5</definedName>
    <definedName name="QB_COLUMN_58210" localSheetId="20" hidden="1">'Q1 TB-20'!$E$5</definedName>
    <definedName name="QB_COLUMN_58210" localSheetId="18" hidden="1">'Q2 TB-19'!$E$5</definedName>
    <definedName name="QB_COLUMN_58210" localSheetId="21" hidden="1">'Q2 TB-20'!$E$5</definedName>
    <definedName name="QB_COLUMN_58210" localSheetId="19" hidden="1">'Q3 TB-19'!$E$5</definedName>
    <definedName name="QB_COLUMN_58210" localSheetId="22" hidden="1">'Q3 TB-20'!$E$5</definedName>
    <definedName name="QB_COLUMN_58210" localSheetId="15" hidden="1">'Q4 TB-19'!$E$5</definedName>
    <definedName name="QB_COLUMN_58210" localSheetId="16" hidden="1">'Q4 TB-20'!$E$5</definedName>
    <definedName name="QB_COLUMN_58210" localSheetId="24" hidden="1">'Raw Data 01-31-2019'!$E$5</definedName>
    <definedName name="QB_COLUMN_58210" localSheetId="29" hidden="1">'Raw Data 01-31-2020'!$E$5</definedName>
    <definedName name="QB_COLUMN_58210" localSheetId="25" hidden="1">'Raw Data 04-30-2019'!$E$5</definedName>
    <definedName name="QB_COLUMN_58210" localSheetId="30" hidden="1">'Raw Data 04-30-2020'!$E$5</definedName>
    <definedName name="QB_COLUMN_58210" localSheetId="26" hidden="1">'Raw Data 07-31-2019'!$E$5</definedName>
    <definedName name="QB_COLUMN_58210" localSheetId="31" hidden="1">'Raw Data 07-31-2020'!$E$5</definedName>
    <definedName name="QB_COLUMN_58210" localSheetId="27" hidden="1">'Raw Data 10-31-2019'!$E$5</definedName>
    <definedName name="QB_COLUMN_58210" localSheetId="28" hidden="1">'Raw Data 10-31-2020'!$E$5</definedName>
    <definedName name="QB_DATA_0" localSheetId="12" hidden="1">'Detail P&amp;L Analytic'!$3:$3,'Detail P&amp;L Analytic'!$4:$4,'Detail P&amp;L Analytic'!$5:$5,'Detail P&amp;L Analytic'!$6:$6,'Detail P&amp;L Analytic'!$7:$7,'Detail P&amp;L Analytic'!$8:$8,'Detail P&amp;L Analytic'!$9:$9,'Detail P&amp;L Analytic'!$10:$10,'Detail P&amp;L Analytic'!$11:$11,'Detail P&amp;L Analytic'!$12:$12,'Detail P&amp;L Analytic'!$13:$13,'Detail P&amp;L Analytic'!$14:$14,'Detail P&amp;L Analytic'!$15:$15,'Detail P&amp;L Analytic'!$16:$16,'Detail P&amp;L Analytic'!$17:$17,'Detail P&amp;L Analytic'!$18:$18</definedName>
    <definedName name="QB_DATA_0" localSheetId="14" hidden="1">'PY TB-18'!$6:$6,'PY TB-18'!$7:$7,'PY TB-18'!$8:$8,'PY TB-18'!$9:$9,'PY TB-18'!$10:$10,'PY TB-18'!$11:$11,'PY TB-18'!$12:$12,'PY TB-18'!$13:$13,'PY TB-18'!$14:$14,'PY TB-18'!$15:$15,'PY TB-18'!$16:$16,'PY TB-18'!$17:$17,'PY TB-18'!$18:$18,'PY TB-18'!$19:$19,'PY TB-18'!$20:$20,'PY TB-18'!$21:$21</definedName>
    <definedName name="QB_DATA_0" localSheetId="17" hidden="1">'Q1 TB-19'!$6:$6,'Q1 TB-19'!$7:$7,'Q1 TB-19'!$8:$8,'Q1 TB-19'!$9:$9,'Q1 TB-19'!$10:$10,'Q1 TB-19'!$11:$11,'Q1 TB-19'!$12:$12,'Q1 TB-19'!$13:$13,'Q1 TB-19'!$14:$14,'Q1 TB-19'!$15:$15,'Q1 TB-19'!$16:$16,'Q1 TB-19'!$17:$17,'Q1 TB-19'!$18:$18,'Q1 TB-19'!$19:$19,'Q1 TB-19'!$20:$20,'Q1 TB-19'!$21:$21</definedName>
    <definedName name="QB_DATA_0" localSheetId="20" hidden="1">'Q1 TB-20'!$6:$6,'Q1 TB-20'!$7:$7,'Q1 TB-20'!$8:$8,'Q1 TB-20'!$9:$9,'Q1 TB-20'!$10:$10,'Q1 TB-20'!$11:$11,'Q1 TB-20'!$12:$12,'Q1 TB-20'!$13:$13,'Q1 TB-20'!$14:$14,'Q1 TB-20'!$15:$15,'Q1 TB-20'!$16:$16,'Q1 TB-20'!$17:$17,'Q1 TB-20'!$18:$18,'Q1 TB-20'!$19:$19,'Q1 TB-20'!$20:$20,'Q1 TB-20'!$21:$21</definedName>
    <definedName name="QB_DATA_0" localSheetId="18" hidden="1">'Q2 TB-19'!$6:$6,'Q2 TB-19'!$7:$7,'Q2 TB-19'!$8:$8,'Q2 TB-19'!$9:$9,'Q2 TB-19'!$10:$10,'Q2 TB-19'!$11:$11,'Q2 TB-19'!$12:$12,'Q2 TB-19'!$13:$13,'Q2 TB-19'!$14:$14,'Q2 TB-19'!$15:$15,'Q2 TB-19'!$16:$16,'Q2 TB-19'!$17:$17,'Q2 TB-19'!$18:$18,'Q2 TB-19'!$19:$19,'Q2 TB-19'!$20:$20,'Q2 TB-19'!$21:$21</definedName>
    <definedName name="QB_DATA_0" localSheetId="21" hidden="1">'Q2 TB-20'!$6:$6,'Q2 TB-20'!$7:$7,'Q2 TB-20'!$8:$8,'Q2 TB-20'!$9:$9,'Q2 TB-20'!$10:$10,'Q2 TB-20'!$11:$11,'Q2 TB-20'!$12:$12,'Q2 TB-20'!$13:$13,'Q2 TB-20'!$14:$14,'Q2 TB-20'!$15:$15,'Q2 TB-20'!$16:$16,'Q2 TB-20'!$17:$17,'Q2 TB-20'!$18:$18,'Q2 TB-20'!$19:$19,'Q2 TB-20'!$20:$20,'Q2 TB-20'!$21:$21</definedName>
    <definedName name="QB_DATA_0" localSheetId="19" hidden="1">'Q3 TB-19'!$6:$6,'Q3 TB-19'!$7:$7,'Q3 TB-19'!$8:$8,'Q3 TB-19'!$9:$9,'Q3 TB-19'!$10:$10,'Q3 TB-19'!$11:$11,'Q3 TB-19'!$12:$12,'Q3 TB-19'!$13:$13,'Q3 TB-19'!$14:$14,'Q3 TB-19'!$15:$15,'Q3 TB-19'!$16:$16,'Q3 TB-19'!$17:$17,'Q3 TB-19'!$18:$18,'Q3 TB-19'!$19:$19,'Q3 TB-19'!$20:$20,'Q3 TB-19'!$21:$21</definedName>
    <definedName name="QB_DATA_0" localSheetId="22" hidden="1">'Q3 TB-20'!$6:$6,'Q3 TB-20'!$7:$7,'Q3 TB-20'!$8:$8,'Q3 TB-20'!$9:$9,'Q3 TB-20'!$10:$10,'Q3 TB-20'!$11:$11,'Q3 TB-20'!$12:$12,'Q3 TB-20'!$13:$13,'Q3 TB-20'!$14:$14,'Q3 TB-20'!$15:$15,'Q3 TB-20'!$16:$16,'Q3 TB-20'!$17:$17,'Q3 TB-20'!$18:$18,'Q3 TB-20'!$19:$19,'Q3 TB-20'!$20:$20,'Q3 TB-20'!$21:$21</definedName>
    <definedName name="QB_DATA_0" localSheetId="15" hidden="1">'Q4 TB-19'!$6:$6,'Q4 TB-19'!$7:$7,'Q4 TB-19'!$8:$8,'Q4 TB-19'!$9:$9,'Q4 TB-19'!$10:$10,'Q4 TB-19'!$11:$11,'Q4 TB-19'!$12:$12,'Q4 TB-19'!$13:$13,'Q4 TB-19'!$14:$14,'Q4 TB-19'!$15:$15,'Q4 TB-19'!$16:$16,'Q4 TB-19'!$17:$17,'Q4 TB-19'!$18:$18,'Q4 TB-19'!$19:$19,'Q4 TB-19'!$20:$20,'Q4 TB-19'!$21:$21</definedName>
    <definedName name="QB_DATA_0" localSheetId="16" hidden="1">'Q4 TB-20'!$6:$6,'Q4 TB-20'!$7:$7,'Q4 TB-20'!$8:$8,'Q4 TB-20'!$9:$9,'Q4 TB-20'!$10:$10,'Q4 TB-20'!$11:$11,'Q4 TB-20'!$12:$12,'Q4 TB-20'!$13:$13,'Q4 TB-20'!$14:$14,'Q4 TB-20'!$15:$15,'Q4 TB-20'!$16:$16,'Q4 TB-20'!$17:$17,'Q4 TB-20'!$18:$18,'Q4 TB-20'!$19:$19,'Q4 TB-20'!$20:$20,'Q4 TB-20'!$21:$21</definedName>
    <definedName name="QB_DATA_0" localSheetId="24" hidden="1">'Raw Data 01-31-2019'!$6:$6,'Raw Data 01-31-2019'!$7:$7,'Raw Data 01-31-2019'!$8:$8,'Raw Data 01-31-2019'!$9:$9,'Raw Data 01-31-2019'!$10:$10,'Raw Data 01-31-2019'!$11:$11,'Raw Data 01-31-2019'!$12:$12,'Raw Data 01-31-2019'!$13:$13,'Raw Data 01-31-2019'!$14:$14,'Raw Data 01-31-2019'!$15:$15,'Raw Data 01-31-2019'!$16:$16,'Raw Data 01-31-2019'!$17:$17,'Raw Data 01-31-2019'!$18:$18,'Raw Data 01-31-2019'!$19:$19,'Raw Data 01-31-2019'!$20:$20,'Raw Data 01-31-2019'!$21:$21</definedName>
    <definedName name="QB_DATA_0" localSheetId="29" hidden="1">'Raw Data 01-31-2020'!$6:$6,'Raw Data 01-31-2020'!$7:$7,'Raw Data 01-31-2020'!$8:$8,'Raw Data 01-31-2020'!$9:$9,'Raw Data 01-31-2020'!$10:$10,'Raw Data 01-31-2020'!$11:$11,'Raw Data 01-31-2020'!$12:$12,'Raw Data 01-31-2020'!$13:$13,'Raw Data 01-31-2020'!$14:$14,'Raw Data 01-31-2020'!$15:$15,'Raw Data 01-31-2020'!$16:$16,'Raw Data 01-31-2020'!$17:$17,'Raw Data 01-31-2020'!$18:$18,'Raw Data 01-31-2020'!$19:$19,'Raw Data 01-31-2020'!$20:$20,'Raw Data 01-31-2020'!$21:$21</definedName>
    <definedName name="QB_DATA_0" localSheetId="25" hidden="1">'Raw Data 04-30-2019'!$6:$6,'Raw Data 04-30-2019'!$7:$7,'Raw Data 04-30-2019'!$8:$8,'Raw Data 04-30-2019'!$9:$9,'Raw Data 04-30-2019'!$10:$10,'Raw Data 04-30-2019'!$11:$11,'Raw Data 04-30-2019'!$12:$12,'Raw Data 04-30-2019'!$13:$13,'Raw Data 04-30-2019'!$14:$14,'Raw Data 04-30-2019'!$15:$15,'Raw Data 04-30-2019'!$16:$16,'Raw Data 04-30-2019'!$17:$17,'Raw Data 04-30-2019'!$18:$18,'Raw Data 04-30-2019'!$19:$19,'Raw Data 04-30-2019'!$20:$20,'Raw Data 04-30-2019'!$21:$21</definedName>
    <definedName name="QB_DATA_0" localSheetId="30" hidden="1">'Raw Data 04-30-2020'!$6:$6,'Raw Data 04-30-2020'!$7:$7,'Raw Data 04-30-2020'!$8:$8,'Raw Data 04-30-2020'!$9:$9,'Raw Data 04-30-2020'!$10:$10,'Raw Data 04-30-2020'!$11:$11,'Raw Data 04-30-2020'!$12:$12,'Raw Data 04-30-2020'!$13:$13,'Raw Data 04-30-2020'!$14:$14,'Raw Data 04-30-2020'!$15:$15,'Raw Data 04-30-2020'!$16:$16,'Raw Data 04-30-2020'!$17:$17,'Raw Data 04-30-2020'!$18:$18,'Raw Data 04-30-2020'!$19:$19,'Raw Data 04-30-2020'!$20:$20,'Raw Data 04-30-2020'!$21:$21</definedName>
    <definedName name="QB_DATA_0" localSheetId="26" hidden="1">'Raw Data 07-31-2019'!$6:$6,'Raw Data 07-31-2019'!$7:$7,'Raw Data 07-31-2019'!$8:$8,'Raw Data 07-31-2019'!$9:$9,'Raw Data 07-31-2019'!$10:$10,'Raw Data 07-31-2019'!$11:$11,'Raw Data 07-31-2019'!$12:$12,'Raw Data 07-31-2019'!$13:$13,'Raw Data 07-31-2019'!$14:$14,'Raw Data 07-31-2019'!$15:$15,'Raw Data 07-31-2019'!$16:$16,'Raw Data 07-31-2019'!$17:$17,'Raw Data 07-31-2019'!$18:$18,'Raw Data 07-31-2019'!$19:$19,'Raw Data 07-31-2019'!$20:$20,'Raw Data 07-31-2019'!$21:$21</definedName>
    <definedName name="QB_DATA_0" localSheetId="31" hidden="1">'Raw Data 07-31-2020'!$6:$6,'Raw Data 07-31-2020'!$7:$7,'Raw Data 07-31-2020'!$8:$8,'Raw Data 07-31-2020'!$9:$9,'Raw Data 07-31-2020'!$10:$10,'Raw Data 07-31-2020'!$11:$11,'Raw Data 07-31-2020'!$12:$12,'Raw Data 07-31-2020'!$13:$13,'Raw Data 07-31-2020'!$14:$14,'Raw Data 07-31-2020'!$15:$15,'Raw Data 07-31-2020'!$16:$16,'Raw Data 07-31-2020'!$17:$17,'Raw Data 07-31-2020'!$18:$18,'Raw Data 07-31-2020'!$19:$19,'Raw Data 07-31-2020'!$20:$20,'Raw Data 07-31-2020'!$21:$21</definedName>
    <definedName name="QB_DATA_0" localSheetId="27" hidden="1">'Raw Data 10-31-2019'!$6:$6,'Raw Data 10-31-2019'!$7:$7,'Raw Data 10-31-2019'!$8:$8,'Raw Data 10-31-2019'!$9:$9,'Raw Data 10-31-2019'!$10:$10,'Raw Data 10-31-2019'!$11:$11,'Raw Data 10-31-2019'!$12:$12,'Raw Data 10-31-2019'!$13:$13,'Raw Data 10-31-2019'!$14:$14,'Raw Data 10-31-2019'!$15:$15,'Raw Data 10-31-2019'!$16:$16,'Raw Data 10-31-2019'!$17:$17,'Raw Data 10-31-2019'!$18:$18,'Raw Data 10-31-2019'!$19:$19,'Raw Data 10-31-2019'!$20:$20,'Raw Data 10-31-2019'!$21:$21</definedName>
    <definedName name="QB_DATA_0" localSheetId="28" hidden="1">'Raw Data 10-31-2020'!$6:$6,'Raw Data 10-31-2020'!$7:$7,'Raw Data 10-31-2020'!$8:$8,'Raw Data 10-31-2020'!$9:$9,'Raw Data 10-31-2020'!$10:$10,'Raw Data 10-31-2020'!$11:$11,'Raw Data 10-31-2020'!$12:$12,'Raw Data 10-31-2020'!$13:$13,'Raw Data 10-31-2020'!$14:$14,'Raw Data 10-31-2020'!$15:$15,'Raw Data 10-31-2020'!$16:$16,'Raw Data 10-31-2020'!$17:$17,'Raw Data 10-31-2020'!$18:$18,'Raw Data 10-31-2020'!$19:$19,'Raw Data 10-31-2020'!$20:$20,'Raw Data 10-31-2020'!$21:$21</definedName>
    <definedName name="QB_DATA_1" localSheetId="12" hidden="1">'Detail P&amp;L Analytic'!$19:$19,'Detail P&amp;L Analytic'!$20:$20,'Detail P&amp;L Analytic'!$21:$21,'Detail P&amp;L Analytic'!$22:$22,'Detail P&amp;L Analytic'!$23:$23,'Detail P&amp;L Analytic'!$24:$24,'Detail P&amp;L Analytic'!$25:$25,'Detail P&amp;L Analytic'!$26:$26,'Detail P&amp;L Analytic'!$27:$27,'Detail P&amp;L Analytic'!$28:$28,'Detail P&amp;L Analytic'!$29:$29,'Detail P&amp;L Analytic'!$30:$30,'Detail P&amp;L Analytic'!$31:$31,'Detail P&amp;L Analytic'!$32:$32,'Detail P&amp;L Analytic'!$33:$33,'Detail P&amp;L Analytic'!$34:$34</definedName>
    <definedName name="QB_DATA_1" localSheetId="14" hidden="1">'PY TB-18'!$22:$22,'PY TB-18'!$23:$23,'PY TB-18'!$24:$24,'PY TB-18'!$25:$25,'PY TB-18'!$26:$26,'PY TB-18'!$28:$28,'PY TB-18'!$29:$29,'PY TB-18'!$30:$30,'PY TB-18'!$31:$31,'PY TB-18'!$32:$32,'PY TB-18'!$33:$33,'PY TB-18'!$34:$34,'PY TB-18'!$35:$35,'PY TB-18'!$36:$36,'PY TB-18'!$37:$37,'PY TB-18'!$38:$38</definedName>
    <definedName name="QB_DATA_1" localSheetId="17" hidden="1">'Q1 TB-19'!$22:$22,'Q1 TB-19'!$23:$23,'Q1 TB-19'!$24:$24,'Q1 TB-19'!$25:$25,'Q1 TB-19'!$26:$26,'Q1 TB-19'!$28:$28,'Q1 TB-19'!$29:$29,'Q1 TB-19'!$30:$30,'Q1 TB-19'!$31:$31,'Q1 TB-19'!$32:$32,'Q1 TB-19'!$33:$33,'Q1 TB-19'!$34:$34,'Q1 TB-19'!$35:$35,'Q1 TB-19'!$36:$36,'Q1 TB-19'!$37:$37,'Q1 TB-19'!$38:$38</definedName>
    <definedName name="QB_DATA_1" localSheetId="20" hidden="1">'Q1 TB-20'!$22:$22,'Q1 TB-20'!$23:$23,'Q1 TB-20'!$24:$24,'Q1 TB-20'!$25:$25,'Q1 TB-20'!$26:$26,'Q1 TB-20'!$28:$28,'Q1 TB-20'!$29:$29,'Q1 TB-20'!$30:$30,'Q1 TB-20'!$31:$31,'Q1 TB-20'!$32:$32,'Q1 TB-20'!$33:$33,'Q1 TB-20'!$34:$34,'Q1 TB-20'!$35:$35,'Q1 TB-20'!$36:$36,'Q1 TB-20'!$37:$37,'Q1 TB-20'!$38:$38</definedName>
    <definedName name="QB_DATA_1" localSheetId="18" hidden="1">'Q2 TB-19'!$22:$22,'Q2 TB-19'!$23:$23,'Q2 TB-19'!$24:$24,'Q2 TB-19'!$25:$25,'Q2 TB-19'!$26:$26,'Q2 TB-19'!$28:$28,'Q2 TB-19'!$29:$29,'Q2 TB-19'!$30:$30,'Q2 TB-19'!$31:$31,'Q2 TB-19'!$32:$32,'Q2 TB-19'!$33:$33,'Q2 TB-19'!$34:$34,'Q2 TB-19'!$35:$35,'Q2 TB-19'!$36:$36,'Q2 TB-19'!$37:$37,'Q2 TB-19'!$38:$38</definedName>
    <definedName name="QB_DATA_1" localSheetId="21" hidden="1">'Q2 TB-20'!$22:$22,'Q2 TB-20'!$23:$23,'Q2 TB-20'!$24:$24,'Q2 TB-20'!$25:$25,'Q2 TB-20'!$26:$26,'Q2 TB-20'!$28:$28,'Q2 TB-20'!$29:$29,'Q2 TB-20'!$30:$30,'Q2 TB-20'!$31:$31,'Q2 TB-20'!$32:$32,'Q2 TB-20'!$33:$33,'Q2 TB-20'!$34:$34,'Q2 TB-20'!$35:$35,'Q2 TB-20'!$36:$36,'Q2 TB-20'!$37:$37,'Q2 TB-20'!$38:$38</definedName>
    <definedName name="QB_DATA_1" localSheetId="19" hidden="1">'Q3 TB-19'!$22:$22,'Q3 TB-19'!$23:$23,'Q3 TB-19'!$24:$24,'Q3 TB-19'!$25:$25,'Q3 TB-19'!$26:$26,'Q3 TB-19'!$27:$27,'Q3 TB-19'!$28:$28,'Q3 TB-19'!$29:$29,'Q3 TB-19'!$30:$30,'Q3 TB-19'!$31:$31,'Q3 TB-19'!$32:$32,'Q3 TB-19'!$33:$33,'Q3 TB-19'!$34:$34,'Q3 TB-19'!$35:$35,'Q3 TB-19'!$36:$36,'Q3 TB-19'!$37:$37</definedName>
    <definedName name="QB_DATA_1" localSheetId="22" hidden="1">'Q3 TB-20'!$22:$22,'Q3 TB-20'!$23:$23,'Q3 TB-20'!$24:$24,'Q3 TB-20'!$25:$25,'Q3 TB-20'!$26:$26,'Q3 TB-20'!$27:$27,'Q3 TB-20'!$28:$28,'Q3 TB-20'!$29:$29,'Q3 TB-20'!$30:$30,'Q3 TB-20'!$31:$31,'Q3 TB-20'!$32:$32,'Q3 TB-20'!$33:$33,'Q3 TB-20'!$34:$34,'Q3 TB-20'!$35:$35,'Q3 TB-20'!$36:$36,'Q3 TB-20'!$37:$37</definedName>
    <definedName name="QB_DATA_1" localSheetId="15" hidden="1">'Q4 TB-19'!$22:$22,'Q4 TB-19'!$23:$23,'Q4 TB-19'!$24:$24,'Q4 TB-19'!$25:$25,'Q4 TB-19'!$26:$26,'Q4 TB-19'!$28:$28,'Q4 TB-19'!$29:$29,'Q4 TB-19'!$30:$30,'Q4 TB-19'!$31:$31,'Q4 TB-19'!$32:$32,'Q4 TB-19'!$33:$33,'Q4 TB-19'!$34:$34,'Q4 TB-19'!$35:$35,'Q4 TB-19'!$36:$36,'Q4 TB-19'!$37:$37,'Q4 TB-19'!$38:$38</definedName>
    <definedName name="QB_DATA_1" localSheetId="16" hidden="1">'Q4 TB-20'!$22:$22,'Q4 TB-20'!$23:$23,'Q4 TB-20'!$24:$24,'Q4 TB-20'!$25:$25,'Q4 TB-20'!$26:$26,'Q4 TB-20'!$28:$28,'Q4 TB-20'!$29:$29,'Q4 TB-20'!$30:$30,'Q4 TB-20'!$31:$31,'Q4 TB-20'!$32:$32,'Q4 TB-20'!$33:$33,'Q4 TB-20'!$34:$34,'Q4 TB-20'!$35:$35,'Q4 TB-20'!$36:$36,'Q4 TB-20'!$37:$37,'Q4 TB-20'!$38:$38</definedName>
    <definedName name="QB_DATA_1" localSheetId="24" hidden="1">'Raw Data 01-31-2019'!$22:$22,'Raw Data 01-31-2019'!$23:$23,'Raw Data 01-31-2019'!$24:$24,'Raw Data 01-31-2019'!$25:$25,'Raw Data 01-31-2019'!$26:$26,'Raw Data 01-31-2019'!$27:$27,'Raw Data 01-31-2019'!$28:$28,'Raw Data 01-31-2019'!$29:$29,'Raw Data 01-31-2019'!$30:$30,'Raw Data 01-31-2019'!$31:$31,'Raw Data 01-31-2019'!$32:$32,'Raw Data 01-31-2019'!$33:$33,'Raw Data 01-31-2019'!$34:$34,'Raw Data 01-31-2019'!$35:$35,'Raw Data 01-31-2019'!$36:$36,'Raw Data 01-31-2019'!$37:$37</definedName>
    <definedName name="QB_DATA_1" localSheetId="29" hidden="1">'Raw Data 01-31-2020'!$22:$22,'Raw Data 01-31-2020'!$23:$23,'Raw Data 01-31-2020'!$24:$24,'Raw Data 01-31-2020'!$25:$25,'Raw Data 01-31-2020'!$26:$26,'Raw Data 01-31-2020'!$27:$27,'Raw Data 01-31-2020'!$28:$28,'Raw Data 01-31-2020'!$29:$29,'Raw Data 01-31-2020'!$30:$30,'Raw Data 01-31-2020'!$31:$31,'Raw Data 01-31-2020'!$32:$32,'Raw Data 01-31-2020'!$33:$33,'Raw Data 01-31-2020'!$34:$34,'Raw Data 01-31-2020'!$35:$35,'Raw Data 01-31-2020'!$36:$36,'Raw Data 01-31-2020'!$37:$37</definedName>
    <definedName name="QB_DATA_1" localSheetId="25" hidden="1">'Raw Data 04-30-2019'!$22:$22,'Raw Data 04-30-2019'!$23:$23,'Raw Data 04-30-2019'!$24:$24,'Raw Data 04-30-2019'!$25:$25,'Raw Data 04-30-2019'!$26:$26,'Raw Data 04-30-2019'!$27:$27,'Raw Data 04-30-2019'!$28:$28,'Raw Data 04-30-2019'!$29:$29,'Raw Data 04-30-2019'!$30:$30,'Raw Data 04-30-2019'!$31:$31,'Raw Data 04-30-2019'!$32:$32,'Raw Data 04-30-2019'!$33:$33,'Raw Data 04-30-2019'!$34:$34,'Raw Data 04-30-2019'!$35:$35,'Raw Data 04-30-2019'!$36:$36,'Raw Data 04-30-2019'!$37:$37</definedName>
    <definedName name="QB_DATA_1" localSheetId="30" hidden="1">'Raw Data 04-30-2020'!$22:$22,'Raw Data 04-30-2020'!$23:$23,'Raw Data 04-30-2020'!$24:$24,'Raw Data 04-30-2020'!$25:$25,'Raw Data 04-30-2020'!$26:$26,'Raw Data 04-30-2020'!$27:$27,'Raw Data 04-30-2020'!$28:$28,'Raw Data 04-30-2020'!$29:$29,'Raw Data 04-30-2020'!$30:$30,'Raw Data 04-30-2020'!$31:$31,'Raw Data 04-30-2020'!$32:$32,'Raw Data 04-30-2020'!$33:$33,'Raw Data 04-30-2020'!$34:$34,'Raw Data 04-30-2020'!$35:$35,'Raw Data 04-30-2020'!$36:$36,'Raw Data 04-30-2020'!$37:$37</definedName>
    <definedName name="QB_DATA_1" localSheetId="26" hidden="1">'Raw Data 07-31-2019'!$22:$22,'Raw Data 07-31-2019'!$23:$23,'Raw Data 07-31-2019'!$24:$24,'Raw Data 07-31-2019'!$25:$25,'Raw Data 07-31-2019'!$26:$26,'Raw Data 07-31-2019'!$27:$27,'Raw Data 07-31-2019'!$28:$28,'Raw Data 07-31-2019'!$29:$29,'Raw Data 07-31-2019'!$30:$30,'Raw Data 07-31-2019'!$31:$31,'Raw Data 07-31-2019'!$32:$32,'Raw Data 07-31-2019'!$33:$33,'Raw Data 07-31-2019'!$34:$34,'Raw Data 07-31-2019'!$35:$35,'Raw Data 07-31-2019'!$36:$36,'Raw Data 07-31-2019'!$37:$37</definedName>
    <definedName name="QB_DATA_1" localSheetId="31" hidden="1">'Raw Data 07-31-2020'!$22:$22,'Raw Data 07-31-2020'!$23:$23,'Raw Data 07-31-2020'!$24:$24,'Raw Data 07-31-2020'!$25:$25,'Raw Data 07-31-2020'!$26:$26,'Raw Data 07-31-2020'!$27:$27,'Raw Data 07-31-2020'!$28:$28,'Raw Data 07-31-2020'!$29:$29,'Raw Data 07-31-2020'!$30:$30,'Raw Data 07-31-2020'!$31:$31,'Raw Data 07-31-2020'!$32:$32,'Raw Data 07-31-2020'!$33:$33,'Raw Data 07-31-2020'!$34:$34,'Raw Data 07-31-2020'!$35:$35,'Raw Data 07-31-2020'!$36:$36,'Raw Data 07-31-2020'!$37:$37</definedName>
    <definedName name="QB_DATA_1" localSheetId="27" hidden="1">'Raw Data 10-31-2019'!$22:$22,'Raw Data 10-31-2019'!$23:$23,'Raw Data 10-31-2019'!$24:$24,'Raw Data 10-31-2019'!$25:$25,'Raw Data 10-31-2019'!$26:$26,'Raw Data 10-31-2019'!$27:$27,'Raw Data 10-31-2019'!$28:$28,'Raw Data 10-31-2019'!$29:$29,'Raw Data 10-31-2019'!$30:$30,'Raw Data 10-31-2019'!$31:$31,'Raw Data 10-31-2019'!$32:$32,'Raw Data 10-31-2019'!$33:$33,'Raw Data 10-31-2019'!$34:$34,'Raw Data 10-31-2019'!$35:$35,'Raw Data 10-31-2019'!$36:$36,'Raw Data 10-31-2019'!$37:$37</definedName>
    <definedName name="QB_DATA_1" localSheetId="28" hidden="1">'Raw Data 10-31-2020'!$22:$22,'Raw Data 10-31-2020'!$23:$23,'Raw Data 10-31-2020'!$24:$24,'Raw Data 10-31-2020'!$25:$25,'Raw Data 10-31-2020'!$26:$26,'Raw Data 10-31-2020'!$27:$27,'Raw Data 10-31-2020'!$28:$28,'Raw Data 10-31-2020'!$29:$29,'Raw Data 10-31-2020'!$30:$30,'Raw Data 10-31-2020'!$31:$31,'Raw Data 10-31-2020'!$32:$32,'Raw Data 10-31-2020'!$33:$33,'Raw Data 10-31-2020'!$34:$34,'Raw Data 10-31-2020'!$35:$35,'Raw Data 10-31-2020'!$36:$36,'Raw Data 10-31-2020'!$37:$37</definedName>
    <definedName name="QB_DATA_10" localSheetId="12" hidden="1">'Detail P&amp;L Analytic'!$163:$163,'Detail P&amp;L Analytic'!$164:$164,'Detail P&amp;L Analytic'!$165:$165,'Detail P&amp;L Analytic'!$166:$166,'Detail P&amp;L Analytic'!$167:$167,'Detail P&amp;L Analytic'!$168:$168,'Detail P&amp;L Analytic'!$169:$169,'Detail P&amp;L Analytic'!$170:$170,'Detail P&amp;L Analytic'!$171:$171,'Detail P&amp;L Analytic'!$172:$172,'Detail P&amp;L Analytic'!$173:$173,'Detail P&amp;L Analytic'!$174:$174,'Detail P&amp;L Analytic'!$175:$175,'Detail P&amp;L Analytic'!$176:$176,'Detail P&amp;L Analytic'!$177:$177,'Detail P&amp;L Analytic'!$178:$178</definedName>
    <definedName name="QB_DATA_10" localSheetId="14" hidden="1">'PY TB-18'!$173:$173,'PY TB-18'!$174:$174,'PY TB-18'!$175:$175,'PY TB-18'!$176:$176,'PY TB-18'!$177:$177,'PY TB-18'!$178:$178,'PY TB-18'!$179:$179,'PY TB-18'!$180:$180,'PY TB-18'!$181:$181,'PY TB-18'!$182:$182,'PY TB-18'!$183:$183,'PY TB-18'!$184:$184,'PY TB-18'!$185:$185,'PY TB-18'!$186:$186,'PY TB-18'!$187:$187,'PY TB-18'!$188:$188</definedName>
    <definedName name="QB_DATA_10" localSheetId="17" hidden="1">'Q1 TB-19'!$173:$173,'Q1 TB-19'!$174:$174,'Q1 TB-19'!$175:$175,'Q1 TB-19'!$176:$176,'Q1 TB-19'!$177:$177,'Q1 TB-19'!$178:$178,'Q1 TB-19'!$179:$179,'Q1 TB-19'!$180:$180,'Q1 TB-19'!$181:$181,'Q1 TB-19'!$182:$182,'Q1 TB-19'!$183:$183,'Q1 TB-19'!$184:$184,'Q1 TB-19'!$185:$185,'Q1 TB-19'!$186:$186,'Q1 TB-19'!$187:$187,'Q1 TB-19'!$188:$188</definedName>
    <definedName name="QB_DATA_10" localSheetId="20" hidden="1">'Q1 TB-20'!$173:$173,'Q1 TB-20'!$174:$174,'Q1 TB-20'!$175:$175,'Q1 TB-20'!$176:$176,'Q1 TB-20'!$177:$177,'Q1 TB-20'!$178:$178,'Q1 TB-20'!$179:$179,'Q1 TB-20'!$180:$180,'Q1 TB-20'!$181:$181,'Q1 TB-20'!$182:$182,'Q1 TB-20'!$183:$183,'Q1 TB-20'!$184:$184,'Q1 TB-20'!$185:$185,'Q1 TB-20'!$186:$186,'Q1 TB-20'!$187:$187,'Q1 TB-20'!$188:$188</definedName>
    <definedName name="QB_DATA_10" localSheetId="18" hidden="1">'Q2 TB-19'!$173:$173,'Q2 TB-19'!$174:$174,'Q2 TB-19'!$175:$175,'Q2 TB-19'!$176:$176,'Q2 TB-19'!$177:$177,'Q2 TB-19'!$178:$178,'Q2 TB-19'!$179:$179,'Q2 TB-19'!$180:$180,'Q2 TB-19'!$181:$181,'Q2 TB-19'!$182:$182,'Q2 TB-19'!$183:$183,'Q2 TB-19'!$184:$184,'Q2 TB-19'!$185:$185,'Q2 TB-19'!$186:$186,'Q2 TB-19'!$187:$187,'Q2 TB-19'!$188:$188</definedName>
    <definedName name="QB_DATA_10" localSheetId="21" hidden="1">'Q2 TB-20'!$173:$173,'Q2 TB-20'!$174:$174,'Q2 TB-20'!$175:$175,'Q2 TB-20'!$176:$176,'Q2 TB-20'!$177:$177,'Q2 TB-20'!$178:$178,'Q2 TB-20'!$179:$179,'Q2 TB-20'!$180:$180,'Q2 TB-20'!$181:$181,'Q2 TB-20'!$182:$182,'Q2 TB-20'!$183:$183,'Q2 TB-20'!$184:$184,'Q2 TB-20'!$185:$185,'Q2 TB-20'!$186:$186,'Q2 TB-20'!$187:$187,'Q2 TB-20'!$188:$188</definedName>
    <definedName name="QB_DATA_10" localSheetId="19" hidden="1">'Q3 TB-19'!$173:$173,'Q3 TB-19'!$174:$174,'Q3 TB-19'!$175:$175,'Q3 TB-19'!$176:$176,'Q3 TB-19'!$177:$177,'Q3 TB-19'!$178:$178,'Q3 TB-19'!$179:$179,'Q3 TB-19'!$180:$180,'Q3 TB-19'!$181:$181,'Q3 TB-19'!$182:$182,'Q3 TB-19'!$183:$183,'Q3 TB-19'!$184:$184,'Q3 TB-19'!$185:$185,'Q3 TB-19'!$186:$186,'Q3 TB-19'!$187:$187,'Q3 TB-19'!$188:$188</definedName>
    <definedName name="QB_DATA_10" localSheetId="22" hidden="1">'Q3 TB-20'!$173:$173,'Q3 TB-20'!$174:$174,'Q3 TB-20'!$175:$175,'Q3 TB-20'!$176:$176,'Q3 TB-20'!$177:$177,'Q3 TB-20'!$178:$178,'Q3 TB-20'!$179:$179,'Q3 TB-20'!$180:$180,'Q3 TB-20'!$181:$181,'Q3 TB-20'!$182:$182,'Q3 TB-20'!$183:$183,'Q3 TB-20'!$184:$184,'Q3 TB-20'!$185:$185,'Q3 TB-20'!$186:$186,'Q3 TB-20'!$187:$187,'Q3 TB-20'!$188:$188</definedName>
    <definedName name="QB_DATA_10" localSheetId="15" hidden="1">'Q4 TB-19'!$173:$173,'Q4 TB-19'!$174:$174,'Q4 TB-19'!$175:$175,'Q4 TB-19'!$176:$176,'Q4 TB-19'!$177:$177,'Q4 TB-19'!$178:$178,'Q4 TB-19'!$179:$179,'Q4 TB-19'!$180:$180,'Q4 TB-19'!$181:$181,'Q4 TB-19'!$182:$182,'Q4 TB-19'!$183:$183,'Q4 TB-19'!$184:$184,'Q4 TB-19'!$185:$185,'Q4 TB-19'!$186:$186,'Q4 TB-19'!$187:$187,'Q4 TB-19'!$188:$188</definedName>
    <definedName name="QB_DATA_10" localSheetId="16" hidden="1">'Q4 TB-20'!$173:$173,'Q4 TB-20'!$174:$174,'Q4 TB-20'!$175:$175,'Q4 TB-20'!$176:$176,'Q4 TB-20'!$177:$177,'Q4 TB-20'!$178:$178,'Q4 TB-20'!$179:$179,'Q4 TB-20'!$180:$180,'Q4 TB-20'!$181:$181,'Q4 TB-20'!$182:$182,'Q4 TB-20'!$183:$183,'Q4 TB-20'!$184:$184,'Q4 TB-20'!$185:$185,'Q4 TB-20'!$186:$186,'Q4 TB-20'!$187:$187,'Q4 TB-20'!$188:$188</definedName>
    <definedName name="QB_DATA_10" localSheetId="24" hidden="1">'Raw Data 01-31-2019'!$167:$167,'Raw Data 01-31-2019'!$168:$168,'Raw Data 01-31-2019'!$169:$169,'Raw Data 01-31-2019'!$170:$170,'Raw Data 01-31-2019'!$171:$171,'Raw Data 01-31-2019'!$172:$172,'Raw Data 01-31-2019'!$173:$173,'Raw Data 01-31-2019'!$174:$174,'Raw Data 01-31-2019'!$175:$175,'Raw Data 01-31-2019'!$176:$176,'Raw Data 01-31-2019'!$177:$177,'Raw Data 01-31-2019'!$178:$178,'Raw Data 01-31-2019'!$179:$179,'Raw Data 01-31-2019'!$180:$180,'Raw Data 01-31-2019'!$181:$181,'Raw Data 01-31-2019'!$182:$182</definedName>
    <definedName name="QB_DATA_10" localSheetId="29" hidden="1">'Raw Data 01-31-2020'!$167:$167,'Raw Data 01-31-2020'!$168:$168,'Raw Data 01-31-2020'!$169:$169,'Raw Data 01-31-2020'!$170:$170,'Raw Data 01-31-2020'!$171:$171,'Raw Data 01-31-2020'!$172:$172,'Raw Data 01-31-2020'!$173:$173,'Raw Data 01-31-2020'!$174:$174,'Raw Data 01-31-2020'!$175:$175,'Raw Data 01-31-2020'!$176:$176,'Raw Data 01-31-2020'!$177:$177,'Raw Data 01-31-2020'!$178:$178,'Raw Data 01-31-2020'!$179:$179,'Raw Data 01-31-2020'!$180:$180,'Raw Data 01-31-2020'!$181:$181,'Raw Data 01-31-2020'!$182:$182</definedName>
    <definedName name="QB_DATA_10" localSheetId="25" hidden="1">'Raw Data 04-30-2019'!$167:$167,'Raw Data 04-30-2019'!$168:$168,'Raw Data 04-30-2019'!$169:$169,'Raw Data 04-30-2019'!$170:$170,'Raw Data 04-30-2019'!$171:$171,'Raw Data 04-30-2019'!$172:$172,'Raw Data 04-30-2019'!$173:$173,'Raw Data 04-30-2019'!$174:$174,'Raw Data 04-30-2019'!$175:$175,'Raw Data 04-30-2019'!$176:$176,'Raw Data 04-30-2019'!$177:$177,'Raw Data 04-30-2019'!$178:$178,'Raw Data 04-30-2019'!$179:$179,'Raw Data 04-30-2019'!$180:$180,'Raw Data 04-30-2019'!$181:$181,'Raw Data 04-30-2019'!$182:$182</definedName>
    <definedName name="QB_DATA_10" localSheetId="30" hidden="1">'Raw Data 04-30-2020'!$167:$167,'Raw Data 04-30-2020'!$168:$168,'Raw Data 04-30-2020'!$169:$169,'Raw Data 04-30-2020'!$170:$170,'Raw Data 04-30-2020'!$171:$171,'Raw Data 04-30-2020'!$172:$172,'Raw Data 04-30-2020'!$173:$173,'Raw Data 04-30-2020'!$174:$174,'Raw Data 04-30-2020'!$175:$175,'Raw Data 04-30-2020'!$176:$176,'Raw Data 04-30-2020'!$177:$177,'Raw Data 04-30-2020'!$178:$178,'Raw Data 04-30-2020'!$179:$179,'Raw Data 04-30-2020'!$180:$180,'Raw Data 04-30-2020'!$181:$181,'Raw Data 04-30-2020'!$182:$182</definedName>
    <definedName name="QB_DATA_10" localSheetId="26" hidden="1">'Raw Data 07-31-2019'!$167:$167,'Raw Data 07-31-2019'!$168:$168,'Raw Data 07-31-2019'!$169:$169,'Raw Data 07-31-2019'!$170:$170,'Raw Data 07-31-2019'!$171:$171,'Raw Data 07-31-2019'!$172:$172,'Raw Data 07-31-2019'!$173:$173,'Raw Data 07-31-2019'!$174:$174,'Raw Data 07-31-2019'!$175:$175,'Raw Data 07-31-2019'!$176:$176,'Raw Data 07-31-2019'!$177:$177,'Raw Data 07-31-2019'!$178:$178,'Raw Data 07-31-2019'!$179:$179,'Raw Data 07-31-2019'!$180:$180,'Raw Data 07-31-2019'!$181:$181,'Raw Data 07-31-2019'!$182:$182</definedName>
    <definedName name="QB_DATA_10" localSheetId="31" hidden="1">'Raw Data 07-31-2020'!$167:$167,'Raw Data 07-31-2020'!$168:$168,'Raw Data 07-31-2020'!$169:$169,'Raw Data 07-31-2020'!$170:$170,'Raw Data 07-31-2020'!$171:$171,'Raw Data 07-31-2020'!$172:$172,'Raw Data 07-31-2020'!$173:$173,'Raw Data 07-31-2020'!$174:$174,'Raw Data 07-31-2020'!$175:$175,'Raw Data 07-31-2020'!$176:$176,'Raw Data 07-31-2020'!$177:$177,'Raw Data 07-31-2020'!$178:$178,'Raw Data 07-31-2020'!$179:$179,'Raw Data 07-31-2020'!$180:$180,'Raw Data 07-31-2020'!$181:$181,'Raw Data 07-31-2020'!$182:$182</definedName>
    <definedName name="QB_DATA_10" localSheetId="27" hidden="1">'Raw Data 10-31-2019'!$168:$168,'Raw Data 10-31-2019'!$169:$169,'Raw Data 10-31-2019'!$170:$170,'Raw Data 10-31-2019'!$171:$171,'Raw Data 10-31-2019'!$172:$172,'Raw Data 10-31-2019'!$173:$173,'Raw Data 10-31-2019'!$174:$174,'Raw Data 10-31-2019'!$175:$175,'Raw Data 10-31-2019'!$176:$176,'Raw Data 10-31-2019'!$177:$177,'Raw Data 10-31-2019'!$178:$178,'Raw Data 10-31-2019'!$179:$179,'Raw Data 10-31-2019'!$180:$180,'Raw Data 10-31-2019'!$181:$181,'Raw Data 10-31-2019'!$182:$182,'Raw Data 10-31-2019'!$183:$183</definedName>
    <definedName name="QB_DATA_10" localSheetId="28" hidden="1">'Raw Data 10-31-2020'!$169:$169,'Raw Data 10-31-2020'!$170:$170,'Raw Data 10-31-2020'!$171:$171,'Raw Data 10-31-2020'!$172:$172,'Raw Data 10-31-2020'!$173:$173,'Raw Data 10-31-2020'!$174:$174,'Raw Data 10-31-2020'!$175:$175,'Raw Data 10-31-2020'!$176:$176,'Raw Data 10-31-2020'!$177:$177,'Raw Data 10-31-2020'!$178:$178,'Raw Data 10-31-2020'!$179:$179,'Raw Data 10-31-2020'!$180:$180,'Raw Data 10-31-2020'!$181:$181,'Raw Data 10-31-2020'!$182:$182,'Raw Data 10-31-2020'!$183:$183,'Raw Data 10-31-2020'!$184:$184</definedName>
    <definedName name="QB_DATA_11" localSheetId="12" hidden="1">'Detail P&amp;L Analytic'!$179:$179,'Detail P&amp;L Analytic'!$180:$180,'Detail P&amp;L Analytic'!$181:$181,'Detail P&amp;L Analytic'!$182:$182</definedName>
    <definedName name="QB_DATA_11" localSheetId="14" hidden="1">'PY TB-18'!$189:$189,'PY TB-18'!$190:$190,'PY TB-18'!$191:$191,'PY TB-18'!$192:$192</definedName>
    <definedName name="QB_DATA_11" localSheetId="17" hidden="1">'Q1 TB-19'!$189:$189,'Q1 TB-19'!$190:$190,'Q1 TB-19'!$191:$191,'Q1 TB-19'!$192:$192</definedName>
    <definedName name="QB_DATA_11" localSheetId="20" hidden="1">'Q1 TB-20'!$189:$189,'Q1 TB-20'!$190:$190,'Q1 TB-20'!$191:$191,'Q1 TB-20'!$192:$192</definedName>
    <definedName name="QB_DATA_11" localSheetId="18" hidden="1">'Q2 TB-19'!$189:$189,'Q2 TB-19'!$190:$190,'Q2 TB-19'!$191:$191,'Q2 TB-19'!$192:$192</definedName>
    <definedName name="QB_DATA_11" localSheetId="21" hidden="1">'Q2 TB-20'!$189:$189,'Q2 TB-20'!$190:$190,'Q2 TB-20'!$191:$191,'Q2 TB-20'!$192:$192</definedName>
    <definedName name="QB_DATA_11" localSheetId="19" hidden="1">'Q3 TB-19'!$189:$189,'Q3 TB-19'!$190:$190,'Q3 TB-19'!$191:$191,'Q3 TB-19'!$192:$192</definedName>
    <definedName name="QB_DATA_11" localSheetId="22" hidden="1">'Q3 TB-20'!$189:$189,'Q3 TB-20'!$190:$190,'Q3 TB-20'!$191:$191,'Q3 TB-20'!$192:$192</definedName>
    <definedName name="QB_DATA_11" localSheetId="15" hidden="1">'Q4 TB-19'!$189:$189,'Q4 TB-19'!$190:$190,'Q4 TB-19'!$191:$191,'Q4 TB-19'!$192:$192</definedName>
    <definedName name="QB_DATA_11" localSheetId="16" hidden="1">'Q4 TB-20'!$189:$189,'Q4 TB-20'!$190:$190,'Q4 TB-20'!$191:$191,'Q4 TB-20'!$192:$192</definedName>
    <definedName name="QB_DATA_11" localSheetId="24" hidden="1">'Raw Data 01-31-2019'!$183:$183,'Raw Data 01-31-2019'!$184:$184,'Raw Data 01-31-2019'!$185:$185,'Raw Data 01-31-2019'!$186:$186</definedName>
    <definedName name="QB_DATA_11" localSheetId="29" hidden="1">'Raw Data 01-31-2020'!$183:$183,'Raw Data 01-31-2020'!$184:$184,'Raw Data 01-31-2020'!$185:$185,'Raw Data 01-31-2020'!$186:$186</definedName>
    <definedName name="QB_DATA_11" localSheetId="25" hidden="1">'Raw Data 04-30-2019'!$183:$183,'Raw Data 04-30-2019'!$184:$184,'Raw Data 04-30-2019'!$185:$185,'Raw Data 04-30-2019'!$186:$186</definedName>
    <definedName name="QB_DATA_11" localSheetId="30" hidden="1">'Raw Data 04-30-2020'!$183:$183,'Raw Data 04-30-2020'!$184:$184,'Raw Data 04-30-2020'!$185:$185,'Raw Data 04-30-2020'!$186:$186</definedName>
    <definedName name="QB_DATA_11" localSheetId="26" hidden="1">'Raw Data 07-31-2019'!$183:$183,'Raw Data 07-31-2019'!$184:$184,'Raw Data 07-31-2019'!$185:$185,'Raw Data 07-31-2019'!$186:$186</definedName>
    <definedName name="QB_DATA_11" localSheetId="31" hidden="1">'Raw Data 07-31-2020'!$183:$183,'Raw Data 07-31-2020'!$184:$184,'Raw Data 07-31-2020'!$185:$185,'Raw Data 07-31-2020'!$186:$186</definedName>
    <definedName name="QB_DATA_11" localSheetId="27" hidden="1">'Raw Data 10-31-2019'!$184:$184,'Raw Data 10-31-2019'!$185:$185,'Raw Data 10-31-2019'!$186:$186,'Raw Data 10-31-2019'!$187:$187</definedName>
    <definedName name="QB_DATA_11" localSheetId="28" hidden="1">'Raw Data 10-31-2020'!$185:$185,'Raw Data 10-31-2020'!$186:$186,'Raw Data 10-31-2020'!$187:$187,'Raw Data 10-31-2020'!$188:$188</definedName>
    <definedName name="QB_DATA_2" localSheetId="12" hidden="1">'Detail P&amp;L Analytic'!$35:$35,'Detail P&amp;L Analytic'!$36:$36,'Detail P&amp;L Analytic'!$37:$37,'Detail P&amp;L Analytic'!$38:$38,'Detail P&amp;L Analytic'!$39:$39,'Detail P&amp;L Analytic'!$40:$40,'Detail P&amp;L Analytic'!$41:$41,'Detail P&amp;L Analytic'!$42:$42,'Detail P&amp;L Analytic'!$43:$43,'Detail P&amp;L Analytic'!$44:$44,'Detail P&amp;L Analytic'!$45:$45,'Detail P&amp;L Analytic'!$46:$46,'Detail P&amp;L Analytic'!$47:$47,'Detail P&amp;L Analytic'!$48:$48,'Detail P&amp;L Analytic'!$49:$49,'Detail P&amp;L Analytic'!$50:$50</definedName>
    <definedName name="QB_DATA_2" localSheetId="14" hidden="1">'PY TB-18'!$39:$39,'PY TB-18'!$40:$40,'PY TB-18'!$41:$41,'PY TB-18'!$42:$42,'PY TB-18'!$43:$43,'PY TB-18'!$45:$45,'PY TB-18'!$46:$46,'PY TB-18'!$47:$47,'PY TB-18'!$48:$48,'PY TB-18'!$49:$49,'PY TB-18'!$50:$50,'PY TB-18'!$51:$51,'PY TB-18'!$52:$52,'PY TB-18'!$53:$53,'PY TB-18'!$54:$54,'PY TB-18'!$55:$55</definedName>
    <definedName name="QB_DATA_2" localSheetId="17" hidden="1">'Q1 TB-19'!$39:$39,'Q1 TB-19'!$40:$40,'Q1 TB-19'!$41:$41,'Q1 TB-19'!$42:$42,'Q1 TB-19'!$43:$43,'Q1 TB-19'!$45:$45,'Q1 TB-19'!$46:$46,'Q1 TB-19'!$47:$47,'Q1 TB-19'!$48:$48,'Q1 TB-19'!$49:$49,'Q1 TB-19'!$50:$50,'Q1 TB-19'!$51:$51,'Q1 TB-19'!$52:$52,'Q1 TB-19'!$53:$53,'Q1 TB-19'!$54:$54,'Q1 TB-19'!$55:$55</definedName>
    <definedName name="QB_DATA_2" localSheetId="20" hidden="1">'Q1 TB-20'!$39:$39,'Q1 TB-20'!$40:$40,'Q1 TB-20'!$41:$41,'Q1 TB-20'!$42:$42,'Q1 TB-20'!$43:$43,'Q1 TB-20'!$45:$45,'Q1 TB-20'!$46:$46,'Q1 TB-20'!$47:$47,'Q1 TB-20'!$48:$48,'Q1 TB-20'!$49:$49,'Q1 TB-20'!$50:$50,'Q1 TB-20'!$51:$51,'Q1 TB-20'!$52:$52,'Q1 TB-20'!$53:$53,'Q1 TB-20'!$54:$54,'Q1 TB-20'!$55:$55</definedName>
    <definedName name="QB_DATA_2" localSheetId="18" hidden="1">'Q2 TB-19'!$39:$39,'Q2 TB-19'!$40:$40,'Q2 TB-19'!$41:$41,'Q2 TB-19'!$42:$42,'Q2 TB-19'!$43:$43,'Q2 TB-19'!$45:$45,'Q2 TB-19'!$46:$46,'Q2 TB-19'!$47:$47,'Q2 TB-19'!$48:$48,'Q2 TB-19'!$49:$49,'Q2 TB-19'!$50:$50,'Q2 TB-19'!$51:$51,'Q2 TB-19'!$52:$52,'Q2 TB-19'!$53:$53,'Q2 TB-19'!$54:$54,'Q2 TB-19'!$55:$55</definedName>
    <definedName name="QB_DATA_2" localSheetId="21" hidden="1">'Q2 TB-20'!$39:$39,'Q2 TB-20'!$40:$40,'Q2 TB-20'!$41:$41,'Q2 TB-20'!$42:$42,'Q2 TB-20'!$43:$43,'Q2 TB-20'!$45:$45,'Q2 TB-20'!$46:$46,'Q2 TB-20'!$47:$47,'Q2 TB-20'!$48:$48,'Q2 TB-20'!$49:$49,'Q2 TB-20'!$50:$50,'Q2 TB-20'!$51:$51,'Q2 TB-20'!$52:$52,'Q2 TB-20'!$53:$53,'Q2 TB-20'!$54:$54,'Q2 TB-20'!$55:$55</definedName>
    <definedName name="QB_DATA_2" localSheetId="19" hidden="1">'Q3 TB-19'!$38:$38,'Q3 TB-19'!$39:$39,'Q3 TB-19'!$41:$41,'Q3 TB-19'!$42:$42,'Q3 TB-19'!$43:$43,'Q3 TB-19'!$45:$45,'Q3 TB-19'!$46:$46,'Q3 TB-19'!$47:$47,'Q3 TB-19'!$48:$48,'Q3 TB-19'!$49:$49,'Q3 TB-19'!$50:$50,'Q3 TB-19'!$51:$51,'Q3 TB-19'!$52:$52,'Q3 TB-19'!$53:$53,'Q3 TB-19'!$54:$54,'Q3 TB-19'!$55:$55</definedName>
    <definedName name="QB_DATA_2" localSheetId="22" hidden="1">'Q3 TB-20'!$38:$38,'Q3 TB-20'!$39:$39,'Q3 TB-20'!$41:$41,'Q3 TB-20'!$42:$42,'Q3 TB-20'!$43:$43,'Q3 TB-20'!$45:$45,'Q3 TB-20'!$46:$46,'Q3 TB-20'!$47:$47,'Q3 TB-20'!$48:$48,'Q3 TB-20'!$49:$49,'Q3 TB-20'!$50:$50,'Q3 TB-20'!$51:$51,'Q3 TB-20'!$52:$52,'Q3 TB-20'!$53:$53,'Q3 TB-20'!$54:$54,'Q3 TB-20'!$55:$55</definedName>
    <definedName name="QB_DATA_2" localSheetId="15" hidden="1">'Q4 TB-19'!$39:$39,'Q4 TB-19'!$40:$40,'Q4 TB-19'!$41:$41,'Q4 TB-19'!$42:$42,'Q4 TB-19'!$43:$43,'Q4 TB-19'!$45:$45,'Q4 TB-19'!$46:$46,'Q4 TB-19'!$47:$47,'Q4 TB-19'!$48:$48,'Q4 TB-19'!$49:$49,'Q4 TB-19'!$50:$50,'Q4 TB-19'!$51:$51,'Q4 TB-19'!$52:$52,'Q4 TB-19'!$53:$53,'Q4 TB-19'!$54:$54,'Q4 TB-19'!$55:$55</definedName>
    <definedName name="QB_DATA_2" localSheetId="16" hidden="1">'Q4 TB-20'!$39:$39,'Q4 TB-20'!$40:$40,'Q4 TB-20'!$41:$41,'Q4 TB-20'!$42:$42,'Q4 TB-20'!$43:$43,'Q4 TB-20'!$45:$45,'Q4 TB-20'!$46:$46,'Q4 TB-20'!$47:$47,'Q4 TB-20'!$48:$48,'Q4 TB-20'!$49:$49,'Q4 TB-20'!$50:$50,'Q4 TB-20'!$51:$51,'Q4 TB-20'!$52:$52,'Q4 TB-20'!$53:$53,'Q4 TB-20'!$54:$54,'Q4 TB-20'!$55:$55</definedName>
    <definedName name="QB_DATA_2" localSheetId="24" hidden="1">'Raw Data 01-31-2019'!$38:$38,'Raw Data 01-31-2019'!$39:$39,'Raw Data 01-31-2019'!$40:$40,'Raw Data 01-31-2019'!$41:$41,'Raw Data 01-31-2019'!$42:$42,'Raw Data 01-31-2019'!$43:$43,'Raw Data 01-31-2019'!$44:$44,'Raw Data 01-31-2019'!$45:$45,'Raw Data 01-31-2019'!$46:$46,'Raw Data 01-31-2019'!$47:$47,'Raw Data 01-31-2019'!$48:$48,'Raw Data 01-31-2019'!$49:$49,'Raw Data 01-31-2019'!$50:$50,'Raw Data 01-31-2019'!$51:$51,'Raw Data 01-31-2019'!$52:$52,'Raw Data 01-31-2019'!$53:$53</definedName>
    <definedName name="QB_DATA_2" localSheetId="29" hidden="1">'Raw Data 01-31-2020'!$38:$38,'Raw Data 01-31-2020'!$39:$39,'Raw Data 01-31-2020'!$40:$40,'Raw Data 01-31-2020'!$41:$41,'Raw Data 01-31-2020'!$42:$42,'Raw Data 01-31-2020'!$43:$43,'Raw Data 01-31-2020'!$44:$44,'Raw Data 01-31-2020'!$45:$45,'Raw Data 01-31-2020'!$46:$46,'Raw Data 01-31-2020'!$47:$47,'Raw Data 01-31-2020'!$48:$48,'Raw Data 01-31-2020'!$49:$49,'Raw Data 01-31-2020'!$50:$50,'Raw Data 01-31-2020'!$51:$51,'Raw Data 01-31-2020'!$52:$52,'Raw Data 01-31-2020'!$53:$53</definedName>
    <definedName name="QB_DATA_2" localSheetId="25" hidden="1">'Raw Data 04-30-2019'!$38:$38,'Raw Data 04-30-2019'!$39:$39,'Raw Data 04-30-2019'!$40:$40,'Raw Data 04-30-2019'!$41:$41,'Raw Data 04-30-2019'!$42:$42,'Raw Data 04-30-2019'!$43:$43,'Raw Data 04-30-2019'!$44:$44,'Raw Data 04-30-2019'!$45:$45,'Raw Data 04-30-2019'!$46:$46,'Raw Data 04-30-2019'!$47:$47,'Raw Data 04-30-2019'!$48:$48,'Raw Data 04-30-2019'!$49:$49,'Raw Data 04-30-2019'!$50:$50,'Raw Data 04-30-2019'!$51:$51,'Raw Data 04-30-2019'!$52:$52,'Raw Data 04-30-2019'!$53:$53</definedName>
    <definedName name="QB_DATA_2" localSheetId="30" hidden="1">'Raw Data 04-30-2020'!$38:$38,'Raw Data 04-30-2020'!$39:$39,'Raw Data 04-30-2020'!$40:$40,'Raw Data 04-30-2020'!$41:$41,'Raw Data 04-30-2020'!$42:$42,'Raw Data 04-30-2020'!$43:$43,'Raw Data 04-30-2020'!$44:$44,'Raw Data 04-30-2020'!$45:$45,'Raw Data 04-30-2020'!$46:$46,'Raw Data 04-30-2020'!$47:$47,'Raw Data 04-30-2020'!$48:$48,'Raw Data 04-30-2020'!$49:$49,'Raw Data 04-30-2020'!$50:$50,'Raw Data 04-30-2020'!$51:$51,'Raw Data 04-30-2020'!$52:$52,'Raw Data 04-30-2020'!$53:$53</definedName>
    <definedName name="QB_DATA_2" localSheetId="26" hidden="1">'Raw Data 07-31-2019'!$38:$38,'Raw Data 07-31-2019'!$39:$39,'Raw Data 07-31-2019'!$40:$40,'Raw Data 07-31-2019'!$41:$41,'Raw Data 07-31-2019'!$42:$42,'Raw Data 07-31-2019'!$43:$43,'Raw Data 07-31-2019'!$44:$44,'Raw Data 07-31-2019'!$45:$45,'Raw Data 07-31-2019'!$46:$46,'Raw Data 07-31-2019'!$47:$47,'Raw Data 07-31-2019'!$48:$48,'Raw Data 07-31-2019'!$49:$49,'Raw Data 07-31-2019'!$50:$50,'Raw Data 07-31-2019'!$51:$51,'Raw Data 07-31-2019'!$52:$52,'Raw Data 07-31-2019'!$53:$53</definedName>
    <definedName name="QB_DATA_2" localSheetId="31" hidden="1">'Raw Data 07-31-2020'!$38:$38,'Raw Data 07-31-2020'!$39:$39,'Raw Data 07-31-2020'!$40:$40,'Raw Data 07-31-2020'!$41:$41,'Raw Data 07-31-2020'!$42:$42,'Raw Data 07-31-2020'!$43:$43,'Raw Data 07-31-2020'!$44:$44,'Raw Data 07-31-2020'!$45:$45,'Raw Data 07-31-2020'!$46:$46,'Raw Data 07-31-2020'!$47:$47,'Raw Data 07-31-2020'!$48:$48,'Raw Data 07-31-2020'!$49:$49,'Raw Data 07-31-2020'!$50:$50,'Raw Data 07-31-2020'!$51:$51,'Raw Data 07-31-2020'!$52:$52,'Raw Data 07-31-2020'!$53:$53</definedName>
    <definedName name="QB_DATA_2" localSheetId="27" hidden="1">'Raw Data 10-31-2019'!$38:$38,'Raw Data 10-31-2019'!$39:$39,'Raw Data 10-31-2019'!$40:$40,'Raw Data 10-31-2019'!$41:$41,'Raw Data 10-31-2019'!$42:$42,'Raw Data 10-31-2019'!$43:$43,'Raw Data 10-31-2019'!$44:$44,'Raw Data 10-31-2019'!$45:$45,'Raw Data 10-31-2019'!$46:$46,'Raw Data 10-31-2019'!$47:$47,'Raw Data 10-31-2019'!$48:$48,'Raw Data 10-31-2019'!$49:$49,'Raw Data 10-31-2019'!$50:$50,'Raw Data 10-31-2019'!$51:$51,'Raw Data 10-31-2019'!$52:$52,'Raw Data 10-31-2019'!$53:$53</definedName>
    <definedName name="QB_DATA_2" localSheetId="28" hidden="1">'Raw Data 10-31-2020'!$38:$38,'Raw Data 10-31-2020'!$39:$39,'Raw Data 10-31-2020'!$40:$40,'Raw Data 10-31-2020'!$41:$41,'Raw Data 10-31-2020'!$42:$42,'Raw Data 10-31-2020'!$43:$43,'Raw Data 10-31-2020'!$44:$44,'Raw Data 10-31-2020'!$45:$45,'Raw Data 10-31-2020'!$46:$46,'Raw Data 10-31-2020'!$47:$47,'Raw Data 10-31-2020'!$48:$48,'Raw Data 10-31-2020'!$49:$49,'Raw Data 10-31-2020'!$50:$50,'Raw Data 10-31-2020'!$51:$51,'Raw Data 10-31-2020'!$52:$52,'Raw Data 10-31-2020'!$53:$53</definedName>
    <definedName name="QB_DATA_3" localSheetId="12" hidden="1">'Detail P&amp;L Analytic'!$51:$51,'Detail P&amp;L Analytic'!$52:$52,'Detail P&amp;L Analytic'!$53:$53,'Detail P&amp;L Analytic'!$54:$54,'Detail P&amp;L Analytic'!$55:$55,'Detail P&amp;L Analytic'!$56:$56,'Detail P&amp;L Analytic'!$57:$57,'Detail P&amp;L Analytic'!$58:$58,'Detail P&amp;L Analytic'!$59:$59,'Detail P&amp;L Analytic'!$60:$60,'Detail P&amp;L Analytic'!$61:$61,'Detail P&amp;L Analytic'!$62:$62,'Detail P&amp;L Analytic'!$63:$63,'Detail P&amp;L Analytic'!$64:$64,'Detail P&amp;L Analytic'!$65:$65,'Detail P&amp;L Analytic'!$66:$66</definedName>
    <definedName name="QB_DATA_3" localSheetId="14" hidden="1">'PY TB-18'!$56:$56,'PY TB-18'!$57:$57,'PY TB-18'!$58:$58,'PY TB-18'!$59:$59,'PY TB-18'!$60:$60,'PY TB-18'!$61:$61,'PY TB-18'!$62:$62,'PY TB-18'!$63:$63,'PY TB-18'!$64:$64,'PY TB-18'!$65:$65,'PY TB-18'!$66:$66,'PY TB-18'!$67:$67,'PY TB-18'!$68:$68,'PY TB-18'!$69:$69,'PY TB-18'!$70:$70,'PY TB-18'!$71:$71</definedName>
    <definedName name="QB_DATA_3" localSheetId="17" hidden="1">'Q1 TB-19'!$56:$56,'Q1 TB-19'!$57:$57,'Q1 TB-19'!$58:$58,'Q1 TB-19'!$59:$59,'Q1 TB-19'!$60:$60,'Q1 TB-19'!$61:$61,'Q1 TB-19'!$62:$62,'Q1 TB-19'!$63:$63,'Q1 TB-19'!$64:$64,'Q1 TB-19'!$65:$65,'Q1 TB-19'!$66:$66,'Q1 TB-19'!$67:$67,'Q1 TB-19'!$68:$68,'Q1 TB-19'!$69:$69,'Q1 TB-19'!$70:$70,'Q1 TB-19'!$71:$71</definedName>
    <definedName name="QB_DATA_3" localSheetId="20" hidden="1">'Q1 TB-20'!$56:$56,'Q1 TB-20'!$57:$57,'Q1 TB-20'!$58:$58,'Q1 TB-20'!$59:$59,'Q1 TB-20'!$60:$60,'Q1 TB-20'!$61:$61,'Q1 TB-20'!$62:$62,'Q1 TB-20'!$63:$63,'Q1 TB-20'!$64:$64,'Q1 TB-20'!$65:$65,'Q1 TB-20'!$66:$66,'Q1 TB-20'!$67:$67,'Q1 TB-20'!$68:$68,'Q1 TB-20'!$69:$69,'Q1 TB-20'!$70:$70,'Q1 TB-20'!$71:$71</definedName>
    <definedName name="QB_DATA_3" localSheetId="18" hidden="1">'Q2 TB-19'!$56:$56,'Q2 TB-19'!$57:$57,'Q2 TB-19'!$58:$58,'Q2 TB-19'!$59:$59,'Q2 TB-19'!$60:$60,'Q2 TB-19'!$61:$61,'Q2 TB-19'!$62:$62,'Q2 TB-19'!$63:$63,'Q2 TB-19'!$64:$64,'Q2 TB-19'!$65:$65,'Q2 TB-19'!$66:$66,'Q2 TB-19'!$67:$67,'Q2 TB-19'!$68:$68,'Q2 TB-19'!$69:$69,'Q2 TB-19'!$70:$70,'Q2 TB-19'!$71:$71</definedName>
    <definedName name="QB_DATA_3" localSheetId="21" hidden="1">'Q2 TB-20'!$56:$56,'Q2 TB-20'!$57:$57,'Q2 TB-20'!$58:$58,'Q2 TB-20'!$59:$59,'Q2 TB-20'!$60:$60,'Q2 TB-20'!$61:$61,'Q2 TB-20'!$62:$62,'Q2 TB-20'!$63:$63,'Q2 TB-20'!$64:$64,'Q2 TB-20'!$65:$65,'Q2 TB-20'!$66:$66,'Q2 TB-20'!$67:$67,'Q2 TB-20'!$68:$68,'Q2 TB-20'!$69:$69,'Q2 TB-20'!$70:$70,'Q2 TB-20'!$71:$71</definedName>
    <definedName name="QB_DATA_3" localSheetId="19" hidden="1">'Q3 TB-19'!$56:$56,'Q3 TB-19'!$57:$57,'Q3 TB-19'!$58:$58,'Q3 TB-19'!$59:$59,'Q3 TB-19'!$60:$60,'Q3 TB-19'!$61:$61,'Q3 TB-19'!$62:$62,'Q3 TB-19'!$63:$63,'Q3 TB-19'!$64:$64,'Q3 TB-19'!$65:$65,'Q3 TB-19'!$66:$66,'Q3 TB-19'!$67:$67,'Q3 TB-19'!$68:$68,'Q3 TB-19'!$69:$69,'Q3 TB-19'!$70:$70,'Q3 TB-19'!$71:$71</definedName>
    <definedName name="QB_DATA_3" localSheetId="22" hidden="1">'Q3 TB-20'!$56:$56,'Q3 TB-20'!$57:$57,'Q3 TB-20'!$58:$58,'Q3 TB-20'!$59:$59,'Q3 TB-20'!$60:$60,'Q3 TB-20'!$61:$61,'Q3 TB-20'!$62:$62,'Q3 TB-20'!$63:$63,'Q3 TB-20'!$64:$64,'Q3 TB-20'!$65:$65,'Q3 TB-20'!$66:$66,'Q3 TB-20'!$67:$67,'Q3 TB-20'!$68:$68,'Q3 TB-20'!$69:$69,'Q3 TB-20'!$70:$70,'Q3 TB-20'!$71:$71</definedName>
    <definedName name="QB_DATA_3" localSheetId="15" hidden="1">'Q4 TB-19'!$56:$56,'Q4 TB-19'!$57:$57,'Q4 TB-19'!$58:$58,'Q4 TB-19'!$59:$59,'Q4 TB-19'!$60:$60,'Q4 TB-19'!$61:$61,'Q4 TB-19'!$62:$62,'Q4 TB-19'!$63:$63,'Q4 TB-19'!$64:$64,'Q4 TB-19'!$65:$65,'Q4 TB-19'!$66:$66,'Q4 TB-19'!$67:$67,'Q4 TB-19'!$68:$68,'Q4 TB-19'!$69:$69,'Q4 TB-19'!$70:$70,'Q4 TB-19'!$71:$71</definedName>
    <definedName name="QB_DATA_3" localSheetId="16" hidden="1">'Q4 TB-20'!$56:$56,'Q4 TB-20'!$57:$57,'Q4 TB-20'!$58:$58,'Q4 TB-20'!$59:$59,'Q4 TB-20'!$60:$60,'Q4 TB-20'!$61:$61,'Q4 TB-20'!$62:$62,'Q4 TB-20'!$63:$63,'Q4 TB-20'!$64:$64,'Q4 TB-20'!$65:$65,'Q4 TB-20'!$66:$66,'Q4 TB-20'!$67:$67,'Q4 TB-20'!$68:$68,'Q4 TB-20'!$69:$69,'Q4 TB-20'!$70:$70,'Q4 TB-20'!$71:$71</definedName>
    <definedName name="QB_DATA_3" localSheetId="24" hidden="1">'Raw Data 01-31-2019'!$54:$54,'Raw Data 01-31-2019'!$55:$55,'Raw Data 01-31-2019'!$56:$56,'Raw Data 01-31-2019'!$57:$57,'Raw Data 01-31-2019'!$58:$58,'Raw Data 01-31-2019'!$59:$59,'Raw Data 01-31-2019'!$60:$60,'Raw Data 01-31-2019'!$61:$61,'Raw Data 01-31-2019'!$62:$62,'Raw Data 01-31-2019'!$63:$63,'Raw Data 01-31-2019'!$64:$64,'Raw Data 01-31-2019'!$65:$65,'Raw Data 01-31-2019'!$66:$66,'Raw Data 01-31-2019'!$67:$67,'Raw Data 01-31-2019'!$68:$68,'Raw Data 01-31-2019'!$69:$69</definedName>
    <definedName name="QB_DATA_3" localSheetId="29" hidden="1">'Raw Data 01-31-2020'!$54:$54,'Raw Data 01-31-2020'!$55:$55,'Raw Data 01-31-2020'!$56:$56,'Raw Data 01-31-2020'!$57:$57,'Raw Data 01-31-2020'!$58:$58,'Raw Data 01-31-2020'!$59:$59,'Raw Data 01-31-2020'!$60:$60,'Raw Data 01-31-2020'!$61:$61,'Raw Data 01-31-2020'!$62:$62,'Raw Data 01-31-2020'!$63:$63,'Raw Data 01-31-2020'!$64:$64,'Raw Data 01-31-2020'!$65:$65,'Raw Data 01-31-2020'!$66:$66,'Raw Data 01-31-2020'!$67:$67,'Raw Data 01-31-2020'!$68:$68,'Raw Data 01-31-2020'!$69:$69</definedName>
    <definedName name="QB_DATA_3" localSheetId="25" hidden="1">'Raw Data 04-30-2019'!$54:$54,'Raw Data 04-30-2019'!$55:$55,'Raw Data 04-30-2019'!$56:$56,'Raw Data 04-30-2019'!$57:$57,'Raw Data 04-30-2019'!$58:$58,'Raw Data 04-30-2019'!$59:$59,'Raw Data 04-30-2019'!$60:$60,'Raw Data 04-30-2019'!$61:$61,'Raw Data 04-30-2019'!$62:$62,'Raw Data 04-30-2019'!$63:$63,'Raw Data 04-30-2019'!$64:$64,'Raw Data 04-30-2019'!$65:$65,'Raw Data 04-30-2019'!$66:$66,'Raw Data 04-30-2019'!$67:$67,'Raw Data 04-30-2019'!$68:$68,'Raw Data 04-30-2019'!$69:$69</definedName>
    <definedName name="QB_DATA_3" localSheetId="30" hidden="1">'Raw Data 04-30-2020'!$54:$54,'Raw Data 04-30-2020'!$55:$55,'Raw Data 04-30-2020'!$56:$56,'Raw Data 04-30-2020'!$57:$57,'Raw Data 04-30-2020'!$58:$58,'Raw Data 04-30-2020'!$59:$59,'Raw Data 04-30-2020'!$60:$60,'Raw Data 04-30-2020'!$61:$61,'Raw Data 04-30-2020'!$62:$62,'Raw Data 04-30-2020'!$63:$63,'Raw Data 04-30-2020'!$64:$64,'Raw Data 04-30-2020'!$65:$65,'Raw Data 04-30-2020'!$66:$66,'Raw Data 04-30-2020'!$67:$67,'Raw Data 04-30-2020'!$68:$68,'Raw Data 04-30-2020'!$69:$69</definedName>
    <definedName name="QB_DATA_3" localSheetId="26" hidden="1">'Raw Data 07-31-2019'!$54:$54,'Raw Data 07-31-2019'!$55:$55,'Raw Data 07-31-2019'!$56:$56,'Raw Data 07-31-2019'!$57:$57,'Raw Data 07-31-2019'!$58:$58,'Raw Data 07-31-2019'!$59:$59,'Raw Data 07-31-2019'!$60:$60,'Raw Data 07-31-2019'!$61:$61,'Raw Data 07-31-2019'!$62:$62,'Raw Data 07-31-2019'!$63:$63,'Raw Data 07-31-2019'!$64:$64,'Raw Data 07-31-2019'!$65:$65,'Raw Data 07-31-2019'!$66:$66,'Raw Data 07-31-2019'!$67:$67,'Raw Data 07-31-2019'!$68:$68,'Raw Data 07-31-2019'!$69:$69</definedName>
    <definedName name="QB_DATA_3" localSheetId="31" hidden="1">'Raw Data 07-31-2020'!$54:$54,'Raw Data 07-31-2020'!$55:$55,'Raw Data 07-31-2020'!$56:$56,'Raw Data 07-31-2020'!$57:$57,'Raw Data 07-31-2020'!$58:$58,'Raw Data 07-31-2020'!$59:$59,'Raw Data 07-31-2020'!$60:$60,'Raw Data 07-31-2020'!$61:$61,'Raw Data 07-31-2020'!$62:$62,'Raw Data 07-31-2020'!$63:$63,'Raw Data 07-31-2020'!$64:$64,'Raw Data 07-31-2020'!$65:$65,'Raw Data 07-31-2020'!$66:$66,'Raw Data 07-31-2020'!$67:$67,'Raw Data 07-31-2020'!$68:$68,'Raw Data 07-31-2020'!$69:$69</definedName>
    <definedName name="QB_DATA_3" localSheetId="27" hidden="1">'Raw Data 10-31-2019'!$54:$54,'Raw Data 10-31-2019'!$55:$55,'Raw Data 10-31-2019'!$56:$56,'Raw Data 10-31-2019'!$57:$57,'Raw Data 10-31-2019'!$58:$58,'Raw Data 10-31-2019'!$59:$59,'Raw Data 10-31-2019'!$60:$60,'Raw Data 10-31-2019'!$61:$61,'Raw Data 10-31-2019'!$62:$62,'Raw Data 10-31-2019'!$63:$63,'Raw Data 10-31-2019'!$64:$64,'Raw Data 10-31-2019'!$65:$65,'Raw Data 10-31-2019'!$66:$66,'Raw Data 10-31-2019'!$67:$67,'Raw Data 10-31-2019'!$68:$68,'Raw Data 10-31-2019'!$69:$69</definedName>
    <definedName name="QB_DATA_3" localSheetId="28" hidden="1">'Raw Data 10-31-2020'!$54:$54,'Raw Data 10-31-2020'!$55:$55,'Raw Data 10-31-2020'!$56:$56,'Raw Data 10-31-2020'!$57:$57,'Raw Data 10-31-2020'!$58:$58,'Raw Data 10-31-2020'!$59:$59,'Raw Data 10-31-2020'!$60:$60,'Raw Data 10-31-2020'!$61:$61,'Raw Data 10-31-2020'!$62:$62,'Raw Data 10-31-2020'!$63:$63,'Raw Data 10-31-2020'!$64:$64,'Raw Data 10-31-2020'!$65:$65,'Raw Data 10-31-2020'!$66:$66,'Raw Data 10-31-2020'!$67:$67,'Raw Data 10-31-2020'!$68:$68,'Raw Data 10-31-2020'!$69:$69</definedName>
    <definedName name="QB_DATA_4" localSheetId="12" hidden="1">'Detail P&amp;L Analytic'!$67:$67,'Detail P&amp;L Analytic'!$68:$68,'Detail P&amp;L Analytic'!$69:$69,'Detail P&amp;L Analytic'!$70:$70,'Detail P&amp;L Analytic'!$71:$71,'Detail P&amp;L Analytic'!$72:$72,'Detail P&amp;L Analytic'!$73:$73,'Detail P&amp;L Analytic'!$74:$74,'Detail P&amp;L Analytic'!$75:$75,'Detail P&amp;L Analytic'!$76:$76,'Detail P&amp;L Analytic'!$77:$77,'Detail P&amp;L Analytic'!$78:$78,'Detail P&amp;L Analytic'!$79:$79,'Detail P&amp;L Analytic'!$80:$80,'Detail P&amp;L Analytic'!$81:$81,'Detail P&amp;L Analytic'!$82:$82</definedName>
    <definedName name="QB_DATA_4" localSheetId="14" hidden="1">'PY TB-18'!$72:$72,'PY TB-18'!$73:$73,'PY TB-18'!$74:$74,'PY TB-18'!$75:$75,'PY TB-18'!$76:$76,'PY TB-18'!$77:$77,'PY TB-18'!$79:$79,'PY TB-18'!$80:$80,'PY TB-18'!$81:$81,'PY TB-18'!$82:$82,'PY TB-18'!$83:$83,'PY TB-18'!$84:$84,'PY TB-18'!$85:$85,'PY TB-18'!$86:$86,'PY TB-18'!$87:$87,'PY TB-18'!$88:$88</definedName>
    <definedName name="QB_DATA_4" localSheetId="17" hidden="1">'Q1 TB-19'!$72:$72,'Q1 TB-19'!$73:$73,'Q1 TB-19'!$74:$74,'Q1 TB-19'!$75:$75,'Q1 TB-19'!$76:$76,'Q1 TB-19'!$77:$77,'Q1 TB-19'!$79:$79,'Q1 TB-19'!$80:$80,'Q1 TB-19'!$81:$81,'Q1 TB-19'!$82:$82,'Q1 TB-19'!$83:$83,'Q1 TB-19'!$84:$84,'Q1 TB-19'!$85:$85,'Q1 TB-19'!$86:$86,'Q1 TB-19'!$87:$87,'Q1 TB-19'!$88:$88</definedName>
    <definedName name="QB_DATA_4" localSheetId="20" hidden="1">'Q1 TB-20'!$72:$72,'Q1 TB-20'!$73:$73,'Q1 TB-20'!$74:$74,'Q1 TB-20'!$75:$75,'Q1 TB-20'!$76:$76,'Q1 TB-20'!$77:$77,'Q1 TB-20'!$79:$79,'Q1 TB-20'!$80:$80,'Q1 TB-20'!$81:$81,'Q1 TB-20'!$82:$82,'Q1 TB-20'!$83:$83,'Q1 TB-20'!$84:$84,'Q1 TB-20'!$85:$85,'Q1 TB-20'!$86:$86,'Q1 TB-20'!$87:$87,'Q1 TB-20'!$88:$88</definedName>
    <definedName name="QB_DATA_4" localSheetId="18" hidden="1">'Q2 TB-19'!$72:$72,'Q2 TB-19'!$73:$73,'Q2 TB-19'!$74:$74,'Q2 TB-19'!$75:$75,'Q2 TB-19'!$76:$76,'Q2 TB-19'!$77:$77,'Q2 TB-19'!$79:$79,'Q2 TB-19'!$80:$80,'Q2 TB-19'!$81:$81,'Q2 TB-19'!$82:$82,'Q2 TB-19'!$83:$83,'Q2 TB-19'!$84:$84,'Q2 TB-19'!$85:$85,'Q2 TB-19'!$86:$86,'Q2 TB-19'!$87:$87,'Q2 TB-19'!$88:$88</definedName>
    <definedName name="QB_DATA_4" localSheetId="21" hidden="1">'Q2 TB-20'!$72:$72,'Q2 TB-20'!$73:$73,'Q2 TB-20'!$74:$74,'Q2 TB-20'!$75:$75,'Q2 TB-20'!$76:$76,'Q2 TB-20'!$77:$77,'Q2 TB-20'!$79:$79,'Q2 TB-20'!$80:$80,'Q2 TB-20'!$81:$81,'Q2 TB-20'!$82:$82,'Q2 TB-20'!$83:$83,'Q2 TB-20'!$84:$84,'Q2 TB-20'!$85:$85,'Q2 TB-20'!$86:$86,'Q2 TB-20'!$87:$87,'Q2 TB-20'!$88:$88</definedName>
    <definedName name="QB_DATA_4" localSheetId="19" hidden="1">'Q3 TB-19'!$72:$72,'Q3 TB-19'!$73:$73,'Q3 TB-19'!$74:$74,'Q3 TB-19'!$75:$75,'Q3 TB-19'!$76:$76,'Q3 TB-19'!$77:$77,'Q3 TB-19'!$79:$79,'Q3 TB-19'!$80:$80,'Q3 TB-19'!$81:$81,'Q3 TB-19'!$82:$82,'Q3 TB-19'!$83:$83,'Q3 TB-19'!$84:$84,'Q3 TB-19'!$85:$85,'Q3 TB-19'!$86:$86,'Q3 TB-19'!$87:$87,'Q3 TB-19'!$88:$88</definedName>
    <definedName name="QB_DATA_4" localSheetId="22" hidden="1">'Q3 TB-20'!$72:$72,'Q3 TB-20'!$73:$73,'Q3 TB-20'!$74:$74,'Q3 TB-20'!$75:$75,'Q3 TB-20'!$76:$76,'Q3 TB-20'!$77:$77,'Q3 TB-20'!$79:$79,'Q3 TB-20'!$80:$80,'Q3 TB-20'!$81:$81,'Q3 TB-20'!$82:$82,'Q3 TB-20'!$83:$83,'Q3 TB-20'!$84:$84,'Q3 TB-20'!$85:$85,'Q3 TB-20'!$86:$86,'Q3 TB-20'!$87:$87,'Q3 TB-20'!$88:$88</definedName>
    <definedName name="QB_DATA_4" localSheetId="15" hidden="1">'Q4 TB-19'!$72:$72,'Q4 TB-19'!$73:$73,'Q4 TB-19'!$74:$74,'Q4 TB-19'!$75:$75,'Q4 TB-19'!$76:$76,'Q4 TB-19'!$77:$77,'Q4 TB-19'!$79:$79,'Q4 TB-19'!$80:$80,'Q4 TB-19'!$81:$81,'Q4 TB-19'!$82:$82,'Q4 TB-19'!$83:$83,'Q4 TB-19'!$84:$84,'Q4 TB-19'!$85:$85,'Q4 TB-19'!$86:$86,'Q4 TB-19'!$87:$87,'Q4 TB-19'!$88:$88</definedName>
    <definedName name="QB_DATA_4" localSheetId="16" hidden="1">'Q4 TB-20'!$72:$72,'Q4 TB-20'!$73:$73,'Q4 TB-20'!$74:$74,'Q4 TB-20'!$75:$75,'Q4 TB-20'!$76:$76,'Q4 TB-20'!$77:$77,'Q4 TB-20'!$79:$79,'Q4 TB-20'!$80:$80,'Q4 TB-20'!$81:$81,'Q4 TB-20'!$82:$82,'Q4 TB-20'!$83:$83,'Q4 TB-20'!$84:$84,'Q4 TB-20'!$85:$85,'Q4 TB-20'!$86:$86,'Q4 TB-20'!$87:$87,'Q4 TB-20'!$88:$88</definedName>
    <definedName name="QB_DATA_4" localSheetId="24" hidden="1">'Raw Data 01-31-2019'!$70:$70,'Raw Data 01-31-2019'!$71:$71,'Raw Data 01-31-2019'!$72:$72,'Raw Data 01-31-2019'!$73:$73,'Raw Data 01-31-2019'!$74:$74,'Raw Data 01-31-2019'!$75:$75,'Raw Data 01-31-2019'!$76:$76,'Raw Data 01-31-2019'!$77:$77,'Raw Data 01-31-2019'!$78:$78,'Raw Data 01-31-2019'!$79:$79,'Raw Data 01-31-2019'!$80:$80,'Raw Data 01-31-2019'!$81:$81,'Raw Data 01-31-2019'!$82:$82,'Raw Data 01-31-2019'!$83:$83,'Raw Data 01-31-2019'!$84:$84,'Raw Data 01-31-2019'!$85:$85</definedName>
    <definedName name="QB_DATA_4" localSheetId="29" hidden="1">'Raw Data 01-31-2020'!$70:$70,'Raw Data 01-31-2020'!$71:$71,'Raw Data 01-31-2020'!$72:$72,'Raw Data 01-31-2020'!$73:$73,'Raw Data 01-31-2020'!$74:$74,'Raw Data 01-31-2020'!$75:$75,'Raw Data 01-31-2020'!$76:$76,'Raw Data 01-31-2020'!$77:$77,'Raw Data 01-31-2020'!$78:$78,'Raw Data 01-31-2020'!$79:$79,'Raw Data 01-31-2020'!$80:$80,'Raw Data 01-31-2020'!$81:$81,'Raw Data 01-31-2020'!$82:$82,'Raw Data 01-31-2020'!$83:$83,'Raw Data 01-31-2020'!$84:$84,'Raw Data 01-31-2020'!$85:$85</definedName>
    <definedName name="QB_DATA_4" localSheetId="25" hidden="1">'Raw Data 04-30-2019'!$70:$70,'Raw Data 04-30-2019'!$71:$71,'Raw Data 04-30-2019'!$72:$72,'Raw Data 04-30-2019'!$73:$73,'Raw Data 04-30-2019'!$74:$74,'Raw Data 04-30-2019'!$75:$75,'Raw Data 04-30-2019'!$76:$76,'Raw Data 04-30-2019'!$77:$77,'Raw Data 04-30-2019'!$78:$78,'Raw Data 04-30-2019'!$79:$79,'Raw Data 04-30-2019'!$80:$80,'Raw Data 04-30-2019'!$81:$81,'Raw Data 04-30-2019'!$82:$82,'Raw Data 04-30-2019'!$83:$83,'Raw Data 04-30-2019'!$84:$84,'Raw Data 04-30-2019'!$85:$85</definedName>
    <definedName name="QB_DATA_4" localSheetId="30" hidden="1">'Raw Data 04-30-2020'!$70:$70,'Raw Data 04-30-2020'!$71:$71,'Raw Data 04-30-2020'!$72:$72,'Raw Data 04-30-2020'!$73:$73,'Raw Data 04-30-2020'!$74:$74,'Raw Data 04-30-2020'!$75:$75,'Raw Data 04-30-2020'!$76:$76,'Raw Data 04-30-2020'!$77:$77,'Raw Data 04-30-2020'!$78:$78,'Raw Data 04-30-2020'!$79:$79,'Raw Data 04-30-2020'!$80:$80,'Raw Data 04-30-2020'!$81:$81,'Raw Data 04-30-2020'!$82:$82,'Raw Data 04-30-2020'!$83:$83,'Raw Data 04-30-2020'!$84:$84,'Raw Data 04-30-2020'!$85:$85</definedName>
    <definedName name="QB_DATA_4" localSheetId="26" hidden="1">'Raw Data 07-31-2019'!$70:$70,'Raw Data 07-31-2019'!$71:$71,'Raw Data 07-31-2019'!$72:$72,'Raw Data 07-31-2019'!$73:$73,'Raw Data 07-31-2019'!$74:$74,'Raw Data 07-31-2019'!$75:$75,'Raw Data 07-31-2019'!$76:$76,'Raw Data 07-31-2019'!$77:$77,'Raw Data 07-31-2019'!$78:$78,'Raw Data 07-31-2019'!$79:$79,'Raw Data 07-31-2019'!$80:$80,'Raw Data 07-31-2019'!$81:$81,'Raw Data 07-31-2019'!$82:$82,'Raw Data 07-31-2019'!$83:$83,'Raw Data 07-31-2019'!$84:$84,'Raw Data 07-31-2019'!$85:$85</definedName>
    <definedName name="QB_DATA_4" localSheetId="31" hidden="1">'Raw Data 07-31-2020'!$70:$70,'Raw Data 07-31-2020'!$71:$71,'Raw Data 07-31-2020'!$72:$72,'Raw Data 07-31-2020'!$73:$73,'Raw Data 07-31-2020'!$74:$74,'Raw Data 07-31-2020'!$75:$75,'Raw Data 07-31-2020'!$76:$76,'Raw Data 07-31-2020'!$77:$77,'Raw Data 07-31-2020'!$78:$78,'Raw Data 07-31-2020'!$79:$79,'Raw Data 07-31-2020'!$80:$80,'Raw Data 07-31-2020'!$81:$81,'Raw Data 07-31-2020'!$82:$82,'Raw Data 07-31-2020'!$83:$83,'Raw Data 07-31-2020'!$84:$84,'Raw Data 07-31-2020'!$85:$85</definedName>
    <definedName name="QB_DATA_4" localSheetId="27" hidden="1">'Raw Data 10-31-2019'!$70:$70,'Raw Data 10-31-2019'!$71:$71,'Raw Data 10-31-2019'!$72:$72,'Raw Data 10-31-2019'!$73:$73,'Raw Data 10-31-2019'!$74:$74,'Raw Data 10-31-2019'!$75:$75,'Raw Data 10-31-2019'!$76:$76,'Raw Data 10-31-2019'!$77:$77,'Raw Data 10-31-2019'!$78:$78,'Raw Data 10-31-2019'!$79:$79,'Raw Data 10-31-2019'!$80:$80,'Raw Data 10-31-2019'!$81:$81,'Raw Data 10-31-2019'!$82:$82,'Raw Data 10-31-2019'!$83:$83,'Raw Data 10-31-2019'!$84:$84,'Raw Data 10-31-2019'!$85:$85</definedName>
    <definedName name="QB_DATA_4" localSheetId="28" hidden="1">'Raw Data 10-31-2020'!$70:$70,'Raw Data 10-31-2020'!$71:$71,'Raw Data 10-31-2020'!$72:$72,'Raw Data 10-31-2020'!$73:$73,'Raw Data 10-31-2020'!$74:$74,'Raw Data 10-31-2020'!$75:$75,'Raw Data 10-31-2020'!$77:$77,'Raw Data 10-31-2020'!$78:$78,'Raw Data 10-31-2020'!$79:$79,'Raw Data 10-31-2020'!$80:$80,'Raw Data 10-31-2020'!$81:$81,'Raw Data 10-31-2020'!$82:$82,'Raw Data 10-31-2020'!$83:$83,'Raw Data 10-31-2020'!$84:$84,'Raw Data 10-31-2020'!$85:$85,'Raw Data 10-31-2020'!$86:$86</definedName>
    <definedName name="QB_DATA_5" localSheetId="12" hidden="1">'Detail P&amp;L Analytic'!$83:$83,'Detail P&amp;L Analytic'!$84:$84,'Detail P&amp;L Analytic'!$85:$85,'Detail P&amp;L Analytic'!$86:$86,'Detail P&amp;L Analytic'!$87:$87,'Detail P&amp;L Analytic'!$88:$88,'Detail P&amp;L Analytic'!$89:$89,'Detail P&amp;L Analytic'!$90:$90,'Detail P&amp;L Analytic'!$91:$91,'Detail P&amp;L Analytic'!$92:$92,'Detail P&amp;L Analytic'!$93:$93,'Detail P&amp;L Analytic'!$94:$94,'Detail P&amp;L Analytic'!$95:$95,'Detail P&amp;L Analytic'!$96:$96,'Detail P&amp;L Analytic'!$97:$97,'Detail P&amp;L Analytic'!$98:$98</definedName>
    <definedName name="QB_DATA_5" localSheetId="14" hidden="1">'PY TB-18'!$89:$89,'PY TB-18'!$90:$90,'PY TB-18'!$91:$91,'PY TB-18'!$92:$92,'PY TB-18'!$93:$93,'PY TB-18'!$94:$94,'PY TB-18'!$95:$95,'PY TB-18'!$96:$96,'PY TB-18'!$97:$97,'PY TB-18'!$98:$98,'PY TB-18'!$100:$100,'PY TB-18'!$101:$101,'PY TB-18'!$102:$102,'PY TB-18'!$103:$103,'PY TB-18'!$104:$104,'PY TB-18'!$105:$105</definedName>
    <definedName name="QB_DATA_5" localSheetId="17" hidden="1">'Q1 TB-19'!$89:$89,'Q1 TB-19'!$90:$90,'Q1 TB-19'!$91:$91,'Q1 TB-19'!$92:$92,'Q1 TB-19'!$93:$93,'Q1 TB-19'!$94:$94,'Q1 TB-19'!$95:$95,'Q1 TB-19'!$96:$96,'Q1 TB-19'!$97:$97,'Q1 TB-19'!$98:$98,'Q1 TB-19'!$100:$100,'Q1 TB-19'!$101:$101,'Q1 TB-19'!$102:$102,'Q1 TB-19'!$103:$103,'Q1 TB-19'!$104:$104,'Q1 TB-19'!$105:$105</definedName>
    <definedName name="QB_DATA_5" localSheetId="20" hidden="1">'Q1 TB-20'!$89:$89,'Q1 TB-20'!$90:$90,'Q1 TB-20'!$91:$91,'Q1 TB-20'!$92:$92,'Q1 TB-20'!$93:$93,'Q1 TB-20'!$94:$94,'Q1 TB-20'!$95:$95,'Q1 TB-20'!$96:$96,'Q1 TB-20'!$97:$97,'Q1 TB-20'!$98:$98,'Q1 TB-20'!$100:$100,'Q1 TB-20'!$101:$101,'Q1 TB-20'!$102:$102,'Q1 TB-20'!$103:$103,'Q1 TB-20'!$104:$104,'Q1 TB-20'!$105:$105</definedName>
    <definedName name="QB_DATA_5" localSheetId="18" hidden="1">'Q2 TB-19'!$89:$89,'Q2 TB-19'!$90:$90,'Q2 TB-19'!$91:$91,'Q2 TB-19'!$92:$92,'Q2 TB-19'!$93:$93,'Q2 TB-19'!$94:$94,'Q2 TB-19'!$95:$95,'Q2 TB-19'!$96:$96,'Q2 TB-19'!$97:$97,'Q2 TB-19'!$98:$98,'Q2 TB-19'!$100:$100,'Q2 TB-19'!$101:$101,'Q2 TB-19'!$102:$102,'Q2 TB-19'!$103:$103,'Q2 TB-19'!$104:$104,'Q2 TB-19'!$105:$105</definedName>
    <definedName name="QB_DATA_5" localSheetId="21" hidden="1">'Q2 TB-20'!$89:$89,'Q2 TB-20'!$90:$90,'Q2 TB-20'!$91:$91,'Q2 TB-20'!$92:$92,'Q2 TB-20'!$93:$93,'Q2 TB-20'!$94:$94,'Q2 TB-20'!$95:$95,'Q2 TB-20'!$96:$96,'Q2 TB-20'!$97:$97,'Q2 TB-20'!$98:$98,'Q2 TB-20'!$100:$100,'Q2 TB-20'!$101:$101,'Q2 TB-20'!$102:$102,'Q2 TB-20'!$103:$103,'Q2 TB-20'!$104:$104,'Q2 TB-20'!$105:$105</definedName>
    <definedName name="QB_DATA_5" localSheetId="19" hidden="1">'Q3 TB-19'!$89:$89,'Q3 TB-19'!$90:$90,'Q3 TB-19'!$91:$91,'Q3 TB-19'!$92:$92,'Q3 TB-19'!$93:$93,'Q3 TB-19'!$94:$94,'Q3 TB-19'!$95:$95,'Q3 TB-19'!$96:$96,'Q3 TB-19'!$97:$97,'Q3 TB-19'!$98:$98,'Q3 TB-19'!$100:$100,'Q3 TB-19'!$101:$101,'Q3 TB-19'!$102:$102,'Q3 TB-19'!$103:$103,'Q3 TB-19'!$104:$104,'Q3 TB-19'!$105:$105</definedName>
    <definedName name="QB_DATA_5" localSheetId="22" hidden="1">'Q3 TB-20'!$89:$89,'Q3 TB-20'!$90:$90,'Q3 TB-20'!$91:$91,'Q3 TB-20'!$92:$92,'Q3 TB-20'!$93:$93,'Q3 TB-20'!$94:$94,'Q3 TB-20'!$95:$95,'Q3 TB-20'!$96:$96,'Q3 TB-20'!$97:$97,'Q3 TB-20'!$98:$98,'Q3 TB-20'!$100:$100,'Q3 TB-20'!$101:$101,'Q3 TB-20'!$102:$102,'Q3 TB-20'!$103:$103,'Q3 TB-20'!$104:$104,'Q3 TB-20'!$105:$105</definedName>
    <definedName name="QB_DATA_5" localSheetId="15" hidden="1">'Q4 TB-19'!$89:$89,'Q4 TB-19'!$90:$90,'Q4 TB-19'!$91:$91,'Q4 TB-19'!$92:$92,'Q4 TB-19'!$93:$93,'Q4 TB-19'!$94:$94,'Q4 TB-19'!$95:$95,'Q4 TB-19'!$96:$96,'Q4 TB-19'!$97:$97,'Q4 TB-19'!$98:$98,'Q4 TB-19'!$100:$100,'Q4 TB-19'!$101:$101,'Q4 TB-19'!$102:$102,'Q4 TB-19'!$103:$103,'Q4 TB-19'!$104:$104,'Q4 TB-19'!$105:$105</definedName>
    <definedName name="QB_DATA_5" localSheetId="16" hidden="1">'Q4 TB-20'!$89:$89,'Q4 TB-20'!$90:$90,'Q4 TB-20'!$91:$91,'Q4 TB-20'!$92:$92,'Q4 TB-20'!$93:$93,'Q4 TB-20'!$94:$94,'Q4 TB-20'!$95:$95,'Q4 TB-20'!$96:$96,'Q4 TB-20'!$97:$97,'Q4 TB-20'!$98:$98,'Q4 TB-20'!$100:$100,'Q4 TB-20'!$101:$101,'Q4 TB-20'!$102:$102,'Q4 TB-20'!$103:$103,'Q4 TB-20'!$104:$104,'Q4 TB-20'!$105:$105</definedName>
    <definedName name="QB_DATA_5" localSheetId="24" hidden="1">'Raw Data 01-31-2019'!$86:$86,'Raw Data 01-31-2019'!$87:$87,'Raw Data 01-31-2019'!$88:$88,'Raw Data 01-31-2019'!$89:$89,'Raw Data 01-31-2019'!$90:$90,'Raw Data 01-31-2019'!$91:$91,'Raw Data 01-31-2019'!$92:$92,'Raw Data 01-31-2019'!$93:$93,'Raw Data 01-31-2019'!$94:$94,'Raw Data 01-31-2019'!$95:$95,'Raw Data 01-31-2019'!$96:$96,'Raw Data 01-31-2019'!$97:$97,'Raw Data 01-31-2019'!$98:$98,'Raw Data 01-31-2019'!$99:$99,'Raw Data 01-31-2019'!$100:$100,'Raw Data 01-31-2019'!$101:$101</definedName>
    <definedName name="QB_DATA_5" localSheetId="29" hidden="1">'Raw Data 01-31-2020'!$86:$86,'Raw Data 01-31-2020'!$87:$87,'Raw Data 01-31-2020'!$88:$88,'Raw Data 01-31-2020'!$89:$89,'Raw Data 01-31-2020'!$90:$90,'Raw Data 01-31-2020'!$91:$91,'Raw Data 01-31-2020'!$92:$92,'Raw Data 01-31-2020'!$93:$93,'Raw Data 01-31-2020'!$94:$94,'Raw Data 01-31-2020'!$95:$95,'Raw Data 01-31-2020'!$96:$96,'Raw Data 01-31-2020'!$97:$97,'Raw Data 01-31-2020'!$98:$98,'Raw Data 01-31-2020'!$99:$99,'Raw Data 01-31-2020'!$100:$100,'Raw Data 01-31-2020'!$101:$101</definedName>
    <definedName name="QB_DATA_5" localSheetId="25" hidden="1">'Raw Data 04-30-2019'!$86:$86,'Raw Data 04-30-2019'!$87:$87,'Raw Data 04-30-2019'!$88:$88,'Raw Data 04-30-2019'!$89:$89,'Raw Data 04-30-2019'!$90:$90,'Raw Data 04-30-2019'!$91:$91,'Raw Data 04-30-2019'!$92:$92,'Raw Data 04-30-2019'!$93:$93,'Raw Data 04-30-2019'!$94:$94,'Raw Data 04-30-2019'!$95:$95,'Raw Data 04-30-2019'!$96:$96,'Raw Data 04-30-2019'!$97:$97,'Raw Data 04-30-2019'!$98:$98,'Raw Data 04-30-2019'!$99:$99,'Raw Data 04-30-2019'!$100:$100,'Raw Data 04-30-2019'!$101:$101</definedName>
    <definedName name="QB_DATA_5" localSheetId="30" hidden="1">'Raw Data 04-30-2020'!$86:$86,'Raw Data 04-30-2020'!$87:$87,'Raw Data 04-30-2020'!$88:$88,'Raw Data 04-30-2020'!$89:$89,'Raw Data 04-30-2020'!$90:$90,'Raw Data 04-30-2020'!$91:$91,'Raw Data 04-30-2020'!$92:$92,'Raw Data 04-30-2020'!$93:$93,'Raw Data 04-30-2020'!$94:$94,'Raw Data 04-30-2020'!$95:$95,'Raw Data 04-30-2020'!$96:$96,'Raw Data 04-30-2020'!$97:$97,'Raw Data 04-30-2020'!$98:$98,'Raw Data 04-30-2020'!$99:$99,'Raw Data 04-30-2020'!$100:$100,'Raw Data 04-30-2020'!$101:$101</definedName>
    <definedName name="QB_DATA_5" localSheetId="26" hidden="1">'Raw Data 07-31-2019'!$86:$86,'Raw Data 07-31-2019'!$87:$87,'Raw Data 07-31-2019'!$88:$88,'Raw Data 07-31-2019'!$89:$89,'Raw Data 07-31-2019'!$90:$90,'Raw Data 07-31-2019'!$91:$91,'Raw Data 07-31-2019'!$92:$92,'Raw Data 07-31-2019'!$93:$93,'Raw Data 07-31-2019'!$94:$94,'Raw Data 07-31-2019'!$95:$95,'Raw Data 07-31-2019'!$96:$96,'Raw Data 07-31-2019'!$97:$97,'Raw Data 07-31-2019'!$98:$98,'Raw Data 07-31-2019'!$99:$99,'Raw Data 07-31-2019'!$100:$100,'Raw Data 07-31-2019'!$101:$101</definedName>
    <definedName name="QB_DATA_5" localSheetId="31" hidden="1">'Raw Data 07-31-2020'!$86:$86,'Raw Data 07-31-2020'!$87:$87,'Raw Data 07-31-2020'!$88:$88,'Raw Data 07-31-2020'!$89:$89,'Raw Data 07-31-2020'!$90:$90,'Raw Data 07-31-2020'!$91:$91,'Raw Data 07-31-2020'!$92:$92,'Raw Data 07-31-2020'!$93:$93,'Raw Data 07-31-2020'!$94:$94,'Raw Data 07-31-2020'!$95:$95,'Raw Data 07-31-2020'!$96:$96,'Raw Data 07-31-2020'!$97:$97,'Raw Data 07-31-2020'!$98:$98,'Raw Data 07-31-2020'!$99:$99,'Raw Data 07-31-2020'!$100:$100,'Raw Data 07-31-2020'!$101:$101</definedName>
    <definedName name="QB_DATA_5" localSheetId="27" hidden="1">'Raw Data 10-31-2019'!$86:$86,'Raw Data 10-31-2019'!$87:$87,'Raw Data 10-31-2019'!$88:$88,'Raw Data 10-31-2019'!$89:$89,'Raw Data 10-31-2019'!$90:$90,'Raw Data 10-31-2019'!$91:$91,'Raw Data 10-31-2019'!$92:$92,'Raw Data 10-31-2019'!$93:$93,'Raw Data 10-31-2019'!$94:$94,'Raw Data 10-31-2019'!$95:$95,'Raw Data 10-31-2019'!$96:$96,'Raw Data 10-31-2019'!$97:$97,'Raw Data 10-31-2019'!$98:$98,'Raw Data 10-31-2019'!$99:$99,'Raw Data 10-31-2019'!$100:$100,'Raw Data 10-31-2019'!$101:$101</definedName>
    <definedName name="QB_DATA_5" localSheetId="28" hidden="1">'Raw Data 10-31-2020'!$87:$87,'Raw Data 10-31-2020'!$88:$88,'Raw Data 10-31-2020'!$89:$89,'Raw Data 10-31-2020'!$90:$90,'Raw Data 10-31-2020'!$91:$91,'Raw Data 10-31-2020'!$92:$92,'Raw Data 10-31-2020'!$93:$93,'Raw Data 10-31-2020'!$94:$94,'Raw Data 10-31-2020'!$95:$95,'Raw Data 10-31-2020'!$96:$96,'Raw Data 10-31-2020'!$97:$97,'Raw Data 10-31-2020'!$98:$98,'Raw Data 10-31-2020'!$99:$99,'Raw Data 10-31-2020'!$100:$100,'Raw Data 10-31-2020'!$101:$101,'Raw Data 10-31-2020'!$102:$102</definedName>
    <definedName name="QB_DATA_6" localSheetId="12" hidden="1">'Detail P&amp;L Analytic'!$99:$99,'Detail P&amp;L Analytic'!$100:$100,'Detail P&amp;L Analytic'!$101:$101,'Detail P&amp;L Analytic'!$102:$102,'Detail P&amp;L Analytic'!$103:$103,'Detail P&amp;L Analytic'!$104:$104,'Detail P&amp;L Analytic'!$105:$105,'Detail P&amp;L Analytic'!$106:$106,'Detail P&amp;L Analytic'!$107:$107,'Detail P&amp;L Analytic'!$108:$108,'Detail P&amp;L Analytic'!$109:$109,'Detail P&amp;L Analytic'!$110:$110,'Detail P&amp;L Analytic'!$111:$111,'Detail P&amp;L Analytic'!$112:$112,'Detail P&amp;L Analytic'!$113:$113,'Detail P&amp;L Analytic'!$114:$114</definedName>
    <definedName name="QB_DATA_6" localSheetId="14" hidden="1">'PY TB-18'!$106:$106,'PY TB-18'!$107:$107,'PY TB-18'!$108:$108,'PY TB-18'!$109:$109,'PY TB-18'!$110:$110,'PY TB-18'!$111:$111,'PY TB-18'!$112:$112,'PY TB-18'!$113:$113,'PY TB-18'!$114:$114,'PY TB-18'!$115:$115,'PY TB-18'!$117:$117,'PY TB-18'!$118:$118,'PY TB-18'!$119:$119,'PY TB-18'!$121:$121,'PY TB-18'!$122:$122,'PY TB-18'!$123:$123</definedName>
    <definedName name="QB_DATA_6" localSheetId="17" hidden="1">'Q1 TB-19'!$106:$106,'Q1 TB-19'!$107:$107,'Q1 TB-19'!$108:$108,'Q1 TB-19'!$109:$109,'Q1 TB-19'!$110:$110,'Q1 TB-19'!$111:$111,'Q1 TB-19'!$112:$112,'Q1 TB-19'!$113:$113,'Q1 TB-19'!$114:$114,'Q1 TB-19'!$115:$115,'Q1 TB-19'!$117:$117,'Q1 TB-19'!$118:$118,'Q1 TB-19'!$119:$119,'Q1 TB-19'!$121:$121,'Q1 TB-19'!$122:$122,'Q1 TB-19'!$123:$123</definedName>
    <definedName name="QB_DATA_6" localSheetId="20" hidden="1">'Q1 TB-20'!$106:$106,'Q1 TB-20'!$107:$107,'Q1 TB-20'!$108:$108,'Q1 TB-20'!$109:$109,'Q1 TB-20'!$110:$110,'Q1 TB-20'!$111:$111,'Q1 TB-20'!$112:$112,'Q1 TB-20'!$113:$113,'Q1 TB-20'!$114:$114,'Q1 TB-20'!$115:$115,'Q1 TB-20'!$117:$117,'Q1 TB-20'!$118:$118,'Q1 TB-20'!$119:$119,'Q1 TB-20'!$121:$121,'Q1 TB-20'!$122:$122,'Q1 TB-20'!$123:$123</definedName>
    <definedName name="QB_DATA_6" localSheetId="18" hidden="1">'Q2 TB-19'!$106:$106,'Q2 TB-19'!$107:$107,'Q2 TB-19'!$108:$108,'Q2 TB-19'!$109:$109,'Q2 TB-19'!$110:$110,'Q2 TB-19'!$111:$111,'Q2 TB-19'!$112:$112,'Q2 TB-19'!$113:$113,'Q2 TB-19'!$114:$114,'Q2 TB-19'!$115:$115,'Q2 TB-19'!$117:$117,'Q2 TB-19'!$118:$118,'Q2 TB-19'!$119:$119,'Q2 TB-19'!$121:$121,'Q2 TB-19'!$122:$122,'Q2 TB-19'!$123:$123</definedName>
    <definedName name="QB_DATA_6" localSheetId="21" hidden="1">'Q2 TB-20'!$106:$106,'Q2 TB-20'!$107:$107,'Q2 TB-20'!$108:$108,'Q2 TB-20'!$109:$109,'Q2 TB-20'!$110:$110,'Q2 TB-20'!$111:$111,'Q2 TB-20'!$112:$112,'Q2 TB-20'!$113:$113,'Q2 TB-20'!$114:$114,'Q2 TB-20'!$115:$115,'Q2 TB-20'!$117:$117,'Q2 TB-20'!$118:$118,'Q2 TB-20'!$119:$119,'Q2 TB-20'!$121:$121,'Q2 TB-20'!$122:$122,'Q2 TB-20'!$123:$123</definedName>
    <definedName name="QB_DATA_6" localSheetId="19" hidden="1">'Q3 TB-19'!$106:$106,'Q3 TB-19'!$107:$107,'Q3 TB-19'!$108:$108,'Q3 TB-19'!$109:$109,'Q3 TB-19'!$110:$110,'Q3 TB-19'!$111:$111,'Q3 TB-19'!$112:$112,'Q3 TB-19'!$113:$113,'Q3 TB-19'!$114:$114,'Q3 TB-19'!$115:$115,'Q3 TB-19'!$117:$117,'Q3 TB-19'!$118:$118,'Q3 TB-19'!$119:$119,'Q3 TB-19'!$121:$121,'Q3 TB-19'!$122:$122,'Q3 TB-19'!$123:$123</definedName>
    <definedName name="QB_DATA_6" localSheetId="22" hidden="1">'Q3 TB-20'!$106:$106,'Q3 TB-20'!$107:$107,'Q3 TB-20'!$108:$108,'Q3 TB-20'!$109:$109,'Q3 TB-20'!$110:$110,'Q3 TB-20'!$111:$111,'Q3 TB-20'!$112:$112,'Q3 TB-20'!$113:$113,'Q3 TB-20'!$114:$114,'Q3 TB-20'!$115:$115,'Q3 TB-20'!$117:$117,'Q3 TB-20'!$118:$118,'Q3 TB-20'!$119:$119,'Q3 TB-20'!$121:$121,'Q3 TB-20'!$122:$122,'Q3 TB-20'!$123:$123</definedName>
    <definedName name="QB_DATA_6" localSheetId="15" hidden="1">'Q4 TB-19'!$106:$106,'Q4 TB-19'!$107:$107,'Q4 TB-19'!$108:$108,'Q4 TB-19'!$109:$109,'Q4 TB-19'!$110:$110,'Q4 TB-19'!$111:$111,'Q4 TB-19'!$112:$112,'Q4 TB-19'!$113:$113,'Q4 TB-19'!$114:$114,'Q4 TB-19'!$115:$115,'Q4 TB-19'!$117:$117,'Q4 TB-19'!$118:$118,'Q4 TB-19'!$119:$119,'Q4 TB-19'!$121:$121,'Q4 TB-19'!$122:$122,'Q4 TB-19'!$123:$123</definedName>
    <definedName name="QB_DATA_6" localSheetId="16" hidden="1">'Q4 TB-20'!$106:$106,'Q4 TB-20'!$107:$107,'Q4 TB-20'!$108:$108,'Q4 TB-20'!$109:$109,'Q4 TB-20'!$110:$110,'Q4 TB-20'!$111:$111,'Q4 TB-20'!$112:$112,'Q4 TB-20'!$113:$113,'Q4 TB-20'!$114:$114,'Q4 TB-20'!$115:$115,'Q4 TB-20'!$117:$117,'Q4 TB-20'!$118:$118,'Q4 TB-20'!$119:$119,'Q4 TB-20'!$121:$121,'Q4 TB-20'!$122:$122,'Q4 TB-20'!$123:$123</definedName>
    <definedName name="QB_DATA_6" localSheetId="24" hidden="1">'Raw Data 01-31-2019'!$102:$102,'Raw Data 01-31-2019'!$103:$103,'Raw Data 01-31-2019'!$104:$104,'Raw Data 01-31-2019'!$105:$105,'Raw Data 01-31-2019'!$106:$106,'Raw Data 01-31-2019'!$107:$107,'Raw Data 01-31-2019'!$108:$108,'Raw Data 01-31-2019'!$109:$109,'Raw Data 01-31-2019'!$110:$110,'Raw Data 01-31-2019'!$111:$111,'Raw Data 01-31-2019'!$112:$112,'Raw Data 01-31-2019'!$113:$113,'Raw Data 01-31-2019'!$114:$114,'Raw Data 01-31-2019'!$115:$115,'Raw Data 01-31-2019'!$117:$117,'Raw Data 01-31-2019'!$118:$118</definedName>
    <definedName name="QB_DATA_6" localSheetId="29" hidden="1">'Raw Data 01-31-2020'!$102:$102,'Raw Data 01-31-2020'!$103:$103,'Raw Data 01-31-2020'!$104:$104,'Raw Data 01-31-2020'!$105:$105,'Raw Data 01-31-2020'!$106:$106,'Raw Data 01-31-2020'!$107:$107,'Raw Data 01-31-2020'!$108:$108,'Raw Data 01-31-2020'!$109:$109,'Raw Data 01-31-2020'!$110:$110,'Raw Data 01-31-2020'!$111:$111,'Raw Data 01-31-2020'!$112:$112,'Raw Data 01-31-2020'!$113:$113,'Raw Data 01-31-2020'!$114:$114,'Raw Data 01-31-2020'!$115:$115,'Raw Data 01-31-2020'!$117:$117,'Raw Data 01-31-2020'!$118:$118</definedName>
    <definedName name="QB_DATA_6" localSheetId="25" hidden="1">'Raw Data 04-30-2019'!$102:$102,'Raw Data 04-30-2019'!$103:$103,'Raw Data 04-30-2019'!$104:$104,'Raw Data 04-30-2019'!$105:$105,'Raw Data 04-30-2019'!$106:$106,'Raw Data 04-30-2019'!$107:$107,'Raw Data 04-30-2019'!$108:$108,'Raw Data 04-30-2019'!$109:$109,'Raw Data 04-30-2019'!$110:$110,'Raw Data 04-30-2019'!$111:$111,'Raw Data 04-30-2019'!$112:$112,'Raw Data 04-30-2019'!$113:$113,'Raw Data 04-30-2019'!$114:$114,'Raw Data 04-30-2019'!$115:$115,'Raw Data 04-30-2019'!$117:$117,'Raw Data 04-30-2019'!$118:$118</definedName>
    <definedName name="QB_DATA_6" localSheetId="30" hidden="1">'Raw Data 04-30-2020'!$102:$102,'Raw Data 04-30-2020'!$103:$103,'Raw Data 04-30-2020'!$104:$104,'Raw Data 04-30-2020'!$105:$105,'Raw Data 04-30-2020'!$106:$106,'Raw Data 04-30-2020'!$107:$107,'Raw Data 04-30-2020'!$108:$108,'Raw Data 04-30-2020'!$109:$109,'Raw Data 04-30-2020'!$110:$110,'Raw Data 04-30-2020'!$111:$111,'Raw Data 04-30-2020'!$112:$112,'Raw Data 04-30-2020'!$113:$113,'Raw Data 04-30-2020'!$114:$114,'Raw Data 04-30-2020'!$115:$115,'Raw Data 04-30-2020'!$117:$117,'Raw Data 04-30-2020'!$118:$118</definedName>
    <definedName name="QB_DATA_6" localSheetId="26" hidden="1">'Raw Data 07-31-2019'!$102:$102,'Raw Data 07-31-2019'!$103:$103,'Raw Data 07-31-2019'!$104:$104,'Raw Data 07-31-2019'!$105:$105,'Raw Data 07-31-2019'!$106:$106,'Raw Data 07-31-2019'!$107:$107,'Raw Data 07-31-2019'!$108:$108,'Raw Data 07-31-2019'!$109:$109,'Raw Data 07-31-2019'!$110:$110,'Raw Data 07-31-2019'!$111:$111,'Raw Data 07-31-2019'!$112:$112,'Raw Data 07-31-2019'!$113:$113,'Raw Data 07-31-2019'!$114:$114,'Raw Data 07-31-2019'!$115:$115,'Raw Data 07-31-2019'!$116:$116,'Raw Data 07-31-2019'!$118:$118</definedName>
    <definedName name="QB_DATA_6" localSheetId="31" hidden="1">'Raw Data 07-31-2020'!$102:$102,'Raw Data 07-31-2020'!$103:$103,'Raw Data 07-31-2020'!$104:$104,'Raw Data 07-31-2020'!$105:$105,'Raw Data 07-31-2020'!$106:$106,'Raw Data 07-31-2020'!$107:$107,'Raw Data 07-31-2020'!$108:$108,'Raw Data 07-31-2020'!$109:$109,'Raw Data 07-31-2020'!$110:$110,'Raw Data 07-31-2020'!$111:$111,'Raw Data 07-31-2020'!$112:$112,'Raw Data 07-31-2020'!$113:$113,'Raw Data 07-31-2020'!$114:$114,'Raw Data 07-31-2020'!$115:$115,'Raw Data 07-31-2020'!$116:$116,'Raw Data 07-31-2020'!$118:$118</definedName>
    <definedName name="QB_DATA_6" localSheetId="27" hidden="1">'Raw Data 10-31-2019'!$102:$102,'Raw Data 10-31-2019'!$103:$103,'Raw Data 10-31-2019'!$104:$104,'Raw Data 10-31-2019'!$105:$105,'Raw Data 10-31-2019'!$106:$106,'Raw Data 10-31-2019'!$107:$107,'Raw Data 10-31-2019'!$108:$108,'Raw Data 10-31-2019'!$109:$109,'Raw Data 10-31-2019'!$110:$110,'Raw Data 10-31-2019'!$111:$111,'Raw Data 10-31-2019'!$112:$112,'Raw Data 10-31-2019'!$113:$113,'Raw Data 10-31-2019'!$114:$114,'Raw Data 10-31-2019'!$115:$115,'Raw Data 10-31-2019'!$116:$116,'Raw Data 10-31-2019'!$118:$118</definedName>
    <definedName name="QB_DATA_6" localSheetId="28" hidden="1">'Raw Data 10-31-2020'!$103:$103,'Raw Data 10-31-2020'!$104:$104,'Raw Data 10-31-2020'!$105:$105,'Raw Data 10-31-2020'!$106:$106,'Raw Data 10-31-2020'!$107:$107,'Raw Data 10-31-2020'!$108:$108,'Raw Data 10-31-2020'!$109:$109,'Raw Data 10-31-2020'!$110:$110,'Raw Data 10-31-2020'!$111:$111,'Raw Data 10-31-2020'!$112:$112,'Raw Data 10-31-2020'!$113:$113,'Raw Data 10-31-2020'!$114:$114,'Raw Data 10-31-2020'!$115:$115,'Raw Data 10-31-2020'!$116:$116,'Raw Data 10-31-2020'!$117:$117,'Raw Data 10-31-2020'!$119:$119</definedName>
    <definedName name="QB_DATA_7" localSheetId="12" hidden="1">'Detail P&amp;L Analytic'!$115:$115,'Detail P&amp;L Analytic'!$116:$116,'Detail P&amp;L Analytic'!$117:$117,'Detail P&amp;L Analytic'!$118:$118,'Detail P&amp;L Analytic'!$119:$119,'Detail P&amp;L Analytic'!$120:$120,'Detail P&amp;L Analytic'!$121:$121,'Detail P&amp;L Analytic'!$122:$122,'Detail P&amp;L Analytic'!$123:$123,'Detail P&amp;L Analytic'!$124:$124,'Detail P&amp;L Analytic'!$125:$125,'Detail P&amp;L Analytic'!$126:$126,'Detail P&amp;L Analytic'!$127:$127,'Detail P&amp;L Analytic'!$128:$128,'Detail P&amp;L Analytic'!$129:$129,'Detail P&amp;L Analytic'!$130:$130</definedName>
    <definedName name="QB_DATA_7" localSheetId="14" hidden="1">'PY TB-18'!$124:$124,'PY TB-18'!$126:$126,'PY TB-18'!$127:$127,'PY TB-18'!$128:$128,'PY TB-18'!$129:$129,'PY TB-18'!$130:$130,'PY TB-18'!$131:$131,'PY TB-18'!$132:$132,'PY TB-18'!$133:$133,'PY TB-18'!$134:$134,'PY TB-18'!$135:$135,'PY TB-18'!$136:$136,'PY TB-18'!$137:$137,'PY TB-18'!$138:$138,'PY TB-18'!$139:$139,'PY TB-18'!$140:$140</definedName>
    <definedName name="QB_DATA_7" localSheetId="17" hidden="1">'Q1 TB-19'!$124:$124,'Q1 TB-19'!$126:$126,'Q1 TB-19'!$127:$127,'Q1 TB-19'!$128:$128,'Q1 TB-19'!$129:$129,'Q1 TB-19'!$130:$130,'Q1 TB-19'!$131:$131,'Q1 TB-19'!$132:$132,'Q1 TB-19'!$133:$133,'Q1 TB-19'!$134:$134,'Q1 TB-19'!$135:$135,'Q1 TB-19'!$136:$136,'Q1 TB-19'!$137:$137,'Q1 TB-19'!$138:$138,'Q1 TB-19'!$139:$139,'Q1 TB-19'!$140:$140</definedName>
    <definedName name="QB_DATA_7" localSheetId="20" hidden="1">'Q1 TB-20'!$124:$124,'Q1 TB-20'!$126:$126,'Q1 TB-20'!$127:$127,'Q1 TB-20'!$128:$128,'Q1 TB-20'!$129:$129,'Q1 TB-20'!$130:$130,'Q1 TB-20'!$131:$131,'Q1 TB-20'!$132:$132,'Q1 TB-20'!$133:$133,'Q1 TB-20'!$134:$134,'Q1 TB-20'!$135:$135,'Q1 TB-20'!$136:$136,'Q1 TB-20'!$137:$137,'Q1 TB-20'!$138:$138,'Q1 TB-20'!$139:$139,'Q1 TB-20'!$140:$140</definedName>
    <definedName name="QB_DATA_7" localSheetId="18" hidden="1">'Q2 TB-19'!$124:$124,'Q2 TB-19'!$126:$126,'Q2 TB-19'!$127:$127,'Q2 TB-19'!$128:$128,'Q2 TB-19'!$129:$129,'Q2 TB-19'!$130:$130,'Q2 TB-19'!$131:$131,'Q2 TB-19'!$132:$132,'Q2 TB-19'!$133:$133,'Q2 TB-19'!$134:$134,'Q2 TB-19'!$135:$135,'Q2 TB-19'!$136:$136,'Q2 TB-19'!$137:$137,'Q2 TB-19'!$138:$138,'Q2 TB-19'!$139:$139,'Q2 TB-19'!$140:$140</definedName>
    <definedName name="QB_DATA_7" localSheetId="21" hidden="1">'Q2 TB-20'!$124:$124,'Q2 TB-20'!$126:$126,'Q2 TB-20'!$127:$127,'Q2 TB-20'!$128:$128,'Q2 TB-20'!$129:$129,'Q2 TB-20'!$130:$130,'Q2 TB-20'!$131:$131,'Q2 TB-20'!$132:$132,'Q2 TB-20'!$133:$133,'Q2 TB-20'!$134:$134,'Q2 TB-20'!$135:$135,'Q2 TB-20'!$136:$136,'Q2 TB-20'!$137:$137,'Q2 TB-20'!$138:$138,'Q2 TB-20'!$139:$139,'Q2 TB-20'!$140:$140</definedName>
    <definedName name="QB_DATA_7" localSheetId="19" hidden="1">'Q3 TB-19'!$124:$124,'Q3 TB-19'!$126:$126,'Q3 TB-19'!$127:$127,'Q3 TB-19'!$128:$128,'Q3 TB-19'!$129:$129,'Q3 TB-19'!$130:$130,'Q3 TB-19'!$131:$131,'Q3 TB-19'!$132:$132,'Q3 TB-19'!$133:$133,'Q3 TB-19'!$134:$134,'Q3 TB-19'!$135:$135,'Q3 TB-19'!$136:$136,'Q3 TB-19'!$137:$137,'Q3 TB-19'!$138:$138,'Q3 TB-19'!$139:$139,'Q3 TB-19'!$140:$140</definedName>
    <definedName name="QB_DATA_7" localSheetId="22" hidden="1">'Q3 TB-20'!$124:$124,'Q3 TB-20'!$126:$126,'Q3 TB-20'!$127:$127,'Q3 TB-20'!$128:$128,'Q3 TB-20'!$129:$129,'Q3 TB-20'!$130:$130,'Q3 TB-20'!$131:$131,'Q3 TB-20'!$132:$132,'Q3 TB-20'!$133:$133,'Q3 TB-20'!$134:$134,'Q3 TB-20'!$135:$135,'Q3 TB-20'!$136:$136,'Q3 TB-20'!$137:$137,'Q3 TB-20'!$138:$138,'Q3 TB-20'!$139:$139,'Q3 TB-20'!$140:$140</definedName>
    <definedName name="QB_DATA_7" localSheetId="15" hidden="1">'Q4 TB-19'!$124:$124,'Q4 TB-19'!$126:$126,'Q4 TB-19'!$127:$127,'Q4 TB-19'!$128:$128,'Q4 TB-19'!$129:$129,'Q4 TB-19'!$130:$130,'Q4 TB-19'!$131:$131,'Q4 TB-19'!$132:$132,'Q4 TB-19'!$133:$133,'Q4 TB-19'!$134:$134,'Q4 TB-19'!$135:$135,'Q4 TB-19'!$136:$136,'Q4 TB-19'!$137:$137,'Q4 TB-19'!$138:$138,'Q4 TB-19'!$139:$139,'Q4 TB-19'!$140:$140</definedName>
    <definedName name="QB_DATA_7" localSheetId="16" hidden="1">'Q4 TB-20'!$124:$124,'Q4 TB-20'!$126:$126,'Q4 TB-20'!$127:$127,'Q4 TB-20'!$128:$128,'Q4 TB-20'!$129:$129,'Q4 TB-20'!$130:$130,'Q4 TB-20'!$131:$131,'Q4 TB-20'!$132:$132,'Q4 TB-20'!$133:$133,'Q4 TB-20'!$134:$134,'Q4 TB-20'!$135:$135,'Q4 TB-20'!$136:$136,'Q4 TB-20'!$137:$137,'Q4 TB-20'!$138:$138,'Q4 TB-20'!$139:$139,'Q4 TB-20'!$140:$140</definedName>
    <definedName name="QB_DATA_7" localSheetId="24" hidden="1">'Raw Data 01-31-2019'!$119:$119,'Raw Data 01-31-2019'!$120:$120,'Raw Data 01-31-2019'!$121:$121,'Raw Data 01-31-2019'!$122:$122,'Raw Data 01-31-2019'!$123:$123,'Raw Data 01-31-2019'!$124:$124,'Raw Data 01-31-2019'!$125:$125,'Raw Data 01-31-2019'!$126:$126,'Raw Data 01-31-2019'!$127:$127,'Raw Data 01-31-2019'!$128:$128,'Raw Data 01-31-2019'!$129:$129,'Raw Data 01-31-2019'!$130:$130,'Raw Data 01-31-2019'!$131:$131,'Raw Data 01-31-2019'!$132:$132,'Raw Data 01-31-2019'!$133:$133,'Raw Data 01-31-2019'!$134:$134</definedName>
    <definedName name="QB_DATA_7" localSheetId="29" hidden="1">'Raw Data 01-31-2020'!$119:$119,'Raw Data 01-31-2020'!$120:$120,'Raw Data 01-31-2020'!$121:$121,'Raw Data 01-31-2020'!$122:$122,'Raw Data 01-31-2020'!$123:$123,'Raw Data 01-31-2020'!$124:$124,'Raw Data 01-31-2020'!$125:$125,'Raw Data 01-31-2020'!$126:$126,'Raw Data 01-31-2020'!$127:$127,'Raw Data 01-31-2020'!$128:$128,'Raw Data 01-31-2020'!$129:$129,'Raw Data 01-31-2020'!$130:$130,'Raw Data 01-31-2020'!$131:$131,'Raw Data 01-31-2020'!$132:$132,'Raw Data 01-31-2020'!$133:$133,'Raw Data 01-31-2020'!$134:$134</definedName>
    <definedName name="QB_DATA_7" localSheetId="25" hidden="1">'Raw Data 04-30-2019'!$119:$119,'Raw Data 04-30-2019'!$120:$120,'Raw Data 04-30-2019'!$121:$121,'Raw Data 04-30-2019'!$122:$122,'Raw Data 04-30-2019'!$123:$123,'Raw Data 04-30-2019'!$124:$124,'Raw Data 04-30-2019'!$125:$125,'Raw Data 04-30-2019'!$126:$126,'Raw Data 04-30-2019'!$127:$127,'Raw Data 04-30-2019'!$128:$128,'Raw Data 04-30-2019'!$129:$129,'Raw Data 04-30-2019'!$130:$130,'Raw Data 04-30-2019'!$131:$131,'Raw Data 04-30-2019'!$132:$132,'Raw Data 04-30-2019'!$133:$133,'Raw Data 04-30-2019'!$134:$134</definedName>
    <definedName name="QB_DATA_7" localSheetId="30" hidden="1">'Raw Data 04-30-2020'!$119:$119,'Raw Data 04-30-2020'!$120:$120,'Raw Data 04-30-2020'!$121:$121,'Raw Data 04-30-2020'!$122:$122,'Raw Data 04-30-2020'!$123:$123,'Raw Data 04-30-2020'!$124:$124,'Raw Data 04-30-2020'!$125:$125,'Raw Data 04-30-2020'!$126:$126,'Raw Data 04-30-2020'!$127:$127,'Raw Data 04-30-2020'!$128:$128,'Raw Data 04-30-2020'!$129:$129,'Raw Data 04-30-2020'!$130:$130,'Raw Data 04-30-2020'!$131:$131,'Raw Data 04-30-2020'!$132:$132,'Raw Data 04-30-2020'!$133:$133,'Raw Data 04-30-2020'!$134:$134</definedName>
    <definedName name="QB_DATA_7" localSheetId="26" hidden="1">'Raw Data 07-31-2019'!$119:$119,'Raw Data 07-31-2019'!$120:$120,'Raw Data 07-31-2019'!$121:$121,'Raw Data 07-31-2019'!$122:$122,'Raw Data 07-31-2019'!$123:$123,'Raw Data 07-31-2019'!$124:$124,'Raw Data 07-31-2019'!$125:$125,'Raw Data 07-31-2019'!$126:$126,'Raw Data 07-31-2019'!$127:$127,'Raw Data 07-31-2019'!$128:$128,'Raw Data 07-31-2019'!$129:$129,'Raw Data 07-31-2019'!$130:$130,'Raw Data 07-31-2019'!$131:$131,'Raw Data 07-31-2019'!$132:$132,'Raw Data 07-31-2019'!$133:$133,'Raw Data 07-31-2019'!$134:$134</definedName>
    <definedName name="QB_DATA_7" localSheetId="31" hidden="1">'Raw Data 07-31-2020'!$119:$119,'Raw Data 07-31-2020'!$120:$120,'Raw Data 07-31-2020'!$121:$121,'Raw Data 07-31-2020'!$122:$122,'Raw Data 07-31-2020'!$123:$123,'Raw Data 07-31-2020'!$124:$124,'Raw Data 07-31-2020'!$125:$125,'Raw Data 07-31-2020'!$126:$126,'Raw Data 07-31-2020'!$127:$127,'Raw Data 07-31-2020'!$128:$128,'Raw Data 07-31-2020'!$129:$129,'Raw Data 07-31-2020'!$130:$130,'Raw Data 07-31-2020'!$131:$131,'Raw Data 07-31-2020'!$132:$132,'Raw Data 07-31-2020'!$133:$133,'Raw Data 07-31-2020'!$134:$134</definedName>
    <definedName name="QB_DATA_7" localSheetId="27" hidden="1">'Raw Data 10-31-2019'!$119:$119,'Raw Data 10-31-2019'!$120:$120,'Raw Data 10-31-2019'!$121:$121,'Raw Data 10-31-2019'!$122:$122,'Raw Data 10-31-2019'!$123:$123,'Raw Data 10-31-2019'!$124:$124,'Raw Data 10-31-2019'!$125:$125,'Raw Data 10-31-2019'!$126:$126,'Raw Data 10-31-2019'!$127:$127,'Raw Data 10-31-2019'!$128:$128,'Raw Data 10-31-2019'!$129:$129,'Raw Data 10-31-2019'!$130:$130,'Raw Data 10-31-2019'!$131:$131,'Raw Data 10-31-2019'!$133:$133,'Raw Data 10-31-2019'!$134:$134,'Raw Data 10-31-2019'!$135:$135</definedName>
    <definedName name="QB_DATA_7" localSheetId="28" hidden="1">'Raw Data 10-31-2020'!$120:$120,'Raw Data 10-31-2020'!$121:$121,'Raw Data 10-31-2020'!$122:$122,'Raw Data 10-31-2020'!$123:$123,'Raw Data 10-31-2020'!$124:$124,'Raw Data 10-31-2020'!$125:$125,'Raw Data 10-31-2020'!$126:$126,'Raw Data 10-31-2020'!$127:$127,'Raw Data 10-31-2020'!$128:$128,'Raw Data 10-31-2020'!$129:$129,'Raw Data 10-31-2020'!$130:$130,'Raw Data 10-31-2020'!$131:$131,'Raw Data 10-31-2020'!$132:$132,'Raw Data 10-31-2020'!$133:$133,'Raw Data 10-31-2020'!$134:$134,'Raw Data 10-31-2020'!$136:$136</definedName>
    <definedName name="QB_DATA_8" localSheetId="12" hidden="1">'Detail P&amp;L Analytic'!$131:$131,'Detail P&amp;L Analytic'!$132:$132,'Detail P&amp;L Analytic'!$133:$133,'Detail P&amp;L Analytic'!$134:$134,'Detail P&amp;L Analytic'!$135:$135,'Detail P&amp;L Analytic'!$136:$136,'Detail P&amp;L Analytic'!$137:$137,'Detail P&amp;L Analytic'!$138:$138,'Detail P&amp;L Analytic'!$139:$139,'Detail P&amp;L Analytic'!$140:$140,'Detail P&amp;L Analytic'!$141:$141,'Detail P&amp;L Analytic'!$142:$142,'Detail P&amp;L Analytic'!$143:$143,'Detail P&amp;L Analytic'!$144:$144,'Detail P&amp;L Analytic'!$145:$145,'Detail P&amp;L Analytic'!$146:$146</definedName>
    <definedName name="QB_DATA_8" localSheetId="14" hidden="1">'PY TB-18'!$141:$141,'PY TB-18'!$142:$142,'PY TB-18'!$143:$143,'PY TB-18'!$144:$144,'PY TB-18'!$145:$145,'PY TB-18'!$146:$146,'PY TB-18'!$147:$147,'PY TB-18'!$148:$148,'PY TB-18'!$149:$149,'PY TB-18'!$150:$150,'PY TB-18'!$151:$151,'PY TB-18'!$152:$152,'PY TB-18'!$153:$153,'PY TB-18'!$154:$154,'PY TB-18'!$155:$155,'PY TB-18'!$156:$156</definedName>
    <definedName name="QB_DATA_8" localSheetId="17" hidden="1">'Q1 TB-19'!$141:$141,'Q1 TB-19'!$142:$142,'Q1 TB-19'!$143:$143,'Q1 TB-19'!$144:$144,'Q1 TB-19'!$145:$145,'Q1 TB-19'!$146:$146,'Q1 TB-19'!$147:$147,'Q1 TB-19'!$148:$148,'Q1 TB-19'!$149:$149,'Q1 TB-19'!$150:$150,'Q1 TB-19'!$151:$151,'Q1 TB-19'!$152:$152,'Q1 TB-19'!$153:$153,'Q1 TB-19'!$154:$154,'Q1 TB-19'!$155:$155,'Q1 TB-19'!$156:$156</definedName>
    <definedName name="QB_DATA_8" localSheetId="20" hidden="1">'Q1 TB-20'!$141:$141,'Q1 TB-20'!$142:$142,'Q1 TB-20'!$143:$143,'Q1 TB-20'!$144:$144,'Q1 TB-20'!$145:$145,'Q1 TB-20'!$146:$146,'Q1 TB-20'!$147:$147,'Q1 TB-20'!$148:$148,'Q1 TB-20'!$149:$149,'Q1 TB-20'!$150:$150,'Q1 TB-20'!$151:$151,'Q1 TB-20'!$152:$152,'Q1 TB-20'!$153:$153,'Q1 TB-20'!$154:$154,'Q1 TB-20'!$155:$155,'Q1 TB-20'!$156:$156</definedName>
    <definedName name="QB_DATA_8" localSheetId="18" hidden="1">'Q2 TB-19'!$141:$141,'Q2 TB-19'!$142:$142,'Q2 TB-19'!$143:$143,'Q2 TB-19'!$144:$144,'Q2 TB-19'!$145:$145,'Q2 TB-19'!$146:$146,'Q2 TB-19'!$147:$147,'Q2 TB-19'!$148:$148,'Q2 TB-19'!$149:$149,'Q2 TB-19'!$150:$150,'Q2 TB-19'!$151:$151,'Q2 TB-19'!$152:$152,'Q2 TB-19'!$153:$153,'Q2 TB-19'!$154:$154,'Q2 TB-19'!$155:$155,'Q2 TB-19'!$156:$156</definedName>
    <definedName name="QB_DATA_8" localSheetId="21" hidden="1">'Q2 TB-20'!$141:$141,'Q2 TB-20'!$142:$142,'Q2 TB-20'!$143:$143,'Q2 TB-20'!$144:$144,'Q2 TB-20'!$145:$145,'Q2 TB-20'!$146:$146,'Q2 TB-20'!$147:$147,'Q2 TB-20'!$148:$148,'Q2 TB-20'!$149:$149,'Q2 TB-20'!$150:$150,'Q2 TB-20'!$151:$151,'Q2 TB-20'!$152:$152,'Q2 TB-20'!$153:$153,'Q2 TB-20'!$154:$154,'Q2 TB-20'!$155:$155,'Q2 TB-20'!$156:$156</definedName>
    <definedName name="QB_DATA_8" localSheetId="19" hidden="1">'Q3 TB-19'!$141:$141,'Q3 TB-19'!$142:$142,'Q3 TB-19'!$143:$143,'Q3 TB-19'!$144:$144,'Q3 TB-19'!$145:$145,'Q3 TB-19'!$146:$146,'Q3 TB-19'!$147:$147,'Q3 TB-19'!$148:$148,'Q3 TB-19'!$149:$149,'Q3 TB-19'!$150:$150,'Q3 TB-19'!$151:$151,'Q3 TB-19'!$152:$152,'Q3 TB-19'!$153:$153,'Q3 TB-19'!$154:$154,'Q3 TB-19'!$155:$155,'Q3 TB-19'!$156:$156</definedName>
    <definedName name="QB_DATA_8" localSheetId="22" hidden="1">'Q3 TB-20'!$141:$141,'Q3 TB-20'!$142:$142,'Q3 TB-20'!$143:$143,'Q3 TB-20'!$144:$144,'Q3 TB-20'!$145:$145,'Q3 TB-20'!$146:$146,'Q3 TB-20'!$147:$147,'Q3 TB-20'!$148:$148,'Q3 TB-20'!$149:$149,'Q3 TB-20'!$150:$150,'Q3 TB-20'!$151:$151,'Q3 TB-20'!$152:$152,'Q3 TB-20'!$153:$153,'Q3 TB-20'!$154:$154,'Q3 TB-20'!$155:$155,'Q3 TB-20'!$156:$156</definedName>
    <definedName name="QB_DATA_8" localSheetId="15" hidden="1">'Q4 TB-19'!$141:$141,'Q4 TB-19'!$142:$142,'Q4 TB-19'!$143:$143,'Q4 TB-19'!$144:$144,'Q4 TB-19'!$145:$145,'Q4 TB-19'!$146:$146,'Q4 TB-19'!$147:$147,'Q4 TB-19'!$148:$148,'Q4 TB-19'!$149:$149,'Q4 TB-19'!$150:$150,'Q4 TB-19'!$151:$151,'Q4 TB-19'!$152:$152,'Q4 TB-19'!$153:$153,'Q4 TB-19'!$154:$154,'Q4 TB-19'!$155:$155,'Q4 TB-19'!$156:$156</definedName>
    <definedName name="QB_DATA_8" localSheetId="16" hidden="1">'Q4 TB-20'!$141:$141,'Q4 TB-20'!$142:$142,'Q4 TB-20'!$143:$143,'Q4 TB-20'!$144:$144,'Q4 TB-20'!$145:$145,'Q4 TB-20'!$146:$146,'Q4 TB-20'!$147:$147,'Q4 TB-20'!$148:$148,'Q4 TB-20'!$149:$149,'Q4 TB-20'!$150:$150,'Q4 TB-20'!$151:$151,'Q4 TB-20'!$152:$152,'Q4 TB-20'!$153:$153,'Q4 TB-20'!$154:$154,'Q4 TB-20'!$155:$155,'Q4 TB-20'!$156:$156</definedName>
    <definedName name="QB_DATA_8" localSheetId="24" hidden="1">'Raw Data 01-31-2019'!$135:$135,'Raw Data 01-31-2019'!$136:$136,'Raw Data 01-31-2019'!$137:$137,'Raw Data 01-31-2019'!$138:$138,'Raw Data 01-31-2019'!$139:$139,'Raw Data 01-31-2019'!$140:$140,'Raw Data 01-31-2019'!$141:$141,'Raw Data 01-31-2019'!$142:$142,'Raw Data 01-31-2019'!$143:$143,'Raw Data 01-31-2019'!$144:$144,'Raw Data 01-31-2019'!$145:$145,'Raw Data 01-31-2019'!$146:$146,'Raw Data 01-31-2019'!$147:$147,'Raw Data 01-31-2019'!$148:$148,'Raw Data 01-31-2019'!$149:$149,'Raw Data 01-31-2019'!$150:$150</definedName>
    <definedName name="QB_DATA_8" localSheetId="29" hidden="1">'Raw Data 01-31-2020'!$135:$135,'Raw Data 01-31-2020'!$136:$136,'Raw Data 01-31-2020'!$137:$137,'Raw Data 01-31-2020'!$138:$138,'Raw Data 01-31-2020'!$139:$139,'Raw Data 01-31-2020'!$140:$140,'Raw Data 01-31-2020'!$141:$141,'Raw Data 01-31-2020'!$142:$142,'Raw Data 01-31-2020'!$143:$143,'Raw Data 01-31-2020'!$144:$144,'Raw Data 01-31-2020'!$145:$145,'Raw Data 01-31-2020'!$146:$146,'Raw Data 01-31-2020'!$147:$147,'Raw Data 01-31-2020'!$148:$148,'Raw Data 01-31-2020'!$149:$149,'Raw Data 01-31-2020'!$150:$150</definedName>
    <definedName name="QB_DATA_8" localSheetId="25" hidden="1">'Raw Data 04-30-2019'!$135:$135,'Raw Data 04-30-2019'!$136:$136,'Raw Data 04-30-2019'!$137:$137,'Raw Data 04-30-2019'!$138:$138,'Raw Data 04-30-2019'!$139:$139,'Raw Data 04-30-2019'!$140:$140,'Raw Data 04-30-2019'!$141:$141,'Raw Data 04-30-2019'!$142:$142,'Raw Data 04-30-2019'!$143:$143,'Raw Data 04-30-2019'!$144:$144,'Raw Data 04-30-2019'!$145:$145,'Raw Data 04-30-2019'!$146:$146,'Raw Data 04-30-2019'!$147:$147,'Raw Data 04-30-2019'!$148:$148,'Raw Data 04-30-2019'!$149:$149,'Raw Data 04-30-2019'!$150:$150</definedName>
    <definedName name="QB_DATA_8" localSheetId="30" hidden="1">'Raw Data 04-30-2020'!$135:$135,'Raw Data 04-30-2020'!$136:$136,'Raw Data 04-30-2020'!$137:$137,'Raw Data 04-30-2020'!$138:$138,'Raw Data 04-30-2020'!$139:$139,'Raw Data 04-30-2020'!$140:$140,'Raw Data 04-30-2020'!$141:$141,'Raw Data 04-30-2020'!$142:$142,'Raw Data 04-30-2020'!$143:$143,'Raw Data 04-30-2020'!$144:$144,'Raw Data 04-30-2020'!$145:$145,'Raw Data 04-30-2020'!$146:$146,'Raw Data 04-30-2020'!$147:$147,'Raw Data 04-30-2020'!$148:$148,'Raw Data 04-30-2020'!$149:$149,'Raw Data 04-30-2020'!$150:$150</definedName>
    <definedName name="QB_DATA_8" localSheetId="26" hidden="1">'Raw Data 07-31-2019'!$135:$135,'Raw Data 07-31-2019'!$136:$136,'Raw Data 07-31-2019'!$137:$137,'Raw Data 07-31-2019'!$138:$138,'Raw Data 07-31-2019'!$139:$139,'Raw Data 07-31-2019'!$140:$140,'Raw Data 07-31-2019'!$141:$141,'Raw Data 07-31-2019'!$142:$142,'Raw Data 07-31-2019'!$143:$143,'Raw Data 07-31-2019'!$144:$144,'Raw Data 07-31-2019'!$145:$145,'Raw Data 07-31-2019'!$146:$146,'Raw Data 07-31-2019'!$147:$147,'Raw Data 07-31-2019'!$148:$148,'Raw Data 07-31-2019'!$149:$149,'Raw Data 07-31-2019'!$150:$150</definedName>
    <definedName name="QB_DATA_8" localSheetId="31" hidden="1">'Raw Data 07-31-2020'!$135:$135,'Raw Data 07-31-2020'!$136:$136,'Raw Data 07-31-2020'!$137:$137,'Raw Data 07-31-2020'!$138:$138,'Raw Data 07-31-2020'!$139:$139,'Raw Data 07-31-2020'!$140:$140,'Raw Data 07-31-2020'!$141:$141,'Raw Data 07-31-2020'!$142:$142,'Raw Data 07-31-2020'!$143:$143,'Raw Data 07-31-2020'!$144:$144,'Raw Data 07-31-2020'!$145:$145,'Raw Data 07-31-2020'!$146:$146,'Raw Data 07-31-2020'!$147:$147,'Raw Data 07-31-2020'!$148:$148,'Raw Data 07-31-2020'!$149:$149,'Raw Data 07-31-2020'!$150:$150</definedName>
    <definedName name="QB_DATA_8" localSheetId="27" hidden="1">'Raw Data 10-31-2019'!$136:$136,'Raw Data 10-31-2019'!$137:$137,'Raw Data 10-31-2019'!$138:$138,'Raw Data 10-31-2019'!$139:$139,'Raw Data 10-31-2019'!$140:$140,'Raw Data 10-31-2019'!$141:$141,'Raw Data 10-31-2019'!$142:$142,'Raw Data 10-31-2019'!$143:$143,'Raw Data 10-31-2019'!$144:$144,'Raw Data 10-31-2019'!$145:$145,'Raw Data 10-31-2019'!$146:$146,'Raw Data 10-31-2019'!$147:$147,'Raw Data 10-31-2019'!$148:$148,'Raw Data 10-31-2019'!$149:$149,'Raw Data 10-31-2019'!$150:$150,'Raw Data 10-31-2019'!$151:$151</definedName>
    <definedName name="QB_DATA_8" localSheetId="28" hidden="1">'Raw Data 10-31-2020'!$137:$137,'Raw Data 10-31-2020'!$138:$138,'Raw Data 10-31-2020'!$139:$139,'Raw Data 10-31-2020'!$140:$140,'Raw Data 10-31-2020'!$141:$141,'Raw Data 10-31-2020'!$142:$142,'Raw Data 10-31-2020'!$143:$143,'Raw Data 10-31-2020'!$144:$144,'Raw Data 10-31-2020'!$145:$145,'Raw Data 10-31-2020'!$146:$146,'Raw Data 10-31-2020'!$147:$147,'Raw Data 10-31-2020'!$148:$148,'Raw Data 10-31-2020'!$149:$149,'Raw Data 10-31-2020'!$150:$150,'Raw Data 10-31-2020'!$151:$151,'Raw Data 10-31-2020'!$152:$152</definedName>
    <definedName name="QB_DATA_9" localSheetId="12" hidden="1">'Detail P&amp;L Analytic'!$147:$147,'Detail P&amp;L Analytic'!$148:$148,'Detail P&amp;L Analytic'!$149:$149,'Detail P&amp;L Analytic'!$150:$150,'Detail P&amp;L Analytic'!$151:$151,'Detail P&amp;L Analytic'!$152:$152,'Detail P&amp;L Analytic'!$153:$153,'Detail P&amp;L Analytic'!$154:$154,'Detail P&amp;L Analytic'!$155:$155,'Detail P&amp;L Analytic'!$156:$156,'Detail P&amp;L Analytic'!$157:$157,'Detail P&amp;L Analytic'!$158:$158,'Detail P&amp;L Analytic'!$159:$159,'Detail P&amp;L Analytic'!$160:$160,'Detail P&amp;L Analytic'!$161:$161,'Detail P&amp;L Analytic'!$162:$162</definedName>
    <definedName name="QB_DATA_9" localSheetId="14" hidden="1">'PY TB-18'!$157:$157,'PY TB-18'!$158:$158,'PY TB-18'!$159:$159,'PY TB-18'!$160:$160,'PY TB-18'!$161:$161,'PY TB-18'!$162:$162,'PY TB-18'!$163:$163,'PY TB-18'!$164:$164,'PY TB-18'!$165:$165,'PY TB-18'!$166:$166,'PY TB-18'!$167:$167,'PY TB-18'!$168:$168,'PY TB-18'!$169:$169,'PY TB-18'!$170:$170,'PY TB-18'!$171:$171,'PY TB-18'!$172:$172</definedName>
    <definedName name="QB_DATA_9" localSheetId="17" hidden="1">'Q1 TB-19'!$157:$157,'Q1 TB-19'!$158:$158,'Q1 TB-19'!$159:$159,'Q1 TB-19'!$160:$160,'Q1 TB-19'!$161:$161,'Q1 TB-19'!$162:$162,'Q1 TB-19'!$163:$163,'Q1 TB-19'!$164:$164,'Q1 TB-19'!$165:$165,'Q1 TB-19'!$166:$166,'Q1 TB-19'!$167:$167,'Q1 TB-19'!$168:$168,'Q1 TB-19'!$169:$169,'Q1 TB-19'!$170:$170,'Q1 TB-19'!$171:$171,'Q1 TB-19'!$172:$172</definedName>
    <definedName name="QB_DATA_9" localSheetId="20" hidden="1">'Q1 TB-20'!$157:$157,'Q1 TB-20'!$158:$158,'Q1 TB-20'!$159:$159,'Q1 TB-20'!$160:$160,'Q1 TB-20'!$161:$161,'Q1 TB-20'!$162:$162,'Q1 TB-20'!$163:$163,'Q1 TB-20'!$164:$164,'Q1 TB-20'!$165:$165,'Q1 TB-20'!$166:$166,'Q1 TB-20'!$167:$167,'Q1 TB-20'!$168:$168,'Q1 TB-20'!$169:$169,'Q1 TB-20'!$170:$170,'Q1 TB-20'!$171:$171,'Q1 TB-20'!$172:$172</definedName>
    <definedName name="QB_DATA_9" localSheetId="18" hidden="1">'Q2 TB-19'!$157:$157,'Q2 TB-19'!$158:$158,'Q2 TB-19'!$159:$159,'Q2 TB-19'!$160:$160,'Q2 TB-19'!$161:$161,'Q2 TB-19'!$162:$162,'Q2 TB-19'!$163:$163,'Q2 TB-19'!$164:$164,'Q2 TB-19'!$165:$165,'Q2 TB-19'!$166:$166,'Q2 TB-19'!$167:$167,'Q2 TB-19'!$168:$168,'Q2 TB-19'!$169:$169,'Q2 TB-19'!$170:$170,'Q2 TB-19'!$171:$171,'Q2 TB-19'!$172:$172</definedName>
    <definedName name="QB_DATA_9" localSheetId="21" hidden="1">'Q2 TB-20'!$157:$157,'Q2 TB-20'!$158:$158,'Q2 TB-20'!$159:$159,'Q2 TB-20'!$160:$160,'Q2 TB-20'!$161:$161,'Q2 TB-20'!$162:$162,'Q2 TB-20'!$163:$163,'Q2 TB-20'!$164:$164,'Q2 TB-20'!$165:$165,'Q2 TB-20'!$166:$166,'Q2 TB-20'!$167:$167,'Q2 TB-20'!$168:$168,'Q2 TB-20'!$169:$169,'Q2 TB-20'!$170:$170,'Q2 TB-20'!$171:$171,'Q2 TB-20'!$172:$172</definedName>
    <definedName name="QB_DATA_9" localSheetId="19" hidden="1">'Q3 TB-19'!$157:$157,'Q3 TB-19'!$158:$158,'Q3 TB-19'!$159:$159,'Q3 TB-19'!$160:$160,'Q3 TB-19'!$161:$161,'Q3 TB-19'!$162:$162,'Q3 TB-19'!$163:$163,'Q3 TB-19'!$164:$164,'Q3 TB-19'!$165:$165,'Q3 TB-19'!$166:$166,'Q3 TB-19'!$167:$167,'Q3 TB-19'!$168:$168,'Q3 TB-19'!$169:$169,'Q3 TB-19'!$170:$170,'Q3 TB-19'!$171:$171,'Q3 TB-19'!$172:$172</definedName>
    <definedName name="QB_DATA_9" localSheetId="22" hidden="1">'Q3 TB-20'!$157:$157,'Q3 TB-20'!$158:$158,'Q3 TB-20'!$159:$159,'Q3 TB-20'!$160:$160,'Q3 TB-20'!$161:$161,'Q3 TB-20'!$162:$162,'Q3 TB-20'!$163:$163,'Q3 TB-20'!$164:$164,'Q3 TB-20'!$165:$165,'Q3 TB-20'!$166:$166,'Q3 TB-20'!$167:$167,'Q3 TB-20'!$168:$168,'Q3 TB-20'!$169:$169,'Q3 TB-20'!$170:$170,'Q3 TB-20'!$171:$171,'Q3 TB-20'!$172:$172</definedName>
    <definedName name="QB_DATA_9" localSheetId="15" hidden="1">'Q4 TB-19'!$157:$157,'Q4 TB-19'!$158:$158,'Q4 TB-19'!$159:$159,'Q4 TB-19'!$160:$160,'Q4 TB-19'!$161:$161,'Q4 TB-19'!$162:$162,'Q4 TB-19'!$163:$163,'Q4 TB-19'!$164:$164,'Q4 TB-19'!$165:$165,'Q4 TB-19'!$166:$166,'Q4 TB-19'!$167:$167,'Q4 TB-19'!$168:$168,'Q4 TB-19'!$169:$169,'Q4 TB-19'!$170:$170,'Q4 TB-19'!$171:$171,'Q4 TB-19'!$172:$172</definedName>
    <definedName name="QB_DATA_9" localSheetId="16" hidden="1">'Q4 TB-20'!$157:$157,'Q4 TB-20'!$158:$158,'Q4 TB-20'!$159:$159,'Q4 TB-20'!$160:$160,'Q4 TB-20'!$161:$161,'Q4 TB-20'!$162:$162,'Q4 TB-20'!$163:$163,'Q4 TB-20'!$164:$164,'Q4 TB-20'!$165:$165,'Q4 TB-20'!$166:$166,'Q4 TB-20'!$167:$167,'Q4 TB-20'!$168:$168,'Q4 TB-20'!$169:$169,'Q4 TB-20'!$170:$170,'Q4 TB-20'!$171:$171,'Q4 TB-20'!$172:$172</definedName>
    <definedName name="QB_DATA_9" localSheetId="24" hidden="1">'Raw Data 01-31-2019'!$151:$151,'Raw Data 01-31-2019'!$152:$152,'Raw Data 01-31-2019'!$153:$153,'Raw Data 01-31-2019'!$154:$154,'Raw Data 01-31-2019'!$155:$155,'Raw Data 01-31-2019'!$156:$156,'Raw Data 01-31-2019'!$157:$157,'Raw Data 01-31-2019'!$158:$158,'Raw Data 01-31-2019'!$159:$159,'Raw Data 01-31-2019'!$160:$160,'Raw Data 01-31-2019'!$161:$161,'Raw Data 01-31-2019'!$162:$162,'Raw Data 01-31-2019'!$163:$163,'Raw Data 01-31-2019'!$164:$164,'Raw Data 01-31-2019'!$165:$165,'Raw Data 01-31-2019'!$166:$166</definedName>
    <definedName name="QB_DATA_9" localSheetId="29" hidden="1">'Raw Data 01-31-2020'!$151:$151,'Raw Data 01-31-2020'!$152:$152,'Raw Data 01-31-2020'!$153:$153,'Raw Data 01-31-2020'!$154:$154,'Raw Data 01-31-2020'!$155:$155,'Raw Data 01-31-2020'!$156:$156,'Raw Data 01-31-2020'!$157:$157,'Raw Data 01-31-2020'!$158:$158,'Raw Data 01-31-2020'!$159:$159,'Raw Data 01-31-2020'!$160:$160,'Raw Data 01-31-2020'!$161:$161,'Raw Data 01-31-2020'!$162:$162,'Raw Data 01-31-2020'!$163:$163,'Raw Data 01-31-2020'!$164:$164,'Raw Data 01-31-2020'!$165:$165,'Raw Data 01-31-2020'!$166:$166</definedName>
    <definedName name="QB_DATA_9" localSheetId="25" hidden="1">'Raw Data 04-30-2019'!$151:$151,'Raw Data 04-30-2019'!$152:$152,'Raw Data 04-30-2019'!$153:$153,'Raw Data 04-30-2019'!$154:$154,'Raw Data 04-30-2019'!$155:$155,'Raw Data 04-30-2019'!$156:$156,'Raw Data 04-30-2019'!$157:$157,'Raw Data 04-30-2019'!$158:$158,'Raw Data 04-30-2019'!$159:$159,'Raw Data 04-30-2019'!$160:$160,'Raw Data 04-30-2019'!$161:$161,'Raw Data 04-30-2019'!$162:$162,'Raw Data 04-30-2019'!$163:$163,'Raw Data 04-30-2019'!$164:$164,'Raw Data 04-30-2019'!$165:$165,'Raw Data 04-30-2019'!$166:$166</definedName>
    <definedName name="QB_DATA_9" localSheetId="30" hidden="1">'Raw Data 04-30-2020'!$151:$151,'Raw Data 04-30-2020'!$152:$152,'Raw Data 04-30-2020'!$153:$153,'Raw Data 04-30-2020'!$154:$154,'Raw Data 04-30-2020'!$155:$155,'Raw Data 04-30-2020'!$156:$156,'Raw Data 04-30-2020'!$157:$157,'Raw Data 04-30-2020'!$158:$158,'Raw Data 04-30-2020'!$159:$159,'Raw Data 04-30-2020'!$160:$160,'Raw Data 04-30-2020'!$161:$161,'Raw Data 04-30-2020'!$162:$162,'Raw Data 04-30-2020'!$163:$163,'Raw Data 04-30-2020'!$164:$164,'Raw Data 04-30-2020'!$165:$165,'Raw Data 04-30-2020'!$166:$166</definedName>
    <definedName name="QB_DATA_9" localSheetId="26" hidden="1">'Raw Data 07-31-2019'!$151:$151,'Raw Data 07-31-2019'!$152:$152,'Raw Data 07-31-2019'!$153:$153,'Raw Data 07-31-2019'!$154:$154,'Raw Data 07-31-2019'!$155:$155,'Raw Data 07-31-2019'!$156:$156,'Raw Data 07-31-2019'!$157:$157,'Raw Data 07-31-2019'!$158:$158,'Raw Data 07-31-2019'!$159:$159,'Raw Data 07-31-2019'!$160:$160,'Raw Data 07-31-2019'!$161:$161,'Raw Data 07-31-2019'!$162:$162,'Raw Data 07-31-2019'!$163:$163,'Raw Data 07-31-2019'!$164:$164,'Raw Data 07-31-2019'!$165:$165,'Raw Data 07-31-2019'!$166:$166</definedName>
    <definedName name="QB_DATA_9" localSheetId="31" hidden="1">'Raw Data 07-31-2020'!$151:$151,'Raw Data 07-31-2020'!$152:$152,'Raw Data 07-31-2020'!$153:$153,'Raw Data 07-31-2020'!$154:$154,'Raw Data 07-31-2020'!$155:$155,'Raw Data 07-31-2020'!$156:$156,'Raw Data 07-31-2020'!$157:$157,'Raw Data 07-31-2020'!$158:$158,'Raw Data 07-31-2020'!$159:$159,'Raw Data 07-31-2020'!$160:$160,'Raw Data 07-31-2020'!$161:$161,'Raw Data 07-31-2020'!$162:$162,'Raw Data 07-31-2020'!$163:$163,'Raw Data 07-31-2020'!$164:$164,'Raw Data 07-31-2020'!$165:$165,'Raw Data 07-31-2020'!$166:$166</definedName>
    <definedName name="QB_DATA_9" localSheetId="27" hidden="1">'Raw Data 10-31-2019'!$152:$152,'Raw Data 10-31-2019'!$153:$153,'Raw Data 10-31-2019'!$154:$154,'Raw Data 10-31-2019'!$155:$155,'Raw Data 10-31-2019'!$156:$156,'Raw Data 10-31-2019'!$157:$157,'Raw Data 10-31-2019'!$158:$158,'Raw Data 10-31-2019'!$159:$159,'Raw Data 10-31-2019'!$160:$160,'Raw Data 10-31-2019'!$161:$161,'Raw Data 10-31-2019'!$162:$162,'Raw Data 10-31-2019'!$163:$163,'Raw Data 10-31-2019'!$164:$164,'Raw Data 10-31-2019'!$165:$165,'Raw Data 10-31-2019'!$166:$166,'Raw Data 10-31-2019'!$167:$167</definedName>
    <definedName name="QB_DATA_9" localSheetId="28" hidden="1">'Raw Data 10-31-2020'!$153:$153,'Raw Data 10-31-2020'!$154:$154,'Raw Data 10-31-2020'!$155:$155,'Raw Data 10-31-2020'!$156:$156,'Raw Data 10-31-2020'!$157:$157,'Raw Data 10-31-2020'!$158:$158,'Raw Data 10-31-2020'!$159:$159,'Raw Data 10-31-2020'!$160:$160,'Raw Data 10-31-2020'!$161:$161,'Raw Data 10-31-2020'!$162:$162,'Raw Data 10-31-2020'!$163:$163,'Raw Data 10-31-2020'!$164:$164,'Raw Data 10-31-2020'!$165:$165,'Raw Data 10-31-2020'!$166:$166,'Raw Data 10-31-2020'!$167:$167,'Raw Data 10-31-2020'!$168:$168</definedName>
    <definedName name="QB_FORMULA_0" localSheetId="12" hidden="1">'Detail P&amp;L Analytic'!#REF!,'Detail P&amp;L Analytic'!#REF!</definedName>
    <definedName name="QB_FORMULA_0" localSheetId="14" hidden="1">'PY TB-18'!$C$209,'PY TB-18'!$E$209</definedName>
    <definedName name="QB_FORMULA_0" localSheetId="17" hidden="1">'Q1 TB-19'!$C$209,'Q1 TB-19'!$E$209</definedName>
    <definedName name="QB_FORMULA_0" localSheetId="20" hidden="1">'Q1 TB-20'!$C$209,'Q1 TB-20'!$E$209</definedName>
    <definedName name="QB_FORMULA_0" localSheetId="18" hidden="1">'Q2 TB-19'!$C$209,'Q2 TB-19'!$E$209</definedName>
    <definedName name="QB_FORMULA_0" localSheetId="21" hidden="1">'Q2 TB-20'!$C$209,'Q2 TB-20'!$E$209</definedName>
    <definedName name="QB_FORMULA_0" localSheetId="19" hidden="1">'Q3 TB-19'!$C$209,'Q3 TB-19'!$E$209</definedName>
    <definedName name="QB_FORMULA_0" localSheetId="22" hidden="1">'Q3 TB-20'!$C$209,'Q3 TB-20'!$E$209</definedName>
    <definedName name="QB_FORMULA_0" localSheetId="15" hidden="1">'Q4 TB-19'!$C$209,'Q4 TB-19'!$E$209</definedName>
    <definedName name="QB_FORMULA_0" localSheetId="16" hidden="1">'Q4 TB-20'!$C$209,'Q4 TB-20'!$E$209</definedName>
    <definedName name="QB_FORMULA_0" localSheetId="24" hidden="1">'Raw Data 01-31-2019'!$C$203,'Raw Data 01-31-2019'!$E$203</definedName>
    <definedName name="QB_FORMULA_0" localSheetId="29" hidden="1">'Raw Data 01-31-2020'!$C$203,'Raw Data 01-31-2020'!$E$203</definedName>
    <definedName name="QB_FORMULA_0" localSheetId="25" hidden="1">'Raw Data 04-30-2019'!$C$203,'Raw Data 04-30-2019'!$E$203</definedName>
    <definedName name="QB_FORMULA_0" localSheetId="30" hidden="1">'Raw Data 04-30-2020'!$C$203,'Raw Data 04-30-2020'!$E$203</definedName>
    <definedName name="QB_FORMULA_0" localSheetId="26" hidden="1">'Raw Data 07-31-2019'!$C$203,'Raw Data 07-31-2019'!$E$203</definedName>
    <definedName name="QB_FORMULA_0" localSheetId="31" hidden="1">'Raw Data 07-31-2020'!$C$203,'Raw Data 07-31-2020'!$E$203</definedName>
    <definedName name="QB_FORMULA_0" localSheetId="27" hidden="1">'Raw Data 10-31-2019'!$C$204,'Raw Data 10-31-2019'!$E$204</definedName>
    <definedName name="QB_FORMULA_0" localSheetId="28" hidden="1">'Raw Data 10-31-2020'!$C$205,'Raw Data 10-31-2020'!$E$205</definedName>
    <definedName name="QB_ROW_100210" localSheetId="12" hidden="1">'Detail P&amp;L Analytic'!$B$98</definedName>
    <definedName name="QB_ROW_100210" localSheetId="14" hidden="1">'PY TB-18'!$B$105</definedName>
    <definedName name="QB_ROW_100210" localSheetId="17" hidden="1">'Q1 TB-19'!$B$105</definedName>
    <definedName name="QB_ROW_100210" localSheetId="20" hidden="1">'Q1 TB-20'!$B$105</definedName>
    <definedName name="QB_ROW_100210" localSheetId="18" hidden="1">'Q2 TB-19'!$B$105</definedName>
    <definedName name="QB_ROW_100210" localSheetId="21" hidden="1">'Q2 TB-20'!$B$105</definedName>
    <definedName name="QB_ROW_100210" localSheetId="19" hidden="1">'Q3 TB-19'!$B$105</definedName>
    <definedName name="QB_ROW_100210" localSheetId="22" hidden="1">'Q3 TB-20'!$B$105</definedName>
    <definedName name="QB_ROW_100210" localSheetId="15" hidden="1">'Q4 TB-19'!$B$105</definedName>
    <definedName name="QB_ROW_100210" localSheetId="16" hidden="1">'Q4 TB-20'!$B$105</definedName>
    <definedName name="QB_ROW_100210" localSheetId="24" hidden="1">'Raw Data 01-31-2019'!$B$101</definedName>
    <definedName name="QB_ROW_100210" localSheetId="29" hidden="1">'Raw Data 01-31-2020'!$B$101</definedName>
    <definedName name="QB_ROW_100210" localSheetId="25" hidden="1">'Raw Data 04-30-2019'!$B$101</definedName>
    <definedName name="QB_ROW_100210" localSheetId="30" hidden="1">'Raw Data 04-30-2020'!$B$101</definedName>
    <definedName name="QB_ROW_100210" localSheetId="26" hidden="1">'Raw Data 07-31-2019'!$B$101</definedName>
    <definedName name="QB_ROW_100210" localSheetId="31" hidden="1">'Raw Data 07-31-2020'!$B$101</definedName>
    <definedName name="QB_ROW_100210" localSheetId="27" hidden="1">'Raw Data 10-31-2019'!$B$101</definedName>
    <definedName name="QB_ROW_100210" localSheetId="28" hidden="1">'Raw Data 10-31-2020'!$B$102</definedName>
    <definedName name="QB_ROW_101210" localSheetId="12" hidden="1">'Detail P&amp;L Analytic'!$B$100</definedName>
    <definedName name="QB_ROW_101210" localSheetId="14" hidden="1">'PY TB-18'!$B$107</definedName>
    <definedName name="QB_ROW_101210" localSheetId="17" hidden="1">'Q1 TB-19'!$B$107</definedName>
    <definedName name="QB_ROW_101210" localSheetId="20" hidden="1">'Q1 TB-20'!$B$107</definedName>
    <definedName name="QB_ROW_101210" localSheetId="18" hidden="1">'Q2 TB-19'!$B$107</definedName>
    <definedName name="QB_ROW_101210" localSheetId="21" hidden="1">'Q2 TB-20'!$B$107</definedName>
    <definedName name="QB_ROW_101210" localSheetId="19" hidden="1">'Q3 TB-19'!$B$107</definedName>
    <definedName name="QB_ROW_101210" localSheetId="22" hidden="1">'Q3 TB-20'!$B$107</definedName>
    <definedName name="QB_ROW_101210" localSheetId="15" hidden="1">'Q4 TB-19'!$B$107</definedName>
    <definedName name="QB_ROW_101210" localSheetId="16" hidden="1">'Q4 TB-20'!$B$107</definedName>
    <definedName name="QB_ROW_101210" localSheetId="24" hidden="1">'Raw Data 01-31-2019'!$B$103</definedName>
    <definedName name="QB_ROW_101210" localSheetId="29" hidden="1">'Raw Data 01-31-2020'!$B$103</definedName>
    <definedName name="QB_ROW_101210" localSheetId="25" hidden="1">'Raw Data 04-30-2019'!$B$103</definedName>
    <definedName name="QB_ROW_101210" localSheetId="30" hidden="1">'Raw Data 04-30-2020'!$B$103</definedName>
    <definedName name="QB_ROW_101210" localSheetId="26" hidden="1">'Raw Data 07-31-2019'!$B$103</definedName>
    <definedName name="QB_ROW_101210" localSheetId="31" hidden="1">'Raw Data 07-31-2020'!$B$103</definedName>
    <definedName name="QB_ROW_101210" localSheetId="27" hidden="1">'Raw Data 10-31-2019'!$B$103</definedName>
    <definedName name="QB_ROW_101210" localSheetId="28" hidden="1">'Raw Data 10-31-2020'!$B$104</definedName>
    <definedName name="QB_ROW_10210" localSheetId="12" hidden="1">'Detail P&amp;L Analytic'!$B$158</definedName>
    <definedName name="QB_ROW_10210" localSheetId="14" hidden="1">'PY TB-18'!$B$168</definedName>
    <definedName name="QB_ROW_10210" localSheetId="17" hidden="1">'Q1 TB-19'!$B$168</definedName>
    <definedName name="QB_ROW_10210" localSheetId="20" hidden="1">'Q1 TB-20'!$B$168</definedName>
    <definedName name="QB_ROW_10210" localSheetId="18" hidden="1">'Q2 TB-19'!$B$168</definedName>
    <definedName name="QB_ROW_10210" localSheetId="21" hidden="1">'Q2 TB-20'!$B$168</definedName>
    <definedName name="QB_ROW_10210" localSheetId="19" hidden="1">'Q3 TB-19'!$B$168</definedName>
    <definedName name="QB_ROW_10210" localSheetId="22" hidden="1">'Q3 TB-20'!$B$168</definedName>
    <definedName name="QB_ROW_10210" localSheetId="15" hidden="1">'Q4 TB-19'!$B$168</definedName>
    <definedName name="QB_ROW_10210" localSheetId="16" hidden="1">'Q4 TB-20'!$B$168</definedName>
    <definedName name="QB_ROW_10210" localSheetId="24" hidden="1">'Raw Data 01-31-2019'!$B$162</definedName>
    <definedName name="QB_ROW_10210" localSheetId="29" hidden="1">'Raw Data 01-31-2020'!$B$162</definedName>
    <definedName name="QB_ROW_10210" localSheetId="25" hidden="1">'Raw Data 04-30-2019'!$B$162</definedName>
    <definedName name="QB_ROW_10210" localSheetId="30" hidden="1">'Raw Data 04-30-2020'!$B$162</definedName>
    <definedName name="QB_ROW_10210" localSheetId="26" hidden="1">'Raw Data 07-31-2019'!$B$162</definedName>
    <definedName name="QB_ROW_10210" localSheetId="31" hidden="1">'Raw Data 07-31-2020'!$B$162</definedName>
    <definedName name="QB_ROW_10210" localSheetId="27" hidden="1">'Raw Data 10-31-2019'!$B$163</definedName>
    <definedName name="QB_ROW_10210" localSheetId="28" hidden="1">'Raw Data 10-31-2020'!$B$164</definedName>
    <definedName name="QB_ROW_102210" localSheetId="12" hidden="1">'Detail P&amp;L Analytic'!$B$121</definedName>
    <definedName name="QB_ROW_102210" localSheetId="14" hidden="1">'PY TB-18'!$B$131</definedName>
    <definedName name="QB_ROW_102210" localSheetId="17" hidden="1">'Q1 TB-19'!$B$131</definedName>
    <definedName name="QB_ROW_102210" localSheetId="20" hidden="1">'Q1 TB-20'!$B$131</definedName>
    <definedName name="QB_ROW_102210" localSheetId="18" hidden="1">'Q2 TB-19'!$B$131</definedName>
    <definedName name="QB_ROW_102210" localSheetId="21" hidden="1">'Q2 TB-20'!$B$131</definedName>
    <definedName name="QB_ROW_102210" localSheetId="19" hidden="1">'Q3 TB-19'!$B$131</definedName>
    <definedName name="QB_ROW_102210" localSheetId="22" hidden="1">'Q3 TB-20'!$B$131</definedName>
    <definedName name="QB_ROW_102210" localSheetId="15" hidden="1">'Q4 TB-19'!$B$131</definedName>
    <definedName name="QB_ROW_102210" localSheetId="16" hidden="1">'Q4 TB-20'!$B$131</definedName>
    <definedName name="QB_ROW_102210" localSheetId="24" hidden="1">'Raw Data 01-31-2019'!$B$125</definedName>
    <definedName name="QB_ROW_102210" localSheetId="29" hidden="1">'Raw Data 01-31-2020'!$B$125</definedName>
    <definedName name="QB_ROW_102210" localSheetId="25" hidden="1">'Raw Data 04-30-2019'!$B$125</definedName>
    <definedName name="QB_ROW_102210" localSheetId="30" hidden="1">'Raw Data 04-30-2020'!$B$125</definedName>
    <definedName name="QB_ROW_102210" localSheetId="26" hidden="1">'Raw Data 07-31-2019'!$B$125</definedName>
    <definedName name="QB_ROW_102210" localSheetId="31" hidden="1">'Raw Data 07-31-2020'!$B$125</definedName>
    <definedName name="QB_ROW_102210" localSheetId="27" hidden="1">'Raw Data 10-31-2019'!$B$125</definedName>
    <definedName name="QB_ROW_102210" localSheetId="28" hidden="1">'Raw Data 10-31-2020'!$B$126</definedName>
    <definedName name="QB_ROW_103210" localSheetId="12" hidden="1">'Detail P&amp;L Analytic'!$B$120</definedName>
    <definedName name="QB_ROW_103210" localSheetId="14" hidden="1">'PY TB-18'!$B$130</definedName>
    <definedName name="QB_ROW_103210" localSheetId="17" hidden="1">'Q1 TB-19'!$B$130</definedName>
    <definedName name="QB_ROW_103210" localSheetId="20" hidden="1">'Q1 TB-20'!$B$130</definedName>
    <definedName name="QB_ROW_103210" localSheetId="18" hidden="1">'Q2 TB-19'!$B$130</definedName>
    <definedName name="QB_ROW_103210" localSheetId="21" hidden="1">'Q2 TB-20'!$B$130</definedName>
    <definedName name="QB_ROW_103210" localSheetId="19" hidden="1">'Q3 TB-19'!$B$130</definedName>
    <definedName name="QB_ROW_103210" localSheetId="22" hidden="1">'Q3 TB-20'!$B$130</definedName>
    <definedName name="QB_ROW_103210" localSheetId="15" hidden="1">'Q4 TB-19'!$B$130</definedName>
    <definedName name="QB_ROW_103210" localSheetId="16" hidden="1">'Q4 TB-20'!$B$130</definedName>
    <definedName name="QB_ROW_103210" localSheetId="24" hidden="1">'Raw Data 01-31-2019'!$B$124</definedName>
    <definedName name="QB_ROW_103210" localSheetId="29" hidden="1">'Raw Data 01-31-2020'!$B$124</definedName>
    <definedName name="QB_ROW_103210" localSheetId="25" hidden="1">'Raw Data 04-30-2019'!$B$124</definedName>
    <definedName name="QB_ROW_103210" localSheetId="30" hidden="1">'Raw Data 04-30-2020'!$B$124</definedName>
    <definedName name="QB_ROW_103210" localSheetId="26" hidden="1">'Raw Data 07-31-2019'!$B$124</definedName>
    <definedName name="QB_ROW_103210" localSheetId="31" hidden="1">'Raw Data 07-31-2020'!$B$124</definedName>
    <definedName name="QB_ROW_103210" localSheetId="27" hidden="1">'Raw Data 10-31-2019'!$B$124</definedName>
    <definedName name="QB_ROW_103210" localSheetId="28" hidden="1">'Raw Data 10-31-2020'!$B$125</definedName>
    <definedName name="QB_ROW_104210" localSheetId="12" hidden="1">'Detail P&amp;L Analytic'!$B$122</definedName>
    <definedName name="QB_ROW_104210" localSheetId="14" hidden="1">'PY TB-18'!$B$132</definedName>
    <definedName name="QB_ROW_104210" localSheetId="17" hidden="1">'Q1 TB-19'!$B$132</definedName>
    <definedName name="QB_ROW_104210" localSheetId="20" hidden="1">'Q1 TB-20'!$B$132</definedName>
    <definedName name="QB_ROW_104210" localSheetId="18" hidden="1">'Q2 TB-19'!$B$132</definedName>
    <definedName name="QB_ROW_104210" localSheetId="21" hidden="1">'Q2 TB-20'!$B$132</definedName>
    <definedName name="QB_ROW_104210" localSheetId="19" hidden="1">'Q3 TB-19'!$B$132</definedName>
    <definedName name="QB_ROW_104210" localSheetId="22" hidden="1">'Q3 TB-20'!$B$132</definedName>
    <definedName name="QB_ROW_104210" localSheetId="15" hidden="1">'Q4 TB-19'!$B$132</definedName>
    <definedName name="QB_ROW_104210" localSheetId="16" hidden="1">'Q4 TB-20'!$B$132</definedName>
    <definedName name="QB_ROW_104210" localSheetId="24" hidden="1">'Raw Data 01-31-2019'!$B$126</definedName>
    <definedName name="QB_ROW_104210" localSheetId="29" hidden="1">'Raw Data 01-31-2020'!$B$126</definedName>
    <definedName name="QB_ROW_104210" localSheetId="25" hidden="1">'Raw Data 04-30-2019'!$B$126</definedName>
    <definedName name="QB_ROW_104210" localSheetId="30" hidden="1">'Raw Data 04-30-2020'!$B$126</definedName>
    <definedName name="QB_ROW_104210" localSheetId="26" hidden="1">'Raw Data 07-31-2019'!$B$126</definedName>
    <definedName name="QB_ROW_104210" localSheetId="31" hidden="1">'Raw Data 07-31-2020'!$B$126</definedName>
    <definedName name="QB_ROW_104210" localSheetId="27" hidden="1">'Raw Data 10-31-2019'!$B$126</definedName>
    <definedName name="QB_ROW_104210" localSheetId="28" hidden="1">'Raw Data 10-31-2020'!$B$127</definedName>
    <definedName name="QB_ROW_105210" localSheetId="12" hidden="1">'Detail P&amp;L Analytic'!$B$127</definedName>
    <definedName name="QB_ROW_105210" localSheetId="14" hidden="1">'PY TB-18'!$B$137</definedName>
    <definedName name="QB_ROW_105210" localSheetId="17" hidden="1">'Q1 TB-19'!$B$137</definedName>
    <definedName name="QB_ROW_105210" localSheetId="20" hidden="1">'Q1 TB-20'!$B$137</definedName>
    <definedName name="QB_ROW_105210" localSheetId="18" hidden="1">'Q2 TB-19'!$B$137</definedName>
    <definedName name="QB_ROW_105210" localSheetId="21" hidden="1">'Q2 TB-20'!$B$137</definedName>
    <definedName name="QB_ROW_105210" localSheetId="19" hidden="1">'Q3 TB-19'!$B$137</definedName>
    <definedName name="QB_ROW_105210" localSheetId="22" hidden="1">'Q3 TB-20'!$B$137</definedName>
    <definedName name="QB_ROW_105210" localSheetId="15" hidden="1">'Q4 TB-19'!$B$137</definedName>
    <definedName name="QB_ROW_105210" localSheetId="16" hidden="1">'Q4 TB-20'!$B$137</definedName>
    <definedName name="QB_ROW_105210" localSheetId="24" hidden="1">'Raw Data 01-31-2019'!$B$131</definedName>
    <definedName name="QB_ROW_105210" localSheetId="29" hidden="1">'Raw Data 01-31-2020'!$B$131</definedName>
    <definedName name="QB_ROW_105210" localSheetId="25" hidden="1">'Raw Data 04-30-2019'!$B$131</definedName>
    <definedName name="QB_ROW_105210" localSheetId="30" hidden="1">'Raw Data 04-30-2020'!$B$131</definedName>
    <definedName name="QB_ROW_105210" localSheetId="26" hidden="1">'Raw Data 07-31-2019'!$B$131</definedName>
    <definedName name="QB_ROW_105210" localSheetId="31" hidden="1">'Raw Data 07-31-2020'!$B$131</definedName>
    <definedName name="QB_ROW_105210" localSheetId="27" hidden="1">'Raw Data 10-31-2019'!$B$131</definedName>
    <definedName name="QB_ROW_105210" localSheetId="28" hidden="1">'Raw Data 10-31-2020'!$B$132</definedName>
    <definedName name="QB_ROW_106210" localSheetId="12" hidden="1">'Detail P&amp;L Analytic'!$B$132</definedName>
    <definedName name="QB_ROW_106210" localSheetId="14" hidden="1">'PY TB-18'!$B$142</definedName>
    <definedName name="QB_ROW_106210" localSheetId="17" hidden="1">'Q1 TB-19'!$B$142</definedName>
    <definedName name="QB_ROW_106210" localSheetId="20" hidden="1">'Q1 TB-20'!$B$142</definedName>
    <definedName name="QB_ROW_106210" localSheetId="18" hidden="1">'Q2 TB-19'!$B$142</definedName>
    <definedName name="QB_ROW_106210" localSheetId="21" hidden="1">'Q2 TB-20'!$B$142</definedName>
    <definedName name="QB_ROW_106210" localSheetId="19" hidden="1">'Q3 TB-19'!$B$142</definedName>
    <definedName name="QB_ROW_106210" localSheetId="22" hidden="1">'Q3 TB-20'!$B$142</definedName>
    <definedName name="QB_ROW_106210" localSheetId="15" hidden="1">'Q4 TB-19'!$B$142</definedName>
    <definedName name="QB_ROW_106210" localSheetId="16" hidden="1">'Q4 TB-20'!$B$142</definedName>
    <definedName name="QB_ROW_106210" localSheetId="24" hidden="1">'Raw Data 01-31-2019'!$B$136</definedName>
    <definedName name="QB_ROW_106210" localSheetId="29" hidden="1">'Raw Data 01-31-2020'!$B$136</definedName>
    <definedName name="QB_ROW_106210" localSheetId="25" hidden="1">'Raw Data 04-30-2019'!$B$136</definedName>
    <definedName name="QB_ROW_106210" localSheetId="30" hidden="1">'Raw Data 04-30-2020'!$B$136</definedName>
    <definedName name="QB_ROW_106210" localSheetId="26" hidden="1">'Raw Data 07-31-2019'!$B$136</definedName>
    <definedName name="QB_ROW_106210" localSheetId="31" hidden="1">'Raw Data 07-31-2020'!$B$136</definedName>
    <definedName name="QB_ROW_106210" localSheetId="27" hidden="1">'Raw Data 10-31-2019'!$B$137</definedName>
    <definedName name="QB_ROW_106210" localSheetId="28" hidden="1">'Raw Data 10-31-2020'!$B$138</definedName>
    <definedName name="QB_ROW_108210" localSheetId="12" hidden="1">'Detail P&amp;L Analytic'!$B$134</definedName>
    <definedName name="QB_ROW_108210" localSheetId="14" hidden="1">'PY TB-18'!$B$144</definedName>
    <definedName name="QB_ROW_108210" localSheetId="17" hidden="1">'Q1 TB-19'!$B$144</definedName>
    <definedName name="QB_ROW_108210" localSheetId="20" hidden="1">'Q1 TB-20'!$B$144</definedName>
    <definedName name="QB_ROW_108210" localSheetId="18" hidden="1">'Q2 TB-19'!$B$144</definedName>
    <definedName name="QB_ROW_108210" localSheetId="21" hidden="1">'Q2 TB-20'!$B$144</definedName>
    <definedName name="QB_ROW_108210" localSheetId="19" hidden="1">'Q3 TB-19'!$B$144</definedName>
    <definedName name="QB_ROW_108210" localSheetId="22" hidden="1">'Q3 TB-20'!$B$144</definedName>
    <definedName name="QB_ROW_108210" localSheetId="15" hidden="1">'Q4 TB-19'!$B$144</definedName>
    <definedName name="QB_ROW_108210" localSheetId="16" hidden="1">'Q4 TB-20'!$B$144</definedName>
    <definedName name="QB_ROW_108210" localSheetId="24" hidden="1">'Raw Data 01-31-2019'!$B$138</definedName>
    <definedName name="QB_ROW_108210" localSheetId="29" hidden="1">'Raw Data 01-31-2020'!$B$138</definedName>
    <definedName name="QB_ROW_108210" localSheetId="25" hidden="1">'Raw Data 04-30-2019'!$B$138</definedName>
    <definedName name="QB_ROW_108210" localSheetId="30" hidden="1">'Raw Data 04-30-2020'!$B$138</definedName>
    <definedName name="QB_ROW_108210" localSheetId="26" hidden="1">'Raw Data 07-31-2019'!$B$138</definedName>
    <definedName name="QB_ROW_108210" localSheetId="31" hidden="1">'Raw Data 07-31-2020'!$B$138</definedName>
    <definedName name="QB_ROW_108210" localSheetId="27" hidden="1">'Raw Data 10-31-2019'!$B$139</definedName>
    <definedName name="QB_ROW_108210" localSheetId="28" hidden="1">'Raw Data 10-31-2020'!$B$140</definedName>
    <definedName name="QB_ROW_110210" localSheetId="12" hidden="1">'Detail P&amp;L Analytic'!$B$150</definedName>
    <definedName name="QB_ROW_110210" localSheetId="14" hidden="1">'PY TB-18'!$B$160</definedName>
    <definedName name="QB_ROW_110210" localSheetId="17" hidden="1">'Q1 TB-19'!$B$160</definedName>
    <definedName name="QB_ROW_110210" localSheetId="20" hidden="1">'Q1 TB-20'!$B$160</definedName>
    <definedName name="QB_ROW_110210" localSheetId="18" hidden="1">'Q2 TB-19'!$B$160</definedName>
    <definedName name="QB_ROW_110210" localSheetId="21" hidden="1">'Q2 TB-20'!$B$160</definedName>
    <definedName name="QB_ROW_110210" localSheetId="19" hidden="1">'Q3 TB-19'!$B$160</definedName>
    <definedName name="QB_ROW_110210" localSheetId="22" hidden="1">'Q3 TB-20'!$B$160</definedName>
    <definedName name="QB_ROW_110210" localSheetId="15" hidden="1">'Q4 TB-19'!$B$160</definedName>
    <definedName name="QB_ROW_110210" localSheetId="16" hidden="1">'Q4 TB-20'!$B$160</definedName>
    <definedName name="QB_ROW_110210" localSheetId="24" hidden="1">'Raw Data 01-31-2019'!$B$154</definedName>
    <definedName name="QB_ROW_110210" localSheetId="29" hidden="1">'Raw Data 01-31-2020'!$B$154</definedName>
    <definedName name="QB_ROW_110210" localSheetId="25" hidden="1">'Raw Data 04-30-2019'!$B$154</definedName>
    <definedName name="QB_ROW_110210" localSheetId="30" hidden="1">'Raw Data 04-30-2020'!$B$154</definedName>
    <definedName name="QB_ROW_110210" localSheetId="26" hidden="1">'Raw Data 07-31-2019'!$B$154</definedName>
    <definedName name="QB_ROW_110210" localSheetId="31" hidden="1">'Raw Data 07-31-2020'!$B$154</definedName>
    <definedName name="QB_ROW_110210" localSheetId="27" hidden="1">'Raw Data 10-31-2019'!$B$155</definedName>
    <definedName name="QB_ROW_110210" localSheetId="28" hidden="1">'Raw Data 10-31-2020'!$B$156</definedName>
    <definedName name="QB_ROW_111210" localSheetId="12" hidden="1">'Detail P&amp;L Analytic'!$B$156</definedName>
    <definedName name="QB_ROW_111210" localSheetId="14" hidden="1">'PY TB-18'!$B$166</definedName>
    <definedName name="QB_ROW_111210" localSheetId="17" hidden="1">'Q1 TB-19'!$B$166</definedName>
    <definedName name="QB_ROW_111210" localSheetId="20" hidden="1">'Q1 TB-20'!$B$166</definedName>
    <definedName name="QB_ROW_111210" localSheetId="18" hidden="1">'Q2 TB-19'!$B$166</definedName>
    <definedName name="QB_ROW_111210" localSheetId="21" hidden="1">'Q2 TB-20'!$B$166</definedName>
    <definedName name="QB_ROW_111210" localSheetId="19" hidden="1">'Q3 TB-19'!$B$166</definedName>
    <definedName name="QB_ROW_111210" localSheetId="22" hidden="1">'Q3 TB-20'!$B$166</definedName>
    <definedName name="QB_ROW_111210" localSheetId="15" hidden="1">'Q4 TB-19'!$B$166</definedName>
    <definedName name="QB_ROW_111210" localSheetId="16" hidden="1">'Q4 TB-20'!$B$166</definedName>
    <definedName name="QB_ROW_111210" localSheetId="24" hidden="1">'Raw Data 01-31-2019'!$B$160</definedName>
    <definedName name="QB_ROW_111210" localSheetId="29" hidden="1">'Raw Data 01-31-2020'!$B$160</definedName>
    <definedName name="QB_ROW_111210" localSheetId="25" hidden="1">'Raw Data 04-30-2019'!$B$160</definedName>
    <definedName name="QB_ROW_111210" localSheetId="30" hidden="1">'Raw Data 04-30-2020'!$B$160</definedName>
    <definedName name="QB_ROW_111210" localSheetId="26" hidden="1">'Raw Data 07-31-2019'!$B$160</definedName>
    <definedName name="QB_ROW_111210" localSheetId="31" hidden="1">'Raw Data 07-31-2020'!$B$160</definedName>
    <definedName name="QB_ROW_111210" localSheetId="27" hidden="1">'Raw Data 10-31-2019'!$B$161</definedName>
    <definedName name="QB_ROW_111210" localSheetId="28" hidden="1">'Raw Data 10-31-2020'!$B$162</definedName>
    <definedName name="QB_ROW_11210" localSheetId="12" hidden="1">'Detail P&amp;L Analytic'!$B$159</definedName>
    <definedName name="QB_ROW_11210" localSheetId="14" hidden="1">'PY TB-18'!$B$169</definedName>
    <definedName name="QB_ROW_11210" localSheetId="17" hidden="1">'Q1 TB-19'!$B$169</definedName>
    <definedName name="QB_ROW_11210" localSheetId="20" hidden="1">'Q1 TB-20'!$B$169</definedName>
    <definedName name="QB_ROW_11210" localSheetId="18" hidden="1">'Q2 TB-19'!$B$169</definedName>
    <definedName name="QB_ROW_11210" localSheetId="21" hidden="1">'Q2 TB-20'!$B$169</definedName>
    <definedName name="QB_ROW_11210" localSheetId="19" hidden="1">'Q3 TB-19'!$B$169</definedName>
    <definedName name="QB_ROW_11210" localSheetId="22" hidden="1">'Q3 TB-20'!$B$169</definedName>
    <definedName name="QB_ROW_11210" localSheetId="15" hidden="1">'Q4 TB-19'!$B$169</definedName>
    <definedName name="QB_ROW_11210" localSheetId="16" hidden="1">'Q4 TB-20'!$B$169</definedName>
    <definedName name="QB_ROW_11210" localSheetId="24" hidden="1">'Raw Data 01-31-2019'!$B$163</definedName>
    <definedName name="QB_ROW_11210" localSheetId="29" hidden="1">'Raw Data 01-31-2020'!$B$163</definedName>
    <definedName name="QB_ROW_11210" localSheetId="25" hidden="1">'Raw Data 04-30-2019'!$B$163</definedName>
    <definedName name="QB_ROW_11210" localSheetId="30" hidden="1">'Raw Data 04-30-2020'!$B$163</definedName>
    <definedName name="QB_ROW_11210" localSheetId="26" hidden="1">'Raw Data 07-31-2019'!$B$163</definedName>
    <definedName name="QB_ROW_11210" localSheetId="31" hidden="1">'Raw Data 07-31-2020'!$B$163</definedName>
    <definedName name="QB_ROW_11210" localSheetId="27" hidden="1">'Raw Data 10-31-2019'!$B$164</definedName>
    <definedName name="QB_ROW_11210" localSheetId="28" hidden="1">'Raw Data 10-31-2020'!$B$165</definedName>
    <definedName name="QB_ROW_114210" localSheetId="12" hidden="1">'Detail P&amp;L Analytic'!$B$162</definedName>
    <definedName name="QB_ROW_114210" localSheetId="14" hidden="1">'PY TB-18'!$B$172</definedName>
    <definedName name="QB_ROW_114210" localSheetId="17" hidden="1">'Q1 TB-19'!$B$172</definedName>
    <definedName name="QB_ROW_114210" localSheetId="20" hidden="1">'Q1 TB-20'!$B$172</definedName>
    <definedName name="QB_ROW_114210" localSheetId="18" hidden="1">'Q2 TB-19'!$B$172</definedName>
    <definedName name="QB_ROW_114210" localSheetId="21" hidden="1">'Q2 TB-20'!$B$172</definedName>
    <definedName name="QB_ROW_114210" localSheetId="19" hidden="1">'Q3 TB-19'!$B$172</definedName>
    <definedName name="QB_ROW_114210" localSheetId="22" hidden="1">'Q3 TB-20'!$B$172</definedName>
    <definedName name="QB_ROW_114210" localSheetId="15" hidden="1">'Q4 TB-19'!$B$172</definedName>
    <definedName name="QB_ROW_114210" localSheetId="16" hidden="1">'Q4 TB-20'!$B$172</definedName>
    <definedName name="QB_ROW_114210" localSheetId="24" hidden="1">'Raw Data 01-31-2019'!$B$166</definedName>
    <definedName name="QB_ROW_114210" localSheetId="29" hidden="1">'Raw Data 01-31-2020'!$B$166</definedName>
    <definedName name="QB_ROW_114210" localSheetId="25" hidden="1">'Raw Data 04-30-2019'!$B$166</definedName>
    <definedName name="QB_ROW_114210" localSheetId="30" hidden="1">'Raw Data 04-30-2020'!$B$166</definedName>
    <definedName name="QB_ROW_114210" localSheetId="26" hidden="1">'Raw Data 07-31-2019'!$B$166</definedName>
    <definedName name="QB_ROW_114210" localSheetId="31" hidden="1">'Raw Data 07-31-2020'!$B$166</definedName>
    <definedName name="QB_ROW_114210" localSheetId="27" hidden="1">'Raw Data 10-31-2019'!$B$167</definedName>
    <definedName name="QB_ROW_114210" localSheetId="28" hidden="1">'Raw Data 10-31-2020'!$B$168</definedName>
    <definedName name="QB_ROW_116210" localSheetId="12" hidden="1">'Detail P&amp;L Analytic'!$B$179</definedName>
    <definedName name="QB_ROW_116210" localSheetId="14" hidden="1">'PY TB-18'!$B$189</definedName>
    <definedName name="QB_ROW_116210" localSheetId="17" hidden="1">'Q1 TB-19'!$B$189</definedName>
    <definedName name="QB_ROW_116210" localSheetId="20" hidden="1">'Q1 TB-20'!$B$189</definedName>
    <definedName name="QB_ROW_116210" localSheetId="18" hidden="1">'Q2 TB-19'!$B$189</definedName>
    <definedName name="QB_ROW_116210" localSheetId="21" hidden="1">'Q2 TB-20'!$B$189</definedName>
    <definedName name="QB_ROW_116210" localSheetId="19" hidden="1">'Q3 TB-19'!$B$189</definedName>
    <definedName name="QB_ROW_116210" localSheetId="22" hidden="1">'Q3 TB-20'!$B$189</definedName>
    <definedName name="QB_ROW_116210" localSheetId="15" hidden="1">'Q4 TB-19'!$B$189</definedName>
    <definedName name="QB_ROW_116210" localSheetId="16" hidden="1">'Q4 TB-20'!$B$189</definedName>
    <definedName name="QB_ROW_116210" localSheetId="24" hidden="1">'Raw Data 01-31-2019'!$B$183</definedName>
    <definedName name="QB_ROW_116210" localSheetId="29" hidden="1">'Raw Data 01-31-2020'!$B$183</definedName>
    <definedName name="QB_ROW_116210" localSheetId="25" hidden="1">'Raw Data 04-30-2019'!$B$183</definedName>
    <definedName name="QB_ROW_116210" localSheetId="30" hidden="1">'Raw Data 04-30-2020'!$B$183</definedName>
    <definedName name="QB_ROW_116210" localSheetId="26" hidden="1">'Raw Data 07-31-2019'!$B$183</definedName>
    <definedName name="QB_ROW_116210" localSheetId="31" hidden="1">'Raw Data 07-31-2020'!$B$183</definedName>
    <definedName name="QB_ROW_116210" localSheetId="27" hidden="1">'Raw Data 10-31-2019'!$B$184</definedName>
    <definedName name="QB_ROW_116210" localSheetId="28" hidden="1">'Raw Data 10-31-2020'!$B$185</definedName>
    <definedName name="QB_ROW_118210" localSheetId="12" hidden="1">'Detail P&amp;L Analytic'!$B$186</definedName>
    <definedName name="QB_ROW_118210" localSheetId="14" hidden="1">'PY TB-18'!$B$196</definedName>
    <definedName name="QB_ROW_118210" localSheetId="17" hidden="1">'Q1 TB-19'!$B$196</definedName>
    <definedName name="QB_ROW_118210" localSheetId="20" hidden="1">'Q1 TB-20'!$B$196</definedName>
    <definedName name="QB_ROW_118210" localSheetId="18" hidden="1">'Q2 TB-19'!$B$196</definedName>
    <definedName name="QB_ROW_118210" localSheetId="21" hidden="1">'Q2 TB-20'!$B$196</definedName>
    <definedName name="QB_ROW_118210" localSheetId="19" hidden="1">'Q3 TB-19'!$B$196</definedName>
    <definedName name="QB_ROW_118210" localSheetId="22" hidden="1">'Q3 TB-20'!$B$196</definedName>
    <definedName name="QB_ROW_118210" localSheetId="15" hidden="1">'Q4 TB-19'!$B$196</definedName>
    <definedName name="QB_ROW_118210" localSheetId="16" hidden="1">'Q4 TB-20'!$B$196</definedName>
    <definedName name="QB_ROW_118210" localSheetId="24" hidden="1">'Raw Data 01-31-2019'!$B$190</definedName>
    <definedName name="QB_ROW_118210" localSheetId="29" hidden="1">'Raw Data 01-31-2020'!$B$190</definedName>
    <definedName name="QB_ROW_118210" localSheetId="25" hidden="1">'Raw Data 04-30-2019'!$B$190</definedName>
    <definedName name="QB_ROW_118210" localSheetId="30" hidden="1">'Raw Data 04-30-2020'!$B$190</definedName>
    <definedName name="QB_ROW_118210" localSheetId="26" hidden="1">'Raw Data 07-31-2019'!$B$190</definedName>
    <definedName name="QB_ROW_118210" localSheetId="31" hidden="1">'Raw Data 07-31-2020'!$B$190</definedName>
    <definedName name="QB_ROW_118210" localSheetId="27" hidden="1">'Raw Data 10-31-2019'!$B$191</definedName>
    <definedName name="QB_ROW_118210" localSheetId="28" hidden="1">'Raw Data 10-31-2020'!$B$192</definedName>
    <definedName name="QB_ROW_119210" localSheetId="12" hidden="1">'Detail P&amp;L Analytic'!$B$187</definedName>
    <definedName name="QB_ROW_119210" localSheetId="14" hidden="1">'PY TB-18'!$B$197</definedName>
    <definedName name="QB_ROW_119210" localSheetId="17" hidden="1">'Q1 TB-19'!$B$197</definedName>
    <definedName name="QB_ROW_119210" localSheetId="20" hidden="1">'Q1 TB-20'!$B$197</definedName>
    <definedName name="QB_ROW_119210" localSheetId="18" hidden="1">'Q2 TB-19'!$B$197</definedName>
    <definedName name="QB_ROW_119210" localSheetId="21" hidden="1">'Q2 TB-20'!$B$197</definedName>
    <definedName name="QB_ROW_119210" localSheetId="19" hidden="1">'Q3 TB-19'!$B$197</definedName>
    <definedName name="QB_ROW_119210" localSheetId="22" hidden="1">'Q3 TB-20'!$B$197</definedName>
    <definedName name="QB_ROW_119210" localSheetId="15" hidden="1">'Q4 TB-19'!$B$197</definedName>
    <definedName name="QB_ROW_119210" localSheetId="16" hidden="1">'Q4 TB-20'!$B$197</definedName>
    <definedName name="QB_ROW_119210" localSheetId="24" hidden="1">'Raw Data 01-31-2019'!$B$191</definedName>
    <definedName name="QB_ROW_119210" localSheetId="29" hidden="1">'Raw Data 01-31-2020'!$B$191</definedName>
    <definedName name="QB_ROW_119210" localSheetId="25" hidden="1">'Raw Data 04-30-2019'!$B$191</definedName>
    <definedName name="QB_ROW_119210" localSheetId="30" hidden="1">'Raw Data 04-30-2020'!$B$191</definedName>
    <definedName name="QB_ROW_119210" localSheetId="26" hidden="1">'Raw Data 07-31-2019'!$B$191</definedName>
    <definedName name="QB_ROW_119210" localSheetId="31" hidden="1">'Raw Data 07-31-2020'!$B$191</definedName>
    <definedName name="QB_ROW_119210" localSheetId="27" hidden="1">'Raw Data 10-31-2019'!$B$192</definedName>
    <definedName name="QB_ROW_119210" localSheetId="28" hidden="1">'Raw Data 10-31-2020'!$B$193</definedName>
    <definedName name="QB_ROW_120210" localSheetId="12" hidden="1">'Detail P&amp;L Analytic'!$B$191</definedName>
    <definedName name="QB_ROW_120210" localSheetId="14" hidden="1">'PY TB-18'!$B$201</definedName>
    <definedName name="QB_ROW_120210" localSheetId="17" hidden="1">'Q1 TB-19'!$B$201</definedName>
    <definedName name="QB_ROW_120210" localSheetId="20" hidden="1">'Q1 TB-20'!$B$201</definedName>
    <definedName name="QB_ROW_120210" localSheetId="18" hidden="1">'Q2 TB-19'!$B$201</definedName>
    <definedName name="QB_ROW_120210" localSheetId="21" hidden="1">'Q2 TB-20'!$B$201</definedName>
    <definedName name="QB_ROW_120210" localSheetId="19" hidden="1">'Q3 TB-19'!$B$201</definedName>
    <definedName name="QB_ROW_120210" localSheetId="22" hidden="1">'Q3 TB-20'!$B$201</definedName>
    <definedName name="QB_ROW_120210" localSheetId="15" hidden="1">'Q4 TB-19'!$B$201</definedName>
    <definedName name="QB_ROW_120210" localSheetId="16" hidden="1">'Q4 TB-20'!$B$201</definedName>
    <definedName name="QB_ROW_120210" localSheetId="24" hidden="1">'Raw Data 01-31-2019'!$B$195</definedName>
    <definedName name="QB_ROW_120210" localSheetId="29" hidden="1">'Raw Data 01-31-2020'!$B$195</definedName>
    <definedName name="QB_ROW_120210" localSheetId="25" hidden="1">'Raw Data 04-30-2019'!$B$195</definedName>
    <definedName name="QB_ROW_120210" localSheetId="30" hidden="1">'Raw Data 04-30-2020'!$B$195</definedName>
    <definedName name="QB_ROW_120210" localSheetId="26" hidden="1">'Raw Data 07-31-2019'!$B$195</definedName>
    <definedName name="QB_ROW_120210" localSheetId="31" hidden="1">'Raw Data 07-31-2020'!$B$195</definedName>
    <definedName name="QB_ROW_120210" localSheetId="27" hidden="1">'Raw Data 10-31-2019'!$B$196</definedName>
    <definedName name="QB_ROW_120210" localSheetId="28" hidden="1">'Raw Data 10-31-2020'!$B$197</definedName>
    <definedName name="QB_ROW_1210" localSheetId="12" hidden="1">'Detail P&amp;L Analytic'!$B$130</definedName>
    <definedName name="QB_ROW_1210" localSheetId="14" hidden="1">'PY TB-18'!$B$140</definedName>
    <definedName name="QB_ROW_1210" localSheetId="17" hidden="1">'Q1 TB-19'!$B$140</definedName>
    <definedName name="QB_ROW_1210" localSheetId="20" hidden="1">'Q1 TB-20'!$B$140</definedName>
    <definedName name="QB_ROW_1210" localSheetId="18" hidden="1">'Q2 TB-19'!$B$140</definedName>
    <definedName name="QB_ROW_1210" localSheetId="21" hidden="1">'Q2 TB-20'!$B$140</definedName>
    <definedName name="QB_ROW_1210" localSheetId="19" hidden="1">'Q3 TB-19'!$B$140</definedName>
    <definedName name="QB_ROW_1210" localSheetId="22" hidden="1">'Q3 TB-20'!$B$140</definedName>
    <definedName name="QB_ROW_1210" localSheetId="15" hidden="1">'Q4 TB-19'!$B$140</definedName>
    <definedName name="QB_ROW_1210" localSheetId="16" hidden="1">'Q4 TB-20'!$B$140</definedName>
    <definedName name="QB_ROW_1210" localSheetId="24" hidden="1">'Raw Data 01-31-2019'!$B$134</definedName>
    <definedName name="QB_ROW_1210" localSheetId="29" hidden="1">'Raw Data 01-31-2020'!$B$134</definedName>
    <definedName name="QB_ROW_1210" localSheetId="25" hidden="1">'Raw Data 04-30-2019'!$B$134</definedName>
    <definedName name="QB_ROW_1210" localSheetId="30" hidden="1">'Raw Data 04-30-2020'!$B$134</definedName>
    <definedName name="QB_ROW_1210" localSheetId="26" hidden="1">'Raw Data 07-31-2019'!$B$134</definedName>
    <definedName name="QB_ROW_1210" localSheetId="31" hidden="1">'Raw Data 07-31-2020'!$B$134</definedName>
    <definedName name="QB_ROW_1210" localSheetId="27" hidden="1">'Raw Data 10-31-2019'!$B$135</definedName>
    <definedName name="QB_ROW_1210" localSheetId="28" hidden="1">'Raw Data 10-31-2020'!$B$136</definedName>
    <definedName name="QB_ROW_12210" localSheetId="12" hidden="1">'Detail P&amp;L Analytic'!$B$160</definedName>
    <definedName name="QB_ROW_12210" localSheetId="14" hidden="1">'PY TB-18'!$B$170</definedName>
    <definedName name="QB_ROW_12210" localSheetId="17" hidden="1">'Q1 TB-19'!$B$170</definedName>
    <definedName name="QB_ROW_12210" localSheetId="20" hidden="1">'Q1 TB-20'!$B$170</definedName>
    <definedName name="QB_ROW_12210" localSheetId="18" hidden="1">'Q2 TB-19'!$B$170</definedName>
    <definedName name="QB_ROW_12210" localSheetId="21" hidden="1">'Q2 TB-20'!$B$170</definedName>
    <definedName name="QB_ROW_12210" localSheetId="19" hidden="1">'Q3 TB-19'!$B$170</definedName>
    <definedName name="QB_ROW_12210" localSheetId="22" hidden="1">'Q3 TB-20'!$B$170</definedName>
    <definedName name="QB_ROW_12210" localSheetId="15" hidden="1">'Q4 TB-19'!$B$170</definedName>
    <definedName name="QB_ROW_12210" localSheetId="16" hidden="1">'Q4 TB-20'!$B$170</definedName>
    <definedName name="QB_ROW_12210" localSheetId="24" hidden="1">'Raw Data 01-31-2019'!$B$164</definedName>
    <definedName name="QB_ROW_12210" localSheetId="29" hidden="1">'Raw Data 01-31-2020'!$B$164</definedName>
    <definedName name="QB_ROW_12210" localSheetId="25" hidden="1">'Raw Data 04-30-2019'!$B$164</definedName>
    <definedName name="QB_ROW_12210" localSheetId="30" hidden="1">'Raw Data 04-30-2020'!$B$164</definedName>
    <definedName name="QB_ROW_12210" localSheetId="26" hidden="1">'Raw Data 07-31-2019'!$B$164</definedName>
    <definedName name="QB_ROW_12210" localSheetId="31" hidden="1">'Raw Data 07-31-2020'!$B$164</definedName>
    <definedName name="QB_ROW_12210" localSheetId="27" hidden="1">'Raw Data 10-31-2019'!$B$165</definedName>
    <definedName name="QB_ROW_12210" localSheetId="28" hidden="1">'Raw Data 10-31-2020'!$B$166</definedName>
    <definedName name="QB_ROW_123210" localSheetId="12" hidden="1">'Detail P&amp;L Analytic'!$B$128</definedName>
    <definedName name="QB_ROW_123210" localSheetId="14" hidden="1">'PY TB-18'!$B$138</definedName>
    <definedName name="QB_ROW_123210" localSheetId="17" hidden="1">'Q1 TB-19'!$B$138</definedName>
    <definedName name="QB_ROW_123210" localSheetId="20" hidden="1">'Q1 TB-20'!$B$138</definedName>
    <definedName name="QB_ROW_123210" localSheetId="18" hidden="1">'Q2 TB-19'!$B$138</definedName>
    <definedName name="QB_ROW_123210" localSheetId="21" hidden="1">'Q2 TB-20'!$B$138</definedName>
    <definedName name="QB_ROW_123210" localSheetId="19" hidden="1">'Q3 TB-19'!$B$138</definedName>
    <definedName name="QB_ROW_123210" localSheetId="22" hidden="1">'Q3 TB-20'!$B$138</definedName>
    <definedName name="QB_ROW_123210" localSheetId="15" hidden="1">'Q4 TB-19'!$B$138</definedName>
    <definedName name="QB_ROW_123210" localSheetId="16" hidden="1">'Q4 TB-20'!$B$138</definedName>
    <definedName name="QB_ROW_123210" localSheetId="24" hidden="1">'Raw Data 01-31-2019'!$B$132</definedName>
    <definedName name="QB_ROW_123210" localSheetId="29" hidden="1">'Raw Data 01-31-2020'!$B$132</definedName>
    <definedName name="QB_ROW_123210" localSheetId="25" hidden="1">'Raw Data 04-30-2019'!$B$132</definedName>
    <definedName name="QB_ROW_123210" localSheetId="30" hidden="1">'Raw Data 04-30-2020'!$B$132</definedName>
    <definedName name="QB_ROW_123210" localSheetId="26" hidden="1">'Raw Data 07-31-2019'!$B$132</definedName>
    <definedName name="QB_ROW_123210" localSheetId="31" hidden="1">'Raw Data 07-31-2020'!$B$132</definedName>
    <definedName name="QB_ROW_123210" localSheetId="27" hidden="1">'Raw Data 10-31-2019'!$B$133</definedName>
    <definedName name="QB_ROW_123210" localSheetId="28" hidden="1">'Raw Data 10-31-2020'!$B$133</definedName>
    <definedName name="QB_ROW_124210" localSheetId="12" hidden="1">'Detail P&amp;L Analytic'!$B$155</definedName>
    <definedName name="QB_ROW_124210" localSheetId="14" hidden="1">'PY TB-18'!$B$165</definedName>
    <definedName name="QB_ROW_124210" localSheetId="17" hidden="1">'Q1 TB-19'!$B$165</definedName>
    <definedName name="QB_ROW_124210" localSheetId="20" hidden="1">'Q1 TB-20'!$B$165</definedName>
    <definedName name="QB_ROW_124210" localSheetId="18" hidden="1">'Q2 TB-19'!$B$165</definedName>
    <definedName name="QB_ROW_124210" localSheetId="21" hidden="1">'Q2 TB-20'!$B$165</definedName>
    <definedName name="QB_ROW_124210" localSheetId="19" hidden="1">'Q3 TB-19'!$B$165</definedName>
    <definedName name="QB_ROW_124210" localSheetId="22" hidden="1">'Q3 TB-20'!$B$165</definedName>
    <definedName name="QB_ROW_124210" localSheetId="15" hidden="1">'Q4 TB-19'!$B$165</definedName>
    <definedName name="QB_ROW_124210" localSheetId="16" hidden="1">'Q4 TB-20'!$B$165</definedName>
    <definedName name="QB_ROW_124210" localSheetId="24" hidden="1">'Raw Data 01-31-2019'!$B$159</definedName>
    <definedName name="QB_ROW_124210" localSheetId="29" hidden="1">'Raw Data 01-31-2020'!$B$159</definedName>
    <definedName name="QB_ROW_124210" localSheetId="25" hidden="1">'Raw Data 04-30-2019'!$B$159</definedName>
    <definedName name="QB_ROW_124210" localSheetId="30" hidden="1">'Raw Data 04-30-2020'!$B$159</definedName>
    <definedName name="QB_ROW_124210" localSheetId="26" hidden="1">'Raw Data 07-31-2019'!$B$159</definedName>
    <definedName name="QB_ROW_124210" localSheetId="31" hidden="1">'Raw Data 07-31-2020'!$B$159</definedName>
    <definedName name="QB_ROW_124210" localSheetId="27" hidden="1">'Raw Data 10-31-2019'!$B$160</definedName>
    <definedName name="QB_ROW_124210" localSheetId="28" hidden="1">'Raw Data 10-31-2020'!$B$161</definedName>
    <definedName name="QB_ROW_125210" localSheetId="12" hidden="1">'Detail P&amp;L Analytic'!$B$149</definedName>
    <definedName name="QB_ROW_125210" localSheetId="14" hidden="1">'PY TB-18'!$B$159</definedName>
    <definedName name="QB_ROW_125210" localSheetId="17" hidden="1">'Q1 TB-19'!$B$159</definedName>
    <definedName name="QB_ROW_125210" localSheetId="20" hidden="1">'Q1 TB-20'!$B$159</definedName>
    <definedName name="QB_ROW_125210" localSheetId="18" hidden="1">'Q2 TB-19'!$B$159</definedName>
    <definedName name="QB_ROW_125210" localSheetId="21" hidden="1">'Q2 TB-20'!$B$159</definedName>
    <definedName name="QB_ROW_125210" localSheetId="19" hidden="1">'Q3 TB-19'!$B$159</definedName>
    <definedName name="QB_ROW_125210" localSheetId="22" hidden="1">'Q3 TB-20'!$B$159</definedName>
    <definedName name="QB_ROW_125210" localSheetId="15" hidden="1">'Q4 TB-19'!$B$159</definedName>
    <definedName name="QB_ROW_125210" localSheetId="16" hidden="1">'Q4 TB-20'!$B$159</definedName>
    <definedName name="QB_ROW_125210" localSheetId="24" hidden="1">'Raw Data 01-31-2019'!$B$153</definedName>
    <definedName name="QB_ROW_125210" localSheetId="29" hidden="1">'Raw Data 01-31-2020'!$B$153</definedName>
    <definedName name="QB_ROW_125210" localSheetId="25" hidden="1">'Raw Data 04-30-2019'!$B$153</definedName>
    <definedName name="QB_ROW_125210" localSheetId="30" hidden="1">'Raw Data 04-30-2020'!$B$153</definedName>
    <definedName name="QB_ROW_125210" localSheetId="26" hidden="1">'Raw Data 07-31-2019'!$B$153</definedName>
    <definedName name="QB_ROW_125210" localSheetId="31" hidden="1">'Raw Data 07-31-2020'!$B$153</definedName>
    <definedName name="QB_ROW_125210" localSheetId="27" hidden="1">'Raw Data 10-31-2019'!$B$154</definedName>
    <definedName name="QB_ROW_125210" localSheetId="28" hidden="1">'Raw Data 10-31-2020'!$B$155</definedName>
    <definedName name="QB_ROW_128210" localSheetId="12" hidden="1">'Detail P&amp;L Analytic'!$B$148</definedName>
    <definedName name="QB_ROW_128210" localSheetId="14" hidden="1">'PY TB-18'!$B$158</definedName>
    <definedName name="QB_ROW_128210" localSheetId="17" hidden="1">'Q1 TB-19'!$B$158</definedName>
    <definedName name="QB_ROW_128210" localSheetId="20" hidden="1">'Q1 TB-20'!$B$158</definedName>
    <definedName name="QB_ROW_128210" localSheetId="18" hidden="1">'Q2 TB-19'!$B$158</definedName>
    <definedName name="QB_ROW_128210" localSheetId="21" hidden="1">'Q2 TB-20'!$B$158</definedName>
    <definedName name="QB_ROW_128210" localSheetId="19" hidden="1">'Q3 TB-19'!$B$158</definedName>
    <definedName name="QB_ROW_128210" localSheetId="22" hidden="1">'Q3 TB-20'!$B$158</definedName>
    <definedName name="QB_ROW_128210" localSheetId="15" hidden="1">'Q4 TB-19'!$B$158</definedName>
    <definedName name="QB_ROW_128210" localSheetId="16" hidden="1">'Q4 TB-20'!$B$158</definedName>
    <definedName name="QB_ROW_128210" localSheetId="24" hidden="1">'Raw Data 01-31-2019'!$B$152</definedName>
    <definedName name="QB_ROW_128210" localSheetId="29" hidden="1">'Raw Data 01-31-2020'!$B$152</definedName>
    <definedName name="QB_ROW_128210" localSheetId="25" hidden="1">'Raw Data 04-30-2019'!$B$152</definedName>
    <definedName name="QB_ROW_128210" localSheetId="30" hidden="1">'Raw Data 04-30-2020'!$B$152</definedName>
    <definedName name="QB_ROW_128210" localSheetId="26" hidden="1">'Raw Data 07-31-2019'!$B$152</definedName>
    <definedName name="QB_ROW_128210" localSheetId="31" hidden="1">'Raw Data 07-31-2020'!$B$152</definedName>
    <definedName name="QB_ROW_128210" localSheetId="27" hidden="1">'Raw Data 10-31-2019'!$B$153</definedName>
    <definedName name="QB_ROW_128210" localSheetId="28" hidden="1">'Raw Data 10-31-2020'!$B$154</definedName>
    <definedName name="QB_ROW_129210" localSheetId="12" hidden="1">'Detail P&amp;L Analytic'!$B$93</definedName>
    <definedName name="QB_ROW_129210" localSheetId="14" hidden="1">'PY TB-18'!$B$100</definedName>
    <definedName name="QB_ROW_129210" localSheetId="17" hidden="1">'Q1 TB-19'!$B$100</definedName>
    <definedName name="QB_ROW_129210" localSheetId="20" hidden="1">'Q1 TB-20'!$B$100</definedName>
    <definedName name="QB_ROW_129210" localSheetId="18" hidden="1">'Q2 TB-19'!$B$100</definedName>
    <definedName name="QB_ROW_129210" localSheetId="21" hidden="1">'Q2 TB-20'!$B$100</definedName>
    <definedName name="QB_ROW_129210" localSheetId="19" hidden="1">'Q3 TB-19'!$B$100</definedName>
    <definedName name="QB_ROW_129210" localSheetId="22" hidden="1">'Q3 TB-20'!$B$100</definedName>
    <definedName name="QB_ROW_129210" localSheetId="15" hidden="1">'Q4 TB-19'!$B$100</definedName>
    <definedName name="QB_ROW_129210" localSheetId="16" hidden="1">'Q4 TB-20'!$B$100</definedName>
    <definedName name="QB_ROW_129210" localSheetId="24" hidden="1">'Raw Data 01-31-2019'!$B$96</definedName>
    <definedName name="QB_ROW_129210" localSheetId="29" hidden="1">'Raw Data 01-31-2020'!$B$96</definedName>
    <definedName name="QB_ROW_129210" localSheetId="25" hidden="1">'Raw Data 04-30-2019'!$B$96</definedName>
    <definedName name="QB_ROW_129210" localSheetId="30" hidden="1">'Raw Data 04-30-2020'!$B$96</definedName>
    <definedName name="QB_ROW_129210" localSheetId="26" hidden="1">'Raw Data 07-31-2019'!$B$96</definedName>
    <definedName name="QB_ROW_129210" localSheetId="31" hidden="1">'Raw Data 07-31-2020'!$B$96</definedName>
    <definedName name="QB_ROW_129210" localSheetId="27" hidden="1">'Raw Data 10-31-2019'!$B$96</definedName>
    <definedName name="QB_ROW_129210" localSheetId="28" hidden="1">'Raw Data 10-31-2020'!$B$97</definedName>
    <definedName name="QB_ROW_130210" localSheetId="12" hidden="1">'Detail P&amp;L Analytic'!$B$68</definedName>
    <definedName name="QB_ROW_130210" localSheetId="14" hidden="1">'PY TB-18'!$B$73</definedName>
    <definedName name="QB_ROW_130210" localSheetId="17" hidden="1">'Q1 TB-19'!$B$73</definedName>
    <definedName name="QB_ROW_130210" localSheetId="20" hidden="1">'Q1 TB-20'!$B$73</definedName>
    <definedName name="QB_ROW_130210" localSheetId="18" hidden="1">'Q2 TB-19'!$B$73</definedName>
    <definedName name="QB_ROW_130210" localSheetId="21" hidden="1">'Q2 TB-20'!$B$73</definedName>
    <definedName name="QB_ROW_130210" localSheetId="19" hidden="1">'Q3 TB-19'!$B$73</definedName>
    <definedName name="QB_ROW_130210" localSheetId="22" hidden="1">'Q3 TB-20'!$B$73</definedName>
    <definedName name="QB_ROW_130210" localSheetId="15" hidden="1">'Q4 TB-19'!$B$73</definedName>
    <definedName name="QB_ROW_130210" localSheetId="16" hidden="1">'Q4 TB-20'!$B$73</definedName>
    <definedName name="QB_ROW_130210" localSheetId="24" hidden="1">'Raw Data 01-31-2019'!$B$71</definedName>
    <definedName name="QB_ROW_130210" localSheetId="29" hidden="1">'Raw Data 01-31-2020'!$B$71</definedName>
    <definedName name="QB_ROW_130210" localSheetId="25" hidden="1">'Raw Data 04-30-2019'!$B$71</definedName>
    <definedName name="QB_ROW_130210" localSheetId="30" hidden="1">'Raw Data 04-30-2020'!$B$71</definedName>
    <definedName name="QB_ROW_130210" localSheetId="26" hidden="1">'Raw Data 07-31-2019'!$B$71</definedName>
    <definedName name="QB_ROW_130210" localSheetId="31" hidden="1">'Raw Data 07-31-2020'!$B$71</definedName>
    <definedName name="QB_ROW_130210" localSheetId="27" hidden="1">'Raw Data 10-31-2019'!$B$71</definedName>
    <definedName name="QB_ROW_130210" localSheetId="28" hidden="1">'Raw Data 10-31-2020'!$B$71</definedName>
    <definedName name="QB_ROW_131210" localSheetId="12" hidden="1">'Detail P&amp;L Analytic'!$B$12</definedName>
    <definedName name="QB_ROW_131210" localSheetId="14" hidden="1">'PY TB-18'!$B$15</definedName>
    <definedName name="QB_ROW_131210" localSheetId="17" hidden="1">'Q1 TB-19'!$B$15</definedName>
    <definedName name="QB_ROW_131210" localSheetId="20" hidden="1">'Q1 TB-20'!$B$15</definedName>
    <definedName name="QB_ROW_131210" localSheetId="18" hidden="1">'Q2 TB-19'!$B$15</definedName>
    <definedName name="QB_ROW_131210" localSheetId="21" hidden="1">'Q2 TB-20'!$B$15</definedName>
    <definedName name="QB_ROW_131210" localSheetId="19" hidden="1">'Q3 TB-19'!$B$15</definedName>
    <definedName name="QB_ROW_131210" localSheetId="22" hidden="1">'Q3 TB-20'!$B$15</definedName>
    <definedName name="QB_ROW_131210" localSheetId="15" hidden="1">'Q4 TB-19'!$B$15</definedName>
    <definedName name="QB_ROW_131210" localSheetId="16" hidden="1">'Q4 TB-20'!$B$15</definedName>
    <definedName name="QB_ROW_131210" localSheetId="24" hidden="1">'Raw Data 01-31-2019'!$B$15</definedName>
    <definedName name="QB_ROW_131210" localSheetId="29" hidden="1">'Raw Data 01-31-2020'!$B$15</definedName>
    <definedName name="QB_ROW_131210" localSheetId="25" hidden="1">'Raw Data 04-30-2019'!$B$15</definedName>
    <definedName name="QB_ROW_131210" localSheetId="30" hidden="1">'Raw Data 04-30-2020'!$B$15</definedName>
    <definedName name="QB_ROW_131210" localSheetId="26" hidden="1">'Raw Data 07-31-2019'!$B$15</definedName>
    <definedName name="QB_ROW_131210" localSheetId="31" hidden="1">'Raw Data 07-31-2020'!$B$15</definedName>
    <definedName name="QB_ROW_131210" localSheetId="27" hidden="1">'Raw Data 10-31-2019'!$B$15</definedName>
    <definedName name="QB_ROW_131210" localSheetId="28" hidden="1">'Raw Data 10-31-2020'!$B$15</definedName>
    <definedName name="QB_ROW_13210" localSheetId="12" hidden="1">'Detail P&amp;L Analytic'!$B$161</definedName>
    <definedName name="QB_ROW_13210" localSheetId="14" hidden="1">'PY TB-18'!$B$171</definedName>
    <definedName name="QB_ROW_13210" localSheetId="17" hidden="1">'Q1 TB-19'!$B$171</definedName>
    <definedName name="QB_ROW_13210" localSheetId="20" hidden="1">'Q1 TB-20'!$B$171</definedName>
    <definedName name="QB_ROW_13210" localSheetId="18" hidden="1">'Q2 TB-19'!$B$171</definedName>
    <definedName name="QB_ROW_13210" localSheetId="21" hidden="1">'Q2 TB-20'!$B$171</definedName>
    <definedName name="QB_ROW_13210" localSheetId="19" hidden="1">'Q3 TB-19'!$B$171</definedName>
    <definedName name="QB_ROW_13210" localSheetId="22" hidden="1">'Q3 TB-20'!$B$171</definedName>
    <definedName name="QB_ROW_13210" localSheetId="15" hidden="1">'Q4 TB-19'!$B$171</definedName>
    <definedName name="QB_ROW_13210" localSheetId="16" hidden="1">'Q4 TB-20'!$B$171</definedName>
    <definedName name="QB_ROW_13210" localSheetId="24" hidden="1">'Raw Data 01-31-2019'!$B$165</definedName>
    <definedName name="QB_ROW_13210" localSheetId="29" hidden="1">'Raw Data 01-31-2020'!$B$165</definedName>
    <definedName name="QB_ROW_13210" localSheetId="25" hidden="1">'Raw Data 04-30-2019'!$B$165</definedName>
    <definedName name="QB_ROW_13210" localSheetId="30" hidden="1">'Raw Data 04-30-2020'!$B$165</definedName>
    <definedName name="QB_ROW_13210" localSheetId="26" hidden="1">'Raw Data 07-31-2019'!$B$165</definedName>
    <definedName name="QB_ROW_13210" localSheetId="31" hidden="1">'Raw Data 07-31-2020'!$B$165</definedName>
    <definedName name="QB_ROW_13210" localSheetId="27" hidden="1">'Raw Data 10-31-2019'!$B$166</definedName>
    <definedName name="QB_ROW_13210" localSheetId="28" hidden="1">'Raw Data 10-31-2020'!$B$167</definedName>
    <definedName name="QB_ROW_132210" localSheetId="12" hidden="1">'Detail P&amp;L Analytic'!$B$3</definedName>
    <definedName name="QB_ROW_132210" localSheetId="14" hidden="1">'PY TB-18'!$B$6</definedName>
    <definedName name="QB_ROW_132210" localSheetId="17" hidden="1">'Q1 TB-19'!$B$6</definedName>
    <definedName name="QB_ROW_132210" localSheetId="20" hidden="1">'Q1 TB-20'!$B$6</definedName>
    <definedName name="QB_ROW_132210" localSheetId="18" hidden="1">'Q2 TB-19'!$B$6</definedName>
    <definedName name="QB_ROW_132210" localSheetId="21" hidden="1">'Q2 TB-20'!$B$6</definedName>
    <definedName name="QB_ROW_132210" localSheetId="19" hidden="1">'Q3 TB-19'!$B$6</definedName>
    <definedName name="QB_ROW_132210" localSheetId="22" hidden="1">'Q3 TB-20'!$B$6</definedName>
    <definedName name="QB_ROW_132210" localSheetId="15" hidden="1">'Q4 TB-19'!$B$6</definedName>
    <definedName name="QB_ROW_132210" localSheetId="16" hidden="1">'Q4 TB-20'!$B$6</definedName>
    <definedName name="QB_ROW_132210" localSheetId="24" hidden="1">'Raw Data 01-31-2019'!$B$6</definedName>
    <definedName name="QB_ROW_132210" localSheetId="29" hidden="1">'Raw Data 01-31-2020'!$B$6</definedName>
    <definedName name="QB_ROW_132210" localSheetId="25" hidden="1">'Raw Data 04-30-2019'!$B$6</definedName>
    <definedName name="QB_ROW_132210" localSheetId="30" hidden="1">'Raw Data 04-30-2020'!$B$6</definedName>
    <definedName name="QB_ROW_132210" localSheetId="26" hidden="1">'Raw Data 07-31-2019'!$B$6</definedName>
    <definedName name="QB_ROW_132210" localSheetId="31" hidden="1">'Raw Data 07-31-2020'!$B$6</definedName>
    <definedName name="QB_ROW_132210" localSheetId="27" hidden="1">'Raw Data 10-31-2019'!$B$6</definedName>
    <definedName name="QB_ROW_132210" localSheetId="28" hidden="1">'Raw Data 10-31-2020'!$B$6</definedName>
    <definedName name="QB_ROW_134210" localSheetId="12" hidden="1">'Detail P&amp;L Analytic'!$B$92</definedName>
    <definedName name="QB_ROW_134210" localSheetId="14" hidden="1">'PY TB-18'!$B$98</definedName>
    <definedName name="QB_ROW_134210" localSheetId="17" hidden="1">'Q1 TB-19'!$B$98</definedName>
    <definedName name="QB_ROW_134210" localSheetId="20" hidden="1">'Q1 TB-20'!$B$98</definedName>
    <definedName name="QB_ROW_134210" localSheetId="18" hidden="1">'Q2 TB-19'!$B$98</definedName>
    <definedName name="QB_ROW_134210" localSheetId="21" hidden="1">'Q2 TB-20'!$B$98</definedName>
    <definedName name="QB_ROW_134210" localSheetId="19" hidden="1">'Q3 TB-19'!$B$98</definedName>
    <definedName name="QB_ROW_134210" localSheetId="22" hidden="1">'Q3 TB-20'!$B$98</definedName>
    <definedName name="QB_ROW_134210" localSheetId="15" hidden="1">'Q4 TB-19'!$B$98</definedName>
    <definedName name="QB_ROW_134210" localSheetId="16" hidden="1">'Q4 TB-20'!$B$98</definedName>
    <definedName name="QB_ROW_134210" localSheetId="24" hidden="1">'Raw Data 01-31-2019'!$B$95</definedName>
    <definedName name="QB_ROW_134210" localSheetId="29" hidden="1">'Raw Data 01-31-2020'!$B$95</definedName>
    <definedName name="QB_ROW_134210" localSheetId="25" hidden="1">'Raw Data 04-30-2019'!$B$95</definedName>
    <definedName name="QB_ROW_134210" localSheetId="30" hidden="1">'Raw Data 04-30-2020'!$B$95</definedName>
    <definedName name="QB_ROW_134210" localSheetId="26" hidden="1">'Raw Data 07-31-2019'!$B$95</definedName>
    <definedName name="QB_ROW_134210" localSheetId="31" hidden="1">'Raw Data 07-31-2020'!$B$95</definedName>
    <definedName name="QB_ROW_134210" localSheetId="27" hidden="1">'Raw Data 10-31-2019'!$B$95</definedName>
    <definedName name="QB_ROW_134210" localSheetId="28" hidden="1">'Raw Data 10-31-2020'!$B$96</definedName>
    <definedName name="QB_ROW_136210" localSheetId="12" hidden="1">'Detail P&amp;L Analytic'!$B$189</definedName>
    <definedName name="QB_ROW_136210" localSheetId="14" hidden="1">'PY TB-18'!$B$199</definedName>
    <definedName name="QB_ROW_136210" localSheetId="17" hidden="1">'Q1 TB-19'!$B$199</definedName>
    <definedName name="QB_ROW_136210" localSheetId="20" hidden="1">'Q1 TB-20'!$B$199</definedName>
    <definedName name="QB_ROW_136210" localSheetId="18" hidden="1">'Q2 TB-19'!$B$199</definedName>
    <definedName name="QB_ROW_136210" localSheetId="21" hidden="1">'Q2 TB-20'!$B$199</definedName>
    <definedName name="QB_ROW_136210" localSheetId="19" hidden="1">'Q3 TB-19'!$B$199</definedName>
    <definedName name="QB_ROW_136210" localSheetId="22" hidden="1">'Q3 TB-20'!$B$199</definedName>
    <definedName name="QB_ROW_136210" localSheetId="15" hidden="1">'Q4 TB-19'!$B$199</definedName>
    <definedName name="QB_ROW_136210" localSheetId="16" hidden="1">'Q4 TB-20'!$B$199</definedName>
    <definedName name="QB_ROW_136210" localSheetId="24" hidden="1">'Raw Data 01-31-2019'!$B$193</definedName>
    <definedName name="QB_ROW_136210" localSheetId="29" hidden="1">'Raw Data 01-31-2020'!$B$193</definedName>
    <definedName name="QB_ROW_136210" localSheetId="25" hidden="1">'Raw Data 04-30-2019'!$B$193</definedName>
    <definedName name="QB_ROW_136210" localSheetId="30" hidden="1">'Raw Data 04-30-2020'!$B$193</definedName>
    <definedName name="QB_ROW_136210" localSheetId="26" hidden="1">'Raw Data 07-31-2019'!$B$193</definedName>
    <definedName name="QB_ROW_136210" localSheetId="31" hidden="1">'Raw Data 07-31-2020'!$B$193</definedName>
    <definedName name="QB_ROW_136210" localSheetId="27" hidden="1">'Raw Data 10-31-2019'!$B$194</definedName>
    <definedName name="QB_ROW_136210" localSheetId="28" hidden="1">'Raw Data 10-31-2020'!$B$195</definedName>
    <definedName name="QB_ROW_139210" localSheetId="12" hidden="1">'Detail P&amp;L Analytic'!$B$147</definedName>
    <definedName name="QB_ROW_139210" localSheetId="14" hidden="1">'PY TB-18'!$B$157</definedName>
    <definedName name="QB_ROW_139210" localSheetId="17" hidden="1">'Q1 TB-19'!$B$157</definedName>
    <definedName name="QB_ROW_139210" localSheetId="20" hidden="1">'Q1 TB-20'!$B$157</definedName>
    <definedName name="QB_ROW_139210" localSheetId="18" hidden="1">'Q2 TB-19'!$B$157</definedName>
    <definedName name="QB_ROW_139210" localSheetId="21" hidden="1">'Q2 TB-20'!$B$157</definedName>
    <definedName name="QB_ROW_139210" localSheetId="19" hidden="1">'Q3 TB-19'!$B$157</definedName>
    <definedName name="QB_ROW_139210" localSheetId="22" hidden="1">'Q3 TB-20'!$B$157</definedName>
    <definedName name="QB_ROW_139210" localSheetId="15" hidden="1">'Q4 TB-19'!$B$157</definedName>
    <definedName name="QB_ROW_139210" localSheetId="16" hidden="1">'Q4 TB-20'!$B$157</definedName>
    <definedName name="QB_ROW_139210" localSheetId="24" hidden="1">'Raw Data 01-31-2019'!$B$151</definedName>
    <definedName name="QB_ROW_139210" localSheetId="29" hidden="1">'Raw Data 01-31-2020'!$B$151</definedName>
    <definedName name="QB_ROW_139210" localSheetId="25" hidden="1">'Raw Data 04-30-2019'!$B$151</definedName>
    <definedName name="QB_ROW_139210" localSheetId="30" hidden="1">'Raw Data 04-30-2020'!$B$151</definedName>
    <definedName name="QB_ROW_139210" localSheetId="26" hidden="1">'Raw Data 07-31-2019'!$B$151</definedName>
    <definedName name="QB_ROW_139210" localSheetId="31" hidden="1">'Raw Data 07-31-2020'!$B$151</definedName>
    <definedName name="QB_ROW_139210" localSheetId="27" hidden="1">'Raw Data 10-31-2019'!$B$152</definedName>
    <definedName name="QB_ROW_139210" localSheetId="28" hidden="1">'Raw Data 10-31-2020'!$B$153</definedName>
    <definedName name="QB_ROW_140210" localSheetId="12" hidden="1">'Detail P&amp;L Analytic'!$B$145</definedName>
    <definedName name="QB_ROW_140210" localSheetId="14" hidden="1">'PY TB-18'!$B$155</definedName>
    <definedName name="QB_ROW_140210" localSheetId="17" hidden="1">'Q1 TB-19'!$B$155</definedName>
    <definedName name="QB_ROW_140210" localSheetId="20" hidden="1">'Q1 TB-20'!$B$155</definedName>
    <definedName name="QB_ROW_140210" localSheetId="18" hidden="1">'Q2 TB-19'!$B$155</definedName>
    <definedName name="QB_ROW_140210" localSheetId="21" hidden="1">'Q2 TB-20'!$B$155</definedName>
    <definedName name="QB_ROW_140210" localSheetId="19" hidden="1">'Q3 TB-19'!$B$155</definedName>
    <definedName name="QB_ROW_140210" localSheetId="22" hidden="1">'Q3 TB-20'!$B$155</definedName>
    <definedName name="QB_ROW_140210" localSheetId="15" hidden="1">'Q4 TB-19'!$B$155</definedName>
    <definedName name="QB_ROW_140210" localSheetId="16" hidden="1">'Q4 TB-20'!$B$155</definedName>
    <definedName name="QB_ROW_140210" localSheetId="24" hidden="1">'Raw Data 01-31-2019'!$B$149</definedName>
    <definedName name="QB_ROW_140210" localSheetId="29" hidden="1">'Raw Data 01-31-2020'!$B$149</definedName>
    <definedName name="QB_ROW_140210" localSheetId="25" hidden="1">'Raw Data 04-30-2019'!$B$149</definedName>
    <definedName name="QB_ROW_140210" localSheetId="30" hidden="1">'Raw Data 04-30-2020'!$B$149</definedName>
    <definedName name="QB_ROW_140210" localSheetId="26" hidden="1">'Raw Data 07-31-2019'!$B$149</definedName>
    <definedName name="QB_ROW_140210" localSheetId="31" hidden="1">'Raw Data 07-31-2020'!$B$149</definedName>
    <definedName name="QB_ROW_140210" localSheetId="27" hidden="1">'Raw Data 10-31-2019'!$B$150</definedName>
    <definedName name="QB_ROW_140210" localSheetId="28" hidden="1">'Raw Data 10-31-2020'!$B$151</definedName>
    <definedName name="QB_ROW_142210" localSheetId="12" hidden="1">'Detail P&amp;L Analytic'!$B$64</definedName>
    <definedName name="QB_ROW_142210" localSheetId="14" hidden="1">'PY TB-18'!$B$69</definedName>
    <definedName name="QB_ROW_142210" localSheetId="17" hidden="1">'Q1 TB-19'!$B$69</definedName>
    <definedName name="QB_ROW_142210" localSheetId="20" hidden="1">'Q1 TB-20'!$B$69</definedName>
    <definedName name="QB_ROW_142210" localSheetId="18" hidden="1">'Q2 TB-19'!$B$69</definedName>
    <definedName name="QB_ROW_142210" localSheetId="21" hidden="1">'Q2 TB-20'!$B$69</definedName>
    <definedName name="QB_ROW_142210" localSheetId="19" hidden="1">'Q3 TB-19'!$B$69</definedName>
    <definedName name="QB_ROW_142210" localSheetId="22" hidden="1">'Q3 TB-20'!$B$69</definedName>
    <definedName name="QB_ROW_142210" localSheetId="15" hidden="1">'Q4 TB-19'!$B$69</definedName>
    <definedName name="QB_ROW_142210" localSheetId="16" hidden="1">'Q4 TB-20'!$B$69</definedName>
    <definedName name="QB_ROW_142210" localSheetId="24" hidden="1">'Raw Data 01-31-2019'!$B$67</definedName>
    <definedName name="QB_ROW_142210" localSheetId="29" hidden="1">'Raw Data 01-31-2020'!$B$67</definedName>
    <definedName name="QB_ROW_142210" localSheetId="25" hidden="1">'Raw Data 04-30-2019'!$B$67</definedName>
    <definedName name="QB_ROW_142210" localSheetId="30" hidden="1">'Raw Data 04-30-2020'!$B$67</definedName>
    <definedName name="QB_ROW_142210" localSheetId="26" hidden="1">'Raw Data 07-31-2019'!$B$67</definedName>
    <definedName name="QB_ROW_142210" localSheetId="31" hidden="1">'Raw Data 07-31-2020'!$B$67</definedName>
    <definedName name="QB_ROW_142210" localSheetId="27" hidden="1">'Raw Data 10-31-2019'!$B$67</definedName>
    <definedName name="QB_ROW_142210" localSheetId="28" hidden="1">'Raw Data 10-31-2020'!$B$67</definedName>
    <definedName name="QB_ROW_143210" localSheetId="12" hidden="1">'Detail P&amp;L Analytic'!$B$63</definedName>
    <definedName name="QB_ROW_143210" localSheetId="14" hidden="1">'PY TB-18'!$B$68</definedName>
    <definedName name="QB_ROW_143210" localSheetId="17" hidden="1">'Q1 TB-19'!$B$68</definedName>
    <definedName name="QB_ROW_143210" localSheetId="20" hidden="1">'Q1 TB-20'!$B$68</definedName>
    <definedName name="QB_ROW_143210" localSheetId="18" hidden="1">'Q2 TB-19'!$B$68</definedName>
    <definedName name="QB_ROW_143210" localSheetId="21" hidden="1">'Q2 TB-20'!$B$68</definedName>
    <definedName name="QB_ROW_143210" localSheetId="19" hidden="1">'Q3 TB-19'!$B$68</definedName>
    <definedName name="QB_ROW_143210" localSheetId="22" hidden="1">'Q3 TB-20'!$B$68</definedName>
    <definedName name="QB_ROW_143210" localSheetId="15" hidden="1">'Q4 TB-19'!$B$68</definedName>
    <definedName name="QB_ROW_143210" localSheetId="16" hidden="1">'Q4 TB-20'!$B$68</definedName>
    <definedName name="QB_ROW_143210" localSheetId="24" hidden="1">'Raw Data 01-31-2019'!$B$66</definedName>
    <definedName name="QB_ROW_143210" localSheetId="29" hidden="1">'Raw Data 01-31-2020'!$B$66</definedName>
    <definedName name="QB_ROW_143210" localSheetId="25" hidden="1">'Raw Data 04-30-2019'!$B$66</definedName>
    <definedName name="QB_ROW_143210" localSheetId="30" hidden="1">'Raw Data 04-30-2020'!$B$66</definedName>
    <definedName name="QB_ROW_143210" localSheetId="26" hidden="1">'Raw Data 07-31-2019'!$B$66</definedName>
    <definedName name="QB_ROW_143210" localSheetId="31" hidden="1">'Raw Data 07-31-2020'!$B$66</definedName>
    <definedName name="QB_ROW_143210" localSheetId="27" hidden="1">'Raw Data 10-31-2019'!$B$66</definedName>
    <definedName name="QB_ROW_143210" localSheetId="28" hidden="1">'Raw Data 10-31-2020'!$B$66</definedName>
    <definedName name="QB_ROW_144210" localSheetId="12" hidden="1">'Detail P&amp;L Analytic'!$B$62</definedName>
    <definedName name="QB_ROW_144210" localSheetId="14" hidden="1">'PY TB-18'!$B$67</definedName>
    <definedName name="QB_ROW_144210" localSheetId="17" hidden="1">'Q1 TB-19'!$B$67</definedName>
    <definedName name="QB_ROW_144210" localSheetId="20" hidden="1">'Q1 TB-20'!$B$67</definedName>
    <definedName name="QB_ROW_144210" localSheetId="18" hidden="1">'Q2 TB-19'!$B$67</definedName>
    <definedName name="QB_ROW_144210" localSheetId="21" hidden="1">'Q2 TB-20'!$B$67</definedName>
    <definedName name="QB_ROW_144210" localSheetId="19" hidden="1">'Q3 TB-19'!$B$67</definedName>
    <definedName name="QB_ROW_144210" localSheetId="22" hidden="1">'Q3 TB-20'!$B$67</definedName>
    <definedName name="QB_ROW_144210" localSheetId="15" hidden="1">'Q4 TB-19'!$B$67</definedName>
    <definedName name="QB_ROW_144210" localSheetId="16" hidden="1">'Q4 TB-20'!$B$67</definedName>
    <definedName name="QB_ROW_144210" localSheetId="24" hidden="1">'Raw Data 01-31-2019'!$B$65</definedName>
    <definedName name="QB_ROW_144210" localSheetId="29" hidden="1">'Raw Data 01-31-2020'!$B$65</definedName>
    <definedName name="QB_ROW_144210" localSheetId="25" hidden="1">'Raw Data 04-30-2019'!$B$65</definedName>
    <definedName name="QB_ROW_144210" localSheetId="30" hidden="1">'Raw Data 04-30-2020'!$B$65</definedName>
    <definedName name="QB_ROW_144210" localSheetId="26" hidden="1">'Raw Data 07-31-2019'!$B$65</definedName>
    <definedName name="QB_ROW_144210" localSheetId="31" hidden="1">'Raw Data 07-31-2020'!$B$65</definedName>
    <definedName name="QB_ROW_144210" localSheetId="27" hidden="1">'Raw Data 10-31-2019'!$B$65</definedName>
    <definedName name="QB_ROW_144210" localSheetId="28" hidden="1">'Raw Data 10-31-2020'!$B$65</definedName>
    <definedName name="QB_ROW_145210" localSheetId="12" hidden="1">'Detail P&amp;L Analytic'!$B$61</definedName>
    <definedName name="QB_ROW_145210" localSheetId="14" hidden="1">'PY TB-18'!$B$66</definedName>
    <definedName name="QB_ROW_145210" localSheetId="17" hidden="1">'Q1 TB-19'!$B$66</definedName>
    <definedName name="QB_ROW_145210" localSheetId="20" hidden="1">'Q1 TB-20'!$B$66</definedName>
    <definedName name="QB_ROW_145210" localSheetId="18" hidden="1">'Q2 TB-19'!$B$66</definedName>
    <definedName name="QB_ROW_145210" localSheetId="21" hidden="1">'Q2 TB-20'!$B$66</definedName>
    <definedName name="QB_ROW_145210" localSheetId="19" hidden="1">'Q3 TB-19'!$B$66</definedName>
    <definedName name="QB_ROW_145210" localSheetId="22" hidden="1">'Q3 TB-20'!$B$66</definedName>
    <definedName name="QB_ROW_145210" localSheetId="15" hidden="1">'Q4 TB-19'!$B$66</definedName>
    <definedName name="QB_ROW_145210" localSheetId="16" hidden="1">'Q4 TB-20'!$B$66</definedName>
    <definedName name="QB_ROW_145210" localSheetId="24" hidden="1">'Raw Data 01-31-2019'!$B$64</definedName>
    <definedName name="QB_ROW_145210" localSheetId="29" hidden="1">'Raw Data 01-31-2020'!$B$64</definedName>
    <definedName name="QB_ROW_145210" localSheetId="25" hidden="1">'Raw Data 04-30-2019'!$B$64</definedName>
    <definedName name="QB_ROW_145210" localSheetId="30" hidden="1">'Raw Data 04-30-2020'!$B$64</definedName>
    <definedName name="QB_ROW_145210" localSheetId="26" hidden="1">'Raw Data 07-31-2019'!$B$64</definedName>
    <definedName name="QB_ROW_145210" localSheetId="31" hidden="1">'Raw Data 07-31-2020'!$B$64</definedName>
    <definedName name="QB_ROW_145210" localSheetId="27" hidden="1">'Raw Data 10-31-2019'!$B$64</definedName>
    <definedName name="QB_ROW_145210" localSheetId="28" hidden="1">'Raw Data 10-31-2020'!$B$64</definedName>
    <definedName name="QB_ROW_146210" localSheetId="12" hidden="1">'Detail P&amp;L Analytic'!$B$60</definedName>
    <definedName name="QB_ROW_146210" localSheetId="14" hidden="1">'PY TB-18'!$B$65</definedName>
    <definedName name="QB_ROW_146210" localSheetId="17" hidden="1">'Q1 TB-19'!$B$65</definedName>
    <definedName name="QB_ROW_146210" localSheetId="20" hidden="1">'Q1 TB-20'!$B$65</definedName>
    <definedName name="QB_ROW_146210" localSheetId="18" hidden="1">'Q2 TB-19'!$B$65</definedName>
    <definedName name="QB_ROW_146210" localSheetId="21" hidden="1">'Q2 TB-20'!$B$65</definedName>
    <definedName name="QB_ROW_146210" localSheetId="19" hidden="1">'Q3 TB-19'!$B$65</definedName>
    <definedName name="QB_ROW_146210" localSheetId="22" hidden="1">'Q3 TB-20'!$B$65</definedName>
    <definedName name="QB_ROW_146210" localSheetId="15" hidden="1">'Q4 TB-19'!$B$65</definedName>
    <definedName name="QB_ROW_146210" localSheetId="16" hidden="1">'Q4 TB-20'!$B$65</definedName>
    <definedName name="QB_ROW_146210" localSheetId="24" hidden="1">'Raw Data 01-31-2019'!$B$63</definedName>
    <definedName name="QB_ROW_146210" localSheetId="29" hidden="1">'Raw Data 01-31-2020'!$B$63</definedName>
    <definedName name="QB_ROW_146210" localSheetId="25" hidden="1">'Raw Data 04-30-2019'!$B$63</definedName>
    <definedName name="QB_ROW_146210" localSheetId="30" hidden="1">'Raw Data 04-30-2020'!$B$63</definedName>
    <definedName name="QB_ROW_146210" localSheetId="26" hidden="1">'Raw Data 07-31-2019'!$B$63</definedName>
    <definedName name="QB_ROW_146210" localSheetId="31" hidden="1">'Raw Data 07-31-2020'!$B$63</definedName>
    <definedName name="QB_ROW_146210" localSheetId="27" hidden="1">'Raw Data 10-31-2019'!$B$63</definedName>
    <definedName name="QB_ROW_146210" localSheetId="28" hidden="1">'Raw Data 10-31-2020'!$B$63</definedName>
    <definedName name="QB_ROW_147210" localSheetId="12" hidden="1">'Detail P&amp;L Analytic'!$B$59</definedName>
    <definedName name="QB_ROW_147210" localSheetId="14" hidden="1">'PY TB-18'!$B$64</definedName>
    <definedName name="QB_ROW_147210" localSheetId="17" hidden="1">'Q1 TB-19'!$B$64</definedName>
    <definedName name="QB_ROW_147210" localSheetId="20" hidden="1">'Q1 TB-20'!$B$64</definedName>
    <definedName name="QB_ROW_147210" localSheetId="18" hidden="1">'Q2 TB-19'!$B$64</definedName>
    <definedName name="QB_ROW_147210" localSheetId="21" hidden="1">'Q2 TB-20'!$B$64</definedName>
    <definedName name="QB_ROW_147210" localSheetId="19" hidden="1">'Q3 TB-19'!$B$64</definedName>
    <definedName name="QB_ROW_147210" localSheetId="22" hidden="1">'Q3 TB-20'!$B$64</definedName>
    <definedName name="QB_ROW_147210" localSheetId="15" hidden="1">'Q4 TB-19'!$B$64</definedName>
    <definedName name="QB_ROW_147210" localSheetId="16" hidden="1">'Q4 TB-20'!$B$64</definedName>
    <definedName name="QB_ROW_147210" localSheetId="24" hidden="1">'Raw Data 01-31-2019'!$B$62</definedName>
    <definedName name="QB_ROW_147210" localSheetId="29" hidden="1">'Raw Data 01-31-2020'!$B$62</definedName>
    <definedName name="QB_ROW_147210" localSheetId="25" hidden="1">'Raw Data 04-30-2019'!$B$62</definedName>
    <definedName name="QB_ROW_147210" localSheetId="30" hidden="1">'Raw Data 04-30-2020'!$B$62</definedName>
    <definedName name="QB_ROW_147210" localSheetId="26" hidden="1">'Raw Data 07-31-2019'!$B$62</definedName>
    <definedName name="QB_ROW_147210" localSheetId="31" hidden="1">'Raw Data 07-31-2020'!$B$62</definedName>
    <definedName name="QB_ROW_147210" localSheetId="27" hidden="1">'Raw Data 10-31-2019'!$B$62</definedName>
    <definedName name="QB_ROW_147210" localSheetId="28" hidden="1">'Raw Data 10-31-2020'!$B$62</definedName>
    <definedName name="QB_ROW_148210" localSheetId="12" hidden="1">'Detail P&amp;L Analytic'!$B$58</definedName>
    <definedName name="QB_ROW_148210" localSheetId="14" hidden="1">'PY TB-18'!$B$63</definedName>
    <definedName name="QB_ROW_148210" localSheetId="17" hidden="1">'Q1 TB-19'!$B$63</definedName>
    <definedName name="QB_ROW_148210" localSheetId="20" hidden="1">'Q1 TB-20'!$B$63</definedName>
    <definedName name="QB_ROW_148210" localSheetId="18" hidden="1">'Q2 TB-19'!$B$63</definedName>
    <definedName name="QB_ROW_148210" localSheetId="21" hidden="1">'Q2 TB-20'!$B$63</definedName>
    <definedName name="QB_ROW_148210" localSheetId="19" hidden="1">'Q3 TB-19'!$B$63</definedName>
    <definedName name="QB_ROW_148210" localSheetId="22" hidden="1">'Q3 TB-20'!$B$63</definedName>
    <definedName name="QB_ROW_148210" localSheetId="15" hidden="1">'Q4 TB-19'!$B$63</definedName>
    <definedName name="QB_ROW_148210" localSheetId="16" hidden="1">'Q4 TB-20'!$B$63</definedName>
    <definedName name="QB_ROW_148210" localSheetId="24" hidden="1">'Raw Data 01-31-2019'!$B$61</definedName>
    <definedName name="QB_ROW_148210" localSheetId="29" hidden="1">'Raw Data 01-31-2020'!$B$61</definedName>
    <definedName name="QB_ROW_148210" localSheetId="25" hidden="1">'Raw Data 04-30-2019'!$B$61</definedName>
    <definedName name="QB_ROW_148210" localSheetId="30" hidden="1">'Raw Data 04-30-2020'!$B$61</definedName>
    <definedName name="QB_ROW_148210" localSheetId="26" hidden="1">'Raw Data 07-31-2019'!$B$61</definedName>
    <definedName name="QB_ROW_148210" localSheetId="31" hidden="1">'Raw Data 07-31-2020'!$B$61</definedName>
    <definedName name="QB_ROW_148210" localSheetId="27" hidden="1">'Raw Data 10-31-2019'!$B$61</definedName>
    <definedName name="QB_ROW_148210" localSheetId="28" hidden="1">'Raw Data 10-31-2020'!$B$61</definedName>
    <definedName name="QB_ROW_149210" localSheetId="12" hidden="1">'Detail P&amp;L Analytic'!$B$85</definedName>
    <definedName name="QB_ROW_149210" localSheetId="14" hidden="1">'PY TB-18'!$B$91</definedName>
    <definedName name="QB_ROW_149210" localSheetId="17" hidden="1">'Q1 TB-19'!$B$91</definedName>
    <definedName name="QB_ROW_149210" localSheetId="20" hidden="1">'Q1 TB-20'!$B$91</definedName>
    <definedName name="QB_ROW_149210" localSheetId="18" hidden="1">'Q2 TB-19'!$B$91</definedName>
    <definedName name="QB_ROW_149210" localSheetId="21" hidden="1">'Q2 TB-20'!$B$91</definedName>
    <definedName name="QB_ROW_149210" localSheetId="19" hidden="1">'Q3 TB-19'!$B$91</definedName>
    <definedName name="QB_ROW_149210" localSheetId="22" hidden="1">'Q3 TB-20'!$B$91</definedName>
    <definedName name="QB_ROW_149210" localSheetId="15" hidden="1">'Q4 TB-19'!$B$91</definedName>
    <definedName name="QB_ROW_149210" localSheetId="16" hidden="1">'Q4 TB-20'!$B$91</definedName>
    <definedName name="QB_ROW_149210" localSheetId="24" hidden="1">'Raw Data 01-31-2019'!$B$88</definedName>
    <definedName name="QB_ROW_149210" localSheetId="29" hidden="1">'Raw Data 01-31-2020'!$B$88</definedName>
    <definedName name="QB_ROW_149210" localSheetId="25" hidden="1">'Raw Data 04-30-2019'!$B$88</definedName>
    <definedName name="QB_ROW_149210" localSheetId="30" hidden="1">'Raw Data 04-30-2020'!$B$88</definedName>
    <definedName name="QB_ROW_149210" localSheetId="26" hidden="1">'Raw Data 07-31-2019'!$B$88</definedName>
    <definedName name="QB_ROW_149210" localSheetId="31" hidden="1">'Raw Data 07-31-2020'!$B$88</definedName>
    <definedName name="QB_ROW_149210" localSheetId="27" hidden="1">'Raw Data 10-31-2019'!$B$88</definedName>
    <definedName name="QB_ROW_149210" localSheetId="28" hidden="1">'Raw Data 10-31-2020'!$B$89</definedName>
    <definedName name="QB_ROW_150210" localSheetId="12" hidden="1">'Detail P&amp;L Analytic'!$B$76</definedName>
    <definedName name="QB_ROW_150210" localSheetId="14" hidden="1">'PY TB-18'!$B$82</definedName>
    <definedName name="QB_ROW_150210" localSheetId="17" hidden="1">'Q1 TB-19'!$B$82</definedName>
    <definedName name="QB_ROW_150210" localSheetId="20" hidden="1">'Q1 TB-20'!$B$82</definedName>
    <definedName name="QB_ROW_150210" localSheetId="18" hidden="1">'Q2 TB-19'!$B$82</definedName>
    <definedName name="QB_ROW_150210" localSheetId="21" hidden="1">'Q2 TB-20'!$B$82</definedName>
    <definedName name="QB_ROW_150210" localSheetId="19" hidden="1">'Q3 TB-19'!$B$82</definedName>
    <definedName name="QB_ROW_150210" localSheetId="22" hidden="1">'Q3 TB-20'!$B$82</definedName>
    <definedName name="QB_ROW_150210" localSheetId="15" hidden="1">'Q4 TB-19'!$B$82</definedName>
    <definedName name="QB_ROW_150210" localSheetId="16" hidden="1">'Q4 TB-20'!$B$82</definedName>
    <definedName name="QB_ROW_150210" localSheetId="24" hidden="1">'Raw Data 01-31-2019'!$B$79</definedName>
    <definedName name="QB_ROW_150210" localSheetId="29" hidden="1">'Raw Data 01-31-2020'!$B$79</definedName>
    <definedName name="QB_ROW_150210" localSheetId="25" hidden="1">'Raw Data 04-30-2019'!$B$79</definedName>
    <definedName name="QB_ROW_150210" localSheetId="30" hidden="1">'Raw Data 04-30-2020'!$B$79</definedName>
    <definedName name="QB_ROW_150210" localSheetId="26" hidden="1">'Raw Data 07-31-2019'!$B$79</definedName>
    <definedName name="QB_ROW_150210" localSheetId="31" hidden="1">'Raw Data 07-31-2020'!$B$79</definedName>
    <definedName name="QB_ROW_150210" localSheetId="27" hidden="1">'Raw Data 10-31-2019'!$B$79</definedName>
    <definedName name="QB_ROW_150210" localSheetId="28" hidden="1">'Raw Data 10-31-2020'!$B$80</definedName>
    <definedName name="QB_ROW_151210" localSheetId="12" hidden="1">'Detail P&amp;L Analytic'!$B$124</definedName>
    <definedName name="QB_ROW_151210" localSheetId="14" hidden="1">'PY TB-18'!$B$134</definedName>
    <definedName name="QB_ROW_151210" localSheetId="17" hidden="1">'Q1 TB-19'!$B$134</definedName>
    <definedName name="QB_ROW_151210" localSheetId="20" hidden="1">'Q1 TB-20'!$B$134</definedName>
    <definedName name="QB_ROW_151210" localSheetId="18" hidden="1">'Q2 TB-19'!$B$134</definedName>
    <definedName name="QB_ROW_151210" localSheetId="21" hidden="1">'Q2 TB-20'!$B$134</definedName>
    <definedName name="QB_ROW_151210" localSheetId="19" hidden="1">'Q3 TB-19'!$B$134</definedName>
    <definedName name="QB_ROW_151210" localSheetId="22" hidden="1">'Q3 TB-20'!$B$134</definedName>
    <definedName name="QB_ROW_151210" localSheetId="15" hidden="1">'Q4 TB-19'!$B$134</definedName>
    <definedName name="QB_ROW_151210" localSheetId="16" hidden="1">'Q4 TB-20'!$B$134</definedName>
    <definedName name="QB_ROW_151210" localSheetId="24" hidden="1">'Raw Data 01-31-2019'!$B$128</definedName>
    <definedName name="QB_ROW_151210" localSheetId="29" hidden="1">'Raw Data 01-31-2020'!$B$128</definedName>
    <definedName name="QB_ROW_151210" localSheetId="25" hidden="1">'Raw Data 04-30-2019'!$B$128</definedName>
    <definedName name="QB_ROW_151210" localSheetId="30" hidden="1">'Raw Data 04-30-2020'!$B$128</definedName>
    <definedName name="QB_ROW_151210" localSheetId="26" hidden="1">'Raw Data 07-31-2019'!$B$128</definedName>
    <definedName name="QB_ROW_151210" localSheetId="31" hidden="1">'Raw Data 07-31-2020'!$B$128</definedName>
    <definedName name="QB_ROW_151210" localSheetId="27" hidden="1">'Raw Data 10-31-2019'!$B$128</definedName>
    <definedName name="QB_ROW_151210" localSheetId="28" hidden="1">'Raw Data 10-31-2020'!$B$129</definedName>
    <definedName name="QB_ROW_154210" localSheetId="12" hidden="1">'Detail P&amp;L Analytic'!$B$75</definedName>
    <definedName name="QB_ROW_154210" localSheetId="14" hidden="1">'PY TB-18'!$B$81</definedName>
    <definedName name="QB_ROW_154210" localSheetId="17" hidden="1">'Q1 TB-19'!$B$81</definedName>
    <definedName name="QB_ROW_154210" localSheetId="20" hidden="1">'Q1 TB-20'!$B$81</definedName>
    <definedName name="QB_ROW_154210" localSheetId="18" hidden="1">'Q2 TB-19'!$B$81</definedName>
    <definedName name="QB_ROW_154210" localSheetId="21" hidden="1">'Q2 TB-20'!$B$81</definedName>
    <definedName name="QB_ROW_154210" localSheetId="19" hidden="1">'Q3 TB-19'!$B$81</definedName>
    <definedName name="QB_ROW_154210" localSheetId="22" hidden="1">'Q3 TB-20'!$B$81</definedName>
    <definedName name="QB_ROW_154210" localSheetId="15" hidden="1">'Q4 TB-19'!$B$81</definedName>
    <definedName name="QB_ROW_154210" localSheetId="16" hidden="1">'Q4 TB-20'!$B$81</definedName>
    <definedName name="QB_ROW_154210" localSheetId="24" hidden="1">'Raw Data 01-31-2019'!$B$78</definedName>
    <definedName name="QB_ROW_154210" localSheetId="29" hidden="1">'Raw Data 01-31-2020'!$B$78</definedName>
    <definedName name="QB_ROW_154210" localSheetId="25" hidden="1">'Raw Data 04-30-2019'!$B$78</definedName>
    <definedName name="QB_ROW_154210" localSheetId="30" hidden="1">'Raw Data 04-30-2020'!$B$78</definedName>
    <definedName name="QB_ROW_154210" localSheetId="26" hidden="1">'Raw Data 07-31-2019'!$B$78</definedName>
    <definedName name="QB_ROW_154210" localSheetId="31" hidden="1">'Raw Data 07-31-2020'!$B$78</definedName>
    <definedName name="QB_ROW_154210" localSheetId="27" hidden="1">'Raw Data 10-31-2019'!$B$78</definedName>
    <definedName name="QB_ROW_154210" localSheetId="28" hidden="1">'Raw Data 10-31-2020'!$B$79</definedName>
    <definedName name="QB_ROW_155210" localSheetId="12" hidden="1">'Detail P&amp;L Analytic'!$B$84</definedName>
    <definedName name="QB_ROW_155210" localSheetId="14" hidden="1">'PY TB-18'!$B$90</definedName>
    <definedName name="QB_ROW_155210" localSheetId="17" hidden="1">'Q1 TB-19'!$B$90</definedName>
    <definedName name="QB_ROW_155210" localSheetId="20" hidden="1">'Q1 TB-20'!$B$90</definedName>
    <definedName name="QB_ROW_155210" localSheetId="18" hidden="1">'Q2 TB-19'!$B$90</definedName>
    <definedName name="QB_ROW_155210" localSheetId="21" hidden="1">'Q2 TB-20'!$B$90</definedName>
    <definedName name="QB_ROW_155210" localSheetId="19" hidden="1">'Q3 TB-19'!$B$90</definedName>
    <definedName name="QB_ROW_155210" localSheetId="22" hidden="1">'Q3 TB-20'!$B$90</definedName>
    <definedName name="QB_ROW_155210" localSheetId="15" hidden="1">'Q4 TB-19'!$B$90</definedName>
    <definedName name="QB_ROW_155210" localSheetId="16" hidden="1">'Q4 TB-20'!$B$90</definedName>
    <definedName name="QB_ROW_155210" localSheetId="24" hidden="1">'Raw Data 01-31-2019'!$B$87</definedName>
    <definedName name="QB_ROW_155210" localSheetId="29" hidden="1">'Raw Data 01-31-2020'!$B$87</definedName>
    <definedName name="QB_ROW_155210" localSheetId="25" hidden="1">'Raw Data 04-30-2019'!$B$87</definedName>
    <definedName name="QB_ROW_155210" localSheetId="30" hidden="1">'Raw Data 04-30-2020'!$B$87</definedName>
    <definedName name="QB_ROW_155210" localSheetId="26" hidden="1">'Raw Data 07-31-2019'!$B$87</definedName>
    <definedName name="QB_ROW_155210" localSheetId="31" hidden="1">'Raw Data 07-31-2020'!$B$87</definedName>
    <definedName name="QB_ROW_155210" localSheetId="27" hidden="1">'Raw Data 10-31-2019'!$B$87</definedName>
    <definedName name="QB_ROW_155210" localSheetId="28" hidden="1">'Raw Data 10-31-2020'!$B$88</definedName>
    <definedName name="QB_ROW_157210" localSheetId="12" hidden="1">'Detail P&amp;L Analytic'!$B$144</definedName>
    <definedName name="QB_ROW_157210" localSheetId="14" hidden="1">'PY TB-18'!$B$154</definedName>
    <definedName name="QB_ROW_157210" localSheetId="17" hidden="1">'Q1 TB-19'!$B$154</definedName>
    <definedName name="QB_ROW_157210" localSheetId="20" hidden="1">'Q1 TB-20'!$B$154</definedName>
    <definedName name="QB_ROW_157210" localSheetId="18" hidden="1">'Q2 TB-19'!$B$154</definedName>
    <definedName name="QB_ROW_157210" localSheetId="21" hidden="1">'Q2 TB-20'!$B$154</definedName>
    <definedName name="QB_ROW_157210" localSheetId="19" hidden="1">'Q3 TB-19'!$B$154</definedName>
    <definedName name="QB_ROW_157210" localSheetId="22" hidden="1">'Q3 TB-20'!$B$154</definedName>
    <definedName name="QB_ROW_157210" localSheetId="15" hidden="1">'Q4 TB-19'!$B$154</definedName>
    <definedName name="QB_ROW_157210" localSheetId="16" hidden="1">'Q4 TB-20'!$B$154</definedName>
    <definedName name="QB_ROW_157210" localSheetId="24" hidden="1">'Raw Data 01-31-2019'!$B$148</definedName>
    <definedName name="QB_ROW_157210" localSheetId="29" hidden="1">'Raw Data 01-31-2020'!$B$148</definedName>
    <definedName name="QB_ROW_157210" localSheetId="25" hidden="1">'Raw Data 04-30-2019'!$B$148</definedName>
    <definedName name="QB_ROW_157210" localSheetId="30" hidden="1">'Raw Data 04-30-2020'!$B$148</definedName>
    <definedName name="QB_ROW_157210" localSheetId="26" hidden="1">'Raw Data 07-31-2019'!$B$148</definedName>
    <definedName name="QB_ROW_157210" localSheetId="31" hidden="1">'Raw Data 07-31-2020'!$B$148</definedName>
    <definedName name="QB_ROW_157210" localSheetId="27" hidden="1">'Raw Data 10-31-2019'!$B$149</definedName>
    <definedName name="QB_ROW_157210" localSheetId="28" hidden="1">'Raw Data 10-31-2020'!$B$150</definedName>
    <definedName name="QB_ROW_158210" localSheetId="12" hidden="1">'Detail P&amp;L Analytic'!$B$143</definedName>
    <definedName name="QB_ROW_158210" localSheetId="14" hidden="1">'PY TB-18'!$B$153</definedName>
    <definedName name="QB_ROW_158210" localSheetId="17" hidden="1">'Q1 TB-19'!$B$153</definedName>
    <definedName name="QB_ROW_158210" localSheetId="20" hidden="1">'Q1 TB-20'!$B$153</definedName>
    <definedName name="QB_ROW_158210" localSheetId="18" hidden="1">'Q2 TB-19'!$B$153</definedName>
    <definedName name="QB_ROW_158210" localSheetId="21" hidden="1">'Q2 TB-20'!$B$153</definedName>
    <definedName name="QB_ROW_158210" localSheetId="19" hidden="1">'Q3 TB-19'!$B$153</definedName>
    <definedName name="QB_ROW_158210" localSheetId="22" hidden="1">'Q3 TB-20'!$B$153</definedName>
    <definedName name="QB_ROW_158210" localSheetId="15" hidden="1">'Q4 TB-19'!$B$153</definedName>
    <definedName name="QB_ROW_158210" localSheetId="16" hidden="1">'Q4 TB-20'!$B$153</definedName>
    <definedName name="QB_ROW_158210" localSheetId="24" hidden="1">'Raw Data 01-31-2019'!$B$147</definedName>
    <definedName name="QB_ROW_158210" localSheetId="29" hidden="1">'Raw Data 01-31-2020'!$B$147</definedName>
    <definedName name="QB_ROW_158210" localSheetId="25" hidden="1">'Raw Data 04-30-2019'!$B$147</definedName>
    <definedName name="QB_ROW_158210" localSheetId="30" hidden="1">'Raw Data 04-30-2020'!$B$147</definedName>
    <definedName name="QB_ROW_158210" localSheetId="26" hidden="1">'Raw Data 07-31-2019'!$B$147</definedName>
    <definedName name="QB_ROW_158210" localSheetId="31" hidden="1">'Raw Data 07-31-2020'!$B$147</definedName>
    <definedName name="QB_ROW_158210" localSheetId="27" hidden="1">'Raw Data 10-31-2019'!$B$148</definedName>
    <definedName name="QB_ROW_158210" localSheetId="28" hidden="1">'Raw Data 10-31-2020'!$B$149</definedName>
    <definedName name="QB_ROW_159210" localSheetId="12" hidden="1">'Detail P&amp;L Analytic'!$B$119</definedName>
    <definedName name="QB_ROW_159210" localSheetId="14" hidden="1">'PY TB-18'!$B$129</definedName>
    <definedName name="QB_ROW_159210" localSheetId="17" hidden="1">'Q1 TB-19'!$B$129</definedName>
    <definedName name="QB_ROW_159210" localSheetId="20" hidden="1">'Q1 TB-20'!$B$129</definedName>
    <definedName name="QB_ROW_159210" localSheetId="18" hidden="1">'Q2 TB-19'!$B$129</definedName>
    <definedName name="QB_ROW_159210" localSheetId="21" hidden="1">'Q2 TB-20'!$B$129</definedName>
    <definedName name="QB_ROW_159210" localSheetId="19" hidden="1">'Q3 TB-19'!$B$129</definedName>
    <definedName name="QB_ROW_159210" localSheetId="22" hidden="1">'Q3 TB-20'!$B$129</definedName>
    <definedName name="QB_ROW_159210" localSheetId="15" hidden="1">'Q4 TB-19'!$B$129</definedName>
    <definedName name="QB_ROW_159210" localSheetId="16" hidden="1">'Q4 TB-20'!$B$129</definedName>
    <definedName name="QB_ROW_159210" localSheetId="24" hidden="1">'Raw Data 01-31-2019'!$B$123</definedName>
    <definedName name="QB_ROW_159210" localSheetId="29" hidden="1">'Raw Data 01-31-2020'!$B$123</definedName>
    <definedName name="QB_ROW_159210" localSheetId="25" hidden="1">'Raw Data 04-30-2019'!$B$123</definedName>
    <definedName name="QB_ROW_159210" localSheetId="30" hidden="1">'Raw Data 04-30-2020'!$B$123</definedName>
    <definedName name="QB_ROW_159210" localSheetId="26" hidden="1">'Raw Data 07-31-2019'!$B$123</definedName>
    <definedName name="QB_ROW_159210" localSheetId="31" hidden="1">'Raw Data 07-31-2020'!$B$123</definedName>
    <definedName name="QB_ROW_159210" localSheetId="27" hidden="1">'Raw Data 10-31-2019'!$B$123</definedName>
    <definedName name="QB_ROW_159210" localSheetId="28" hidden="1">'Raw Data 10-31-2020'!$B$124</definedName>
    <definedName name="QB_ROW_160210" localSheetId="12" hidden="1">'Detail P&amp;L Analytic'!$B$74</definedName>
    <definedName name="QB_ROW_160210" localSheetId="14" hidden="1">'PY TB-18'!$B$80</definedName>
    <definedName name="QB_ROW_160210" localSheetId="17" hidden="1">'Q1 TB-19'!$B$80</definedName>
    <definedName name="QB_ROW_160210" localSheetId="20" hidden="1">'Q1 TB-20'!$B$80</definedName>
    <definedName name="QB_ROW_160210" localSheetId="18" hidden="1">'Q2 TB-19'!$B$80</definedName>
    <definedName name="QB_ROW_160210" localSheetId="21" hidden="1">'Q2 TB-20'!$B$80</definedName>
    <definedName name="QB_ROW_160210" localSheetId="19" hidden="1">'Q3 TB-19'!$B$80</definedName>
    <definedName name="QB_ROW_160210" localSheetId="22" hidden="1">'Q3 TB-20'!$B$80</definedName>
    <definedName name="QB_ROW_160210" localSheetId="15" hidden="1">'Q4 TB-19'!$B$80</definedName>
    <definedName name="QB_ROW_160210" localSheetId="16" hidden="1">'Q4 TB-20'!$B$80</definedName>
    <definedName name="QB_ROW_160210" localSheetId="24" hidden="1">'Raw Data 01-31-2019'!$B$77</definedName>
    <definedName name="QB_ROW_160210" localSheetId="29" hidden="1">'Raw Data 01-31-2020'!$B$77</definedName>
    <definedName name="QB_ROW_160210" localSheetId="25" hidden="1">'Raw Data 04-30-2019'!$B$77</definedName>
    <definedName name="QB_ROW_160210" localSheetId="30" hidden="1">'Raw Data 04-30-2020'!$B$77</definedName>
    <definedName name="QB_ROW_160210" localSheetId="26" hidden="1">'Raw Data 07-31-2019'!$B$77</definedName>
    <definedName name="QB_ROW_160210" localSheetId="31" hidden="1">'Raw Data 07-31-2020'!$B$77</definedName>
    <definedName name="QB_ROW_160210" localSheetId="27" hidden="1">'Raw Data 10-31-2019'!$B$77</definedName>
    <definedName name="QB_ROW_160210" localSheetId="28" hidden="1">'Raw Data 10-31-2020'!$B$78</definedName>
    <definedName name="QB_ROW_161210" localSheetId="12" hidden="1">'Detail P&amp;L Analytic'!$B$48</definedName>
    <definedName name="QB_ROW_161210" localSheetId="14" hidden="1">'PY TB-18'!$B$53</definedName>
    <definedName name="QB_ROW_161210" localSheetId="17" hidden="1">'Q1 TB-19'!$B$53</definedName>
    <definedName name="QB_ROW_161210" localSheetId="20" hidden="1">'Q1 TB-20'!$B$53</definedName>
    <definedName name="QB_ROW_161210" localSheetId="18" hidden="1">'Q2 TB-19'!$B$53</definedName>
    <definedName name="QB_ROW_161210" localSheetId="21" hidden="1">'Q2 TB-20'!$B$53</definedName>
    <definedName name="QB_ROW_161210" localSheetId="19" hidden="1">'Q3 TB-19'!$B$53</definedName>
    <definedName name="QB_ROW_161210" localSheetId="22" hidden="1">'Q3 TB-20'!$B$53</definedName>
    <definedName name="QB_ROW_161210" localSheetId="15" hidden="1">'Q4 TB-19'!$B$53</definedName>
    <definedName name="QB_ROW_161210" localSheetId="16" hidden="1">'Q4 TB-20'!$B$53</definedName>
    <definedName name="QB_ROW_161210" localSheetId="24" hidden="1">'Raw Data 01-31-2019'!$B$51</definedName>
    <definedName name="QB_ROW_161210" localSheetId="29" hidden="1">'Raw Data 01-31-2020'!$B$51</definedName>
    <definedName name="QB_ROW_161210" localSheetId="25" hidden="1">'Raw Data 04-30-2019'!$B$51</definedName>
    <definedName name="QB_ROW_161210" localSheetId="30" hidden="1">'Raw Data 04-30-2020'!$B$51</definedName>
    <definedName name="QB_ROW_161210" localSheetId="26" hidden="1">'Raw Data 07-31-2019'!$B$51</definedName>
    <definedName name="QB_ROW_161210" localSheetId="31" hidden="1">'Raw Data 07-31-2020'!$B$51</definedName>
    <definedName name="QB_ROW_161210" localSheetId="27" hidden="1">'Raw Data 10-31-2019'!$B$51</definedName>
    <definedName name="QB_ROW_161210" localSheetId="28" hidden="1">'Raw Data 10-31-2020'!$B$51</definedName>
    <definedName name="QB_ROW_16210" localSheetId="12" hidden="1">'Detail P&amp;L Analytic'!$B$166</definedName>
    <definedName name="QB_ROW_16210" localSheetId="14" hidden="1">'PY TB-18'!$B$176</definedName>
    <definedName name="QB_ROW_16210" localSheetId="17" hidden="1">'Q1 TB-19'!$B$176</definedName>
    <definedName name="QB_ROW_16210" localSheetId="20" hidden="1">'Q1 TB-20'!$B$176</definedName>
    <definedName name="QB_ROW_16210" localSheetId="18" hidden="1">'Q2 TB-19'!$B$176</definedName>
    <definedName name="QB_ROW_16210" localSheetId="21" hidden="1">'Q2 TB-20'!$B$176</definedName>
    <definedName name="QB_ROW_16210" localSheetId="19" hidden="1">'Q3 TB-19'!$B$176</definedName>
    <definedName name="QB_ROW_16210" localSheetId="22" hidden="1">'Q3 TB-20'!$B$176</definedName>
    <definedName name="QB_ROW_16210" localSheetId="15" hidden="1">'Q4 TB-19'!$B$176</definedName>
    <definedName name="QB_ROW_16210" localSheetId="16" hidden="1">'Q4 TB-20'!$B$176</definedName>
    <definedName name="QB_ROW_16210" localSheetId="24" hidden="1">'Raw Data 01-31-2019'!$B$170</definedName>
    <definedName name="QB_ROW_16210" localSheetId="29" hidden="1">'Raw Data 01-31-2020'!$B$170</definedName>
    <definedName name="QB_ROW_16210" localSheetId="25" hidden="1">'Raw Data 04-30-2019'!$B$170</definedName>
    <definedName name="QB_ROW_16210" localSheetId="30" hidden="1">'Raw Data 04-30-2020'!$B$170</definedName>
    <definedName name="QB_ROW_16210" localSheetId="26" hidden="1">'Raw Data 07-31-2019'!$B$170</definedName>
    <definedName name="QB_ROW_16210" localSheetId="31" hidden="1">'Raw Data 07-31-2020'!$B$170</definedName>
    <definedName name="QB_ROW_16210" localSheetId="27" hidden="1">'Raw Data 10-31-2019'!$B$171</definedName>
    <definedName name="QB_ROW_16210" localSheetId="28" hidden="1">'Raw Data 10-31-2020'!$B$172</definedName>
    <definedName name="QB_ROW_162210" localSheetId="12" hidden="1">'Detail P&amp;L Analytic'!$B$83</definedName>
    <definedName name="QB_ROW_162210" localSheetId="14" hidden="1">'PY TB-18'!$B$89</definedName>
    <definedName name="QB_ROW_162210" localSheetId="17" hidden="1">'Q1 TB-19'!$B$89</definedName>
    <definedName name="QB_ROW_162210" localSheetId="20" hidden="1">'Q1 TB-20'!$B$89</definedName>
    <definedName name="QB_ROW_162210" localSheetId="18" hidden="1">'Q2 TB-19'!$B$89</definedName>
    <definedName name="QB_ROW_162210" localSheetId="21" hidden="1">'Q2 TB-20'!$B$89</definedName>
    <definedName name="QB_ROW_162210" localSheetId="19" hidden="1">'Q3 TB-19'!$B$89</definedName>
    <definedName name="QB_ROW_162210" localSheetId="22" hidden="1">'Q3 TB-20'!$B$89</definedName>
    <definedName name="QB_ROW_162210" localSheetId="15" hidden="1">'Q4 TB-19'!$B$89</definedName>
    <definedName name="QB_ROW_162210" localSheetId="16" hidden="1">'Q4 TB-20'!$B$89</definedName>
    <definedName name="QB_ROW_162210" localSheetId="24" hidden="1">'Raw Data 01-31-2019'!$B$86</definedName>
    <definedName name="QB_ROW_162210" localSheetId="29" hidden="1">'Raw Data 01-31-2020'!$B$86</definedName>
    <definedName name="QB_ROW_162210" localSheetId="25" hidden="1">'Raw Data 04-30-2019'!$B$86</definedName>
    <definedName name="QB_ROW_162210" localSheetId="30" hidden="1">'Raw Data 04-30-2020'!$B$86</definedName>
    <definedName name="QB_ROW_162210" localSheetId="26" hidden="1">'Raw Data 07-31-2019'!$B$86</definedName>
    <definedName name="QB_ROW_162210" localSheetId="31" hidden="1">'Raw Data 07-31-2020'!$B$86</definedName>
    <definedName name="QB_ROW_162210" localSheetId="27" hidden="1">'Raw Data 10-31-2019'!$B$86</definedName>
    <definedName name="QB_ROW_162210" localSheetId="28" hidden="1">'Raw Data 10-31-2020'!$B$87</definedName>
    <definedName name="QB_ROW_163210" localSheetId="12" hidden="1">'Detail P&amp;L Analytic'!$B$73</definedName>
    <definedName name="QB_ROW_163210" localSheetId="14" hidden="1">'PY TB-18'!$B$79</definedName>
    <definedName name="QB_ROW_163210" localSheetId="17" hidden="1">'Q1 TB-19'!$B$79</definedName>
    <definedName name="QB_ROW_163210" localSheetId="20" hidden="1">'Q1 TB-20'!$B$79</definedName>
    <definedName name="QB_ROW_163210" localSheetId="18" hidden="1">'Q2 TB-19'!$B$79</definedName>
    <definedName name="QB_ROW_163210" localSheetId="21" hidden="1">'Q2 TB-20'!$B$79</definedName>
    <definedName name="QB_ROW_163210" localSheetId="19" hidden="1">'Q3 TB-19'!$B$79</definedName>
    <definedName name="QB_ROW_163210" localSheetId="22" hidden="1">'Q3 TB-20'!$B$79</definedName>
    <definedName name="QB_ROW_163210" localSheetId="15" hidden="1">'Q4 TB-19'!$B$79</definedName>
    <definedName name="QB_ROW_163210" localSheetId="16" hidden="1">'Q4 TB-20'!$B$79</definedName>
    <definedName name="QB_ROW_163210" localSheetId="24" hidden="1">'Raw Data 01-31-2019'!$B$76</definedName>
    <definedName name="QB_ROW_163210" localSheetId="29" hidden="1">'Raw Data 01-31-2020'!$B$76</definedName>
    <definedName name="QB_ROW_163210" localSheetId="25" hidden="1">'Raw Data 04-30-2019'!$B$76</definedName>
    <definedName name="QB_ROW_163210" localSheetId="30" hidden="1">'Raw Data 04-30-2020'!$B$76</definedName>
    <definedName name="QB_ROW_163210" localSheetId="26" hidden="1">'Raw Data 07-31-2019'!$B$76</definedName>
    <definedName name="QB_ROW_163210" localSheetId="31" hidden="1">'Raw Data 07-31-2020'!$B$76</definedName>
    <definedName name="QB_ROW_163210" localSheetId="27" hidden="1">'Raw Data 10-31-2019'!$B$76</definedName>
    <definedName name="QB_ROW_163210" localSheetId="28" hidden="1">'Raw Data 10-31-2020'!$B$77</definedName>
    <definedName name="QB_ROW_164210" localSheetId="12" hidden="1">'Detail P&amp;L Analytic'!$B$146</definedName>
    <definedName name="QB_ROW_164210" localSheetId="14" hidden="1">'PY TB-18'!$B$156</definedName>
    <definedName name="QB_ROW_164210" localSheetId="17" hidden="1">'Q1 TB-19'!$B$156</definedName>
    <definedName name="QB_ROW_164210" localSheetId="20" hidden="1">'Q1 TB-20'!$B$156</definedName>
    <definedName name="QB_ROW_164210" localSheetId="18" hidden="1">'Q2 TB-19'!$B$156</definedName>
    <definedName name="QB_ROW_164210" localSheetId="21" hidden="1">'Q2 TB-20'!$B$156</definedName>
    <definedName name="QB_ROW_164210" localSheetId="19" hidden="1">'Q3 TB-19'!$B$156</definedName>
    <definedName name="QB_ROW_164210" localSheetId="22" hidden="1">'Q3 TB-20'!$B$156</definedName>
    <definedName name="QB_ROW_164210" localSheetId="15" hidden="1">'Q4 TB-19'!$B$156</definedName>
    <definedName name="QB_ROW_164210" localSheetId="16" hidden="1">'Q4 TB-20'!$B$156</definedName>
    <definedName name="QB_ROW_164210" localSheetId="24" hidden="1">'Raw Data 01-31-2019'!$B$150</definedName>
    <definedName name="QB_ROW_164210" localSheetId="29" hidden="1">'Raw Data 01-31-2020'!$B$150</definedName>
    <definedName name="QB_ROW_164210" localSheetId="25" hidden="1">'Raw Data 04-30-2019'!$B$150</definedName>
    <definedName name="QB_ROW_164210" localSheetId="30" hidden="1">'Raw Data 04-30-2020'!$B$150</definedName>
    <definedName name="QB_ROW_164210" localSheetId="26" hidden="1">'Raw Data 07-31-2019'!$B$150</definedName>
    <definedName name="QB_ROW_164210" localSheetId="31" hidden="1">'Raw Data 07-31-2020'!$B$150</definedName>
    <definedName name="QB_ROW_164210" localSheetId="27" hidden="1">'Raw Data 10-31-2019'!$B$151</definedName>
    <definedName name="QB_ROW_164210" localSheetId="28" hidden="1">'Raw Data 10-31-2020'!$B$152</definedName>
    <definedName name="QB_ROW_165210" localSheetId="12" hidden="1">'Detail P&amp;L Analytic'!$B$72</definedName>
    <definedName name="QB_ROW_165210" localSheetId="14" hidden="1">'PY TB-18'!$B$77</definedName>
    <definedName name="QB_ROW_165210" localSheetId="17" hidden="1">'Q1 TB-19'!$B$77</definedName>
    <definedName name="QB_ROW_165210" localSheetId="20" hidden="1">'Q1 TB-20'!$B$77</definedName>
    <definedName name="QB_ROW_165210" localSheetId="18" hidden="1">'Q2 TB-19'!$B$77</definedName>
    <definedName name="QB_ROW_165210" localSheetId="21" hidden="1">'Q2 TB-20'!$B$77</definedName>
    <definedName name="QB_ROW_165210" localSheetId="19" hidden="1">'Q3 TB-19'!$B$77</definedName>
    <definedName name="QB_ROW_165210" localSheetId="22" hidden="1">'Q3 TB-20'!$B$77</definedName>
    <definedName name="QB_ROW_165210" localSheetId="15" hidden="1">'Q4 TB-19'!$B$77</definedName>
    <definedName name="QB_ROW_165210" localSheetId="16" hidden="1">'Q4 TB-20'!$B$77</definedName>
    <definedName name="QB_ROW_165210" localSheetId="24" hidden="1">'Raw Data 01-31-2019'!$B$75</definedName>
    <definedName name="QB_ROW_165210" localSheetId="29" hidden="1">'Raw Data 01-31-2020'!$B$75</definedName>
    <definedName name="QB_ROW_165210" localSheetId="25" hidden="1">'Raw Data 04-30-2019'!$B$75</definedName>
    <definedName name="QB_ROW_165210" localSheetId="30" hidden="1">'Raw Data 04-30-2020'!$B$75</definedName>
    <definedName name="QB_ROW_165210" localSheetId="26" hidden="1">'Raw Data 07-31-2019'!$B$75</definedName>
    <definedName name="QB_ROW_165210" localSheetId="31" hidden="1">'Raw Data 07-31-2020'!$B$75</definedName>
    <definedName name="QB_ROW_165210" localSheetId="27" hidden="1">'Raw Data 10-31-2019'!$B$75</definedName>
    <definedName name="QB_ROW_165210" localSheetId="28" hidden="1">'Raw Data 10-31-2020'!$B$75</definedName>
    <definedName name="QB_ROW_166210" localSheetId="12" hidden="1">'Detail P&amp;L Analytic'!$B$71</definedName>
    <definedName name="QB_ROW_166210" localSheetId="14" hidden="1">'PY TB-18'!$B$76</definedName>
    <definedName name="QB_ROW_166210" localSheetId="17" hidden="1">'Q1 TB-19'!$B$76</definedName>
    <definedName name="QB_ROW_166210" localSheetId="20" hidden="1">'Q1 TB-20'!$B$76</definedName>
    <definedName name="QB_ROW_166210" localSheetId="18" hidden="1">'Q2 TB-19'!$B$76</definedName>
    <definedName name="QB_ROW_166210" localSheetId="21" hidden="1">'Q2 TB-20'!$B$76</definedName>
    <definedName name="QB_ROW_166210" localSheetId="19" hidden="1">'Q3 TB-19'!$B$76</definedName>
    <definedName name="QB_ROW_166210" localSheetId="22" hidden="1">'Q3 TB-20'!$B$76</definedName>
    <definedName name="QB_ROW_166210" localSheetId="15" hidden="1">'Q4 TB-19'!$B$76</definedName>
    <definedName name="QB_ROW_166210" localSheetId="16" hidden="1">'Q4 TB-20'!$B$76</definedName>
    <definedName name="QB_ROW_166210" localSheetId="24" hidden="1">'Raw Data 01-31-2019'!$B$74</definedName>
    <definedName name="QB_ROW_166210" localSheetId="29" hidden="1">'Raw Data 01-31-2020'!$B$74</definedName>
    <definedName name="QB_ROW_166210" localSheetId="25" hidden="1">'Raw Data 04-30-2019'!$B$74</definedName>
    <definedName name="QB_ROW_166210" localSheetId="30" hidden="1">'Raw Data 04-30-2020'!$B$74</definedName>
    <definedName name="QB_ROW_166210" localSheetId="26" hidden="1">'Raw Data 07-31-2019'!$B$74</definedName>
    <definedName name="QB_ROW_166210" localSheetId="31" hidden="1">'Raw Data 07-31-2020'!$B$74</definedName>
    <definedName name="QB_ROW_166210" localSheetId="27" hidden="1">'Raw Data 10-31-2019'!$B$74</definedName>
    <definedName name="QB_ROW_166210" localSheetId="28" hidden="1">'Raw Data 10-31-2020'!$B$74</definedName>
    <definedName name="QB_ROW_167210" localSheetId="12" hidden="1">'Detail P&amp;L Analytic'!$B$57</definedName>
    <definedName name="QB_ROW_167210" localSheetId="14" hidden="1">'PY TB-18'!$B$62</definedName>
    <definedName name="QB_ROW_167210" localSheetId="17" hidden="1">'Q1 TB-19'!$B$62</definedName>
    <definedName name="QB_ROW_167210" localSheetId="20" hidden="1">'Q1 TB-20'!$B$62</definedName>
    <definedName name="QB_ROW_167210" localSheetId="18" hidden="1">'Q2 TB-19'!$B$62</definedName>
    <definedName name="QB_ROW_167210" localSheetId="21" hidden="1">'Q2 TB-20'!$B$62</definedName>
    <definedName name="QB_ROW_167210" localSheetId="19" hidden="1">'Q3 TB-19'!$B$62</definedName>
    <definedName name="QB_ROW_167210" localSheetId="22" hidden="1">'Q3 TB-20'!$B$62</definedName>
    <definedName name="QB_ROW_167210" localSheetId="15" hidden="1">'Q4 TB-19'!$B$62</definedName>
    <definedName name="QB_ROW_167210" localSheetId="16" hidden="1">'Q4 TB-20'!$B$62</definedName>
    <definedName name="QB_ROW_167210" localSheetId="24" hidden="1">'Raw Data 01-31-2019'!$B$60</definedName>
    <definedName name="QB_ROW_167210" localSheetId="29" hidden="1">'Raw Data 01-31-2020'!$B$60</definedName>
    <definedName name="QB_ROW_167210" localSheetId="25" hidden="1">'Raw Data 04-30-2019'!$B$60</definedName>
    <definedName name="QB_ROW_167210" localSheetId="30" hidden="1">'Raw Data 04-30-2020'!$B$60</definedName>
    <definedName name="QB_ROW_167210" localSheetId="26" hidden="1">'Raw Data 07-31-2019'!$B$60</definedName>
    <definedName name="QB_ROW_167210" localSheetId="31" hidden="1">'Raw Data 07-31-2020'!$B$60</definedName>
    <definedName name="QB_ROW_167210" localSheetId="27" hidden="1">'Raw Data 10-31-2019'!$B$60</definedName>
    <definedName name="QB_ROW_167210" localSheetId="28" hidden="1">'Raw Data 10-31-2020'!$B$60</definedName>
    <definedName name="QB_ROW_171210" localSheetId="12" hidden="1">'Detail P&amp;L Analytic'!$B$47</definedName>
    <definedName name="QB_ROW_171210" localSheetId="14" hidden="1">'PY TB-18'!$B$52</definedName>
    <definedName name="QB_ROW_171210" localSheetId="17" hidden="1">'Q1 TB-19'!$B$52</definedName>
    <definedName name="QB_ROW_171210" localSheetId="20" hidden="1">'Q1 TB-20'!$B$52</definedName>
    <definedName name="QB_ROW_171210" localSheetId="18" hidden="1">'Q2 TB-19'!$B$52</definedName>
    <definedName name="QB_ROW_171210" localSheetId="21" hidden="1">'Q2 TB-20'!$B$52</definedName>
    <definedName name="QB_ROW_171210" localSheetId="19" hidden="1">'Q3 TB-19'!$B$52</definedName>
    <definedName name="QB_ROW_171210" localSheetId="22" hidden="1">'Q3 TB-20'!$B$52</definedName>
    <definedName name="QB_ROW_171210" localSheetId="15" hidden="1">'Q4 TB-19'!$B$52</definedName>
    <definedName name="QB_ROW_171210" localSheetId="16" hidden="1">'Q4 TB-20'!$B$52</definedName>
    <definedName name="QB_ROW_171210" localSheetId="24" hidden="1">'Raw Data 01-31-2019'!$B$50</definedName>
    <definedName name="QB_ROW_171210" localSheetId="29" hidden="1">'Raw Data 01-31-2020'!$B$50</definedName>
    <definedName name="QB_ROW_171210" localSheetId="25" hidden="1">'Raw Data 04-30-2019'!$B$50</definedName>
    <definedName name="QB_ROW_171210" localSheetId="30" hidden="1">'Raw Data 04-30-2020'!$B$50</definedName>
    <definedName name="QB_ROW_171210" localSheetId="26" hidden="1">'Raw Data 07-31-2019'!$B$50</definedName>
    <definedName name="QB_ROW_171210" localSheetId="31" hidden="1">'Raw Data 07-31-2020'!$B$50</definedName>
    <definedName name="QB_ROW_171210" localSheetId="27" hidden="1">'Raw Data 10-31-2019'!$B$50</definedName>
    <definedName name="QB_ROW_171210" localSheetId="28" hidden="1">'Raw Data 10-31-2020'!$B$50</definedName>
    <definedName name="QB_ROW_17210" localSheetId="12" hidden="1">'Detail P&amp;L Analytic'!$B$167</definedName>
    <definedName name="QB_ROW_17210" localSheetId="14" hidden="1">'PY TB-18'!$B$177</definedName>
    <definedName name="QB_ROW_17210" localSheetId="17" hidden="1">'Q1 TB-19'!$B$177</definedName>
    <definedName name="QB_ROW_17210" localSheetId="20" hidden="1">'Q1 TB-20'!$B$177</definedName>
    <definedName name="QB_ROW_17210" localSheetId="18" hidden="1">'Q2 TB-19'!$B$177</definedName>
    <definedName name="QB_ROW_17210" localSheetId="21" hidden="1">'Q2 TB-20'!$B$177</definedName>
    <definedName name="QB_ROW_17210" localSheetId="19" hidden="1">'Q3 TB-19'!$B$177</definedName>
    <definedName name="QB_ROW_17210" localSheetId="22" hidden="1">'Q3 TB-20'!$B$177</definedName>
    <definedName name="QB_ROW_17210" localSheetId="15" hidden="1">'Q4 TB-19'!$B$177</definedName>
    <definedName name="QB_ROW_17210" localSheetId="16" hidden="1">'Q4 TB-20'!$B$177</definedName>
    <definedName name="QB_ROW_17210" localSheetId="24" hidden="1">'Raw Data 01-31-2019'!$B$171</definedName>
    <definedName name="QB_ROW_17210" localSheetId="29" hidden="1">'Raw Data 01-31-2020'!$B$171</definedName>
    <definedName name="QB_ROW_17210" localSheetId="25" hidden="1">'Raw Data 04-30-2019'!$B$171</definedName>
    <definedName name="QB_ROW_17210" localSheetId="30" hidden="1">'Raw Data 04-30-2020'!$B$171</definedName>
    <definedName name="QB_ROW_17210" localSheetId="26" hidden="1">'Raw Data 07-31-2019'!$B$171</definedName>
    <definedName name="QB_ROW_17210" localSheetId="31" hidden="1">'Raw Data 07-31-2020'!$B$171</definedName>
    <definedName name="QB_ROW_17210" localSheetId="27" hidden="1">'Raw Data 10-31-2019'!$B$172</definedName>
    <definedName name="QB_ROW_17210" localSheetId="28" hidden="1">'Raw Data 10-31-2020'!$B$173</definedName>
    <definedName name="QB_ROW_172210" localSheetId="12" hidden="1">'Detail P&amp;L Analytic'!$B$82</definedName>
    <definedName name="QB_ROW_172210" localSheetId="14" hidden="1">'PY TB-18'!$B$88</definedName>
    <definedName name="QB_ROW_172210" localSheetId="17" hidden="1">'Q1 TB-19'!$B$88</definedName>
    <definedName name="QB_ROW_172210" localSheetId="20" hidden="1">'Q1 TB-20'!$B$88</definedName>
    <definedName name="QB_ROW_172210" localSheetId="18" hidden="1">'Q2 TB-19'!$B$88</definedName>
    <definedName name="QB_ROW_172210" localSheetId="21" hidden="1">'Q2 TB-20'!$B$88</definedName>
    <definedName name="QB_ROW_172210" localSheetId="19" hidden="1">'Q3 TB-19'!$B$88</definedName>
    <definedName name="QB_ROW_172210" localSheetId="22" hidden="1">'Q3 TB-20'!$B$88</definedName>
    <definedName name="QB_ROW_172210" localSheetId="15" hidden="1">'Q4 TB-19'!$B$88</definedName>
    <definedName name="QB_ROW_172210" localSheetId="16" hidden="1">'Q4 TB-20'!$B$88</definedName>
    <definedName name="QB_ROW_172210" localSheetId="24" hidden="1">'Raw Data 01-31-2019'!$B$85</definedName>
    <definedName name="QB_ROW_172210" localSheetId="29" hidden="1">'Raw Data 01-31-2020'!$B$85</definedName>
    <definedName name="QB_ROW_172210" localSheetId="25" hidden="1">'Raw Data 04-30-2019'!$B$85</definedName>
    <definedName name="QB_ROW_172210" localSheetId="30" hidden="1">'Raw Data 04-30-2020'!$B$85</definedName>
    <definedName name="QB_ROW_172210" localSheetId="26" hidden="1">'Raw Data 07-31-2019'!$B$85</definedName>
    <definedName name="QB_ROW_172210" localSheetId="31" hidden="1">'Raw Data 07-31-2020'!$B$85</definedName>
    <definedName name="QB_ROW_172210" localSheetId="27" hidden="1">'Raw Data 10-31-2019'!$B$85</definedName>
    <definedName name="QB_ROW_172210" localSheetId="28" hidden="1">'Raw Data 10-31-2020'!$B$86</definedName>
    <definedName name="QB_ROW_173210" localSheetId="12" hidden="1">'Detail P&amp;L Analytic'!$B$123</definedName>
    <definedName name="QB_ROW_173210" localSheetId="14" hidden="1">'PY TB-18'!$B$133</definedName>
    <definedName name="QB_ROW_173210" localSheetId="17" hidden="1">'Q1 TB-19'!$B$133</definedName>
    <definedName name="QB_ROW_173210" localSheetId="20" hidden="1">'Q1 TB-20'!$B$133</definedName>
    <definedName name="QB_ROW_173210" localSheetId="18" hidden="1">'Q2 TB-19'!$B$133</definedName>
    <definedName name="QB_ROW_173210" localSheetId="21" hidden="1">'Q2 TB-20'!$B$133</definedName>
    <definedName name="QB_ROW_173210" localSheetId="19" hidden="1">'Q3 TB-19'!$B$133</definedName>
    <definedName name="QB_ROW_173210" localSheetId="22" hidden="1">'Q3 TB-20'!$B$133</definedName>
    <definedName name="QB_ROW_173210" localSheetId="15" hidden="1">'Q4 TB-19'!$B$133</definedName>
    <definedName name="QB_ROW_173210" localSheetId="16" hidden="1">'Q4 TB-20'!$B$133</definedName>
    <definedName name="QB_ROW_173210" localSheetId="24" hidden="1">'Raw Data 01-31-2019'!$B$127</definedName>
    <definedName name="QB_ROW_173210" localSheetId="29" hidden="1">'Raw Data 01-31-2020'!$B$127</definedName>
    <definedName name="QB_ROW_173210" localSheetId="25" hidden="1">'Raw Data 04-30-2019'!$B$127</definedName>
    <definedName name="QB_ROW_173210" localSheetId="30" hidden="1">'Raw Data 04-30-2020'!$B$127</definedName>
    <definedName name="QB_ROW_173210" localSheetId="26" hidden="1">'Raw Data 07-31-2019'!$B$127</definedName>
    <definedName name="QB_ROW_173210" localSheetId="31" hidden="1">'Raw Data 07-31-2020'!$B$127</definedName>
    <definedName name="QB_ROW_173210" localSheetId="27" hidden="1">'Raw Data 10-31-2019'!$B$127</definedName>
    <definedName name="QB_ROW_173210" localSheetId="28" hidden="1">'Raw Data 10-31-2020'!$B$128</definedName>
    <definedName name="QB_ROW_175210" localSheetId="12" hidden="1">'Detail P&amp;L Analytic'!$B$81</definedName>
    <definedName name="QB_ROW_175210" localSheetId="14" hidden="1">'PY TB-18'!$B$87</definedName>
    <definedName name="QB_ROW_175210" localSheetId="17" hidden="1">'Q1 TB-19'!$B$87</definedName>
    <definedName name="QB_ROW_175210" localSheetId="20" hidden="1">'Q1 TB-20'!$B$87</definedName>
    <definedName name="QB_ROW_175210" localSheetId="18" hidden="1">'Q2 TB-19'!$B$87</definedName>
    <definedName name="QB_ROW_175210" localSheetId="21" hidden="1">'Q2 TB-20'!$B$87</definedName>
    <definedName name="QB_ROW_175210" localSheetId="19" hidden="1">'Q3 TB-19'!$B$87</definedName>
    <definedName name="QB_ROW_175210" localSheetId="22" hidden="1">'Q3 TB-20'!$B$87</definedName>
    <definedName name="QB_ROW_175210" localSheetId="15" hidden="1">'Q4 TB-19'!$B$87</definedName>
    <definedName name="QB_ROW_175210" localSheetId="16" hidden="1">'Q4 TB-20'!$B$87</definedName>
    <definedName name="QB_ROW_175210" localSheetId="24" hidden="1">'Raw Data 01-31-2019'!$B$84</definedName>
    <definedName name="QB_ROW_175210" localSheetId="29" hidden="1">'Raw Data 01-31-2020'!$B$84</definedName>
    <definedName name="QB_ROW_175210" localSheetId="25" hidden="1">'Raw Data 04-30-2019'!$B$84</definedName>
    <definedName name="QB_ROW_175210" localSheetId="30" hidden="1">'Raw Data 04-30-2020'!$B$84</definedName>
    <definedName name="QB_ROW_175210" localSheetId="26" hidden="1">'Raw Data 07-31-2019'!$B$84</definedName>
    <definedName name="QB_ROW_175210" localSheetId="31" hidden="1">'Raw Data 07-31-2020'!$B$84</definedName>
    <definedName name="QB_ROW_175210" localSheetId="27" hidden="1">'Raw Data 10-31-2019'!$B$84</definedName>
    <definedName name="QB_ROW_175210" localSheetId="28" hidden="1">'Raw Data 10-31-2020'!$B$85</definedName>
    <definedName name="QB_ROW_176210" localSheetId="12" hidden="1">'Detail P&amp;L Analytic'!$B$91</definedName>
    <definedName name="QB_ROW_176210" localSheetId="14" hidden="1">'PY TB-18'!$B$97</definedName>
    <definedName name="QB_ROW_176210" localSheetId="17" hidden="1">'Q1 TB-19'!$B$97</definedName>
    <definedName name="QB_ROW_176210" localSheetId="20" hidden="1">'Q1 TB-20'!$B$97</definedName>
    <definedName name="QB_ROW_176210" localSheetId="18" hidden="1">'Q2 TB-19'!$B$97</definedName>
    <definedName name="QB_ROW_176210" localSheetId="21" hidden="1">'Q2 TB-20'!$B$97</definedName>
    <definedName name="QB_ROW_176210" localSheetId="19" hidden="1">'Q3 TB-19'!$B$97</definedName>
    <definedName name="QB_ROW_176210" localSheetId="22" hidden="1">'Q3 TB-20'!$B$97</definedName>
    <definedName name="QB_ROW_176210" localSheetId="15" hidden="1">'Q4 TB-19'!$B$97</definedName>
    <definedName name="QB_ROW_176210" localSheetId="16" hidden="1">'Q4 TB-20'!$B$97</definedName>
    <definedName name="QB_ROW_176210" localSheetId="24" hidden="1">'Raw Data 01-31-2019'!$B$94</definedName>
    <definedName name="QB_ROW_176210" localSheetId="29" hidden="1">'Raw Data 01-31-2020'!$B$94</definedName>
    <definedName name="QB_ROW_176210" localSheetId="25" hidden="1">'Raw Data 04-30-2019'!$B$94</definedName>
    <definedName name="QB_ROW_176210" localSheetId="30" hidden="1">'Raw Data 04-30-2020'!$B$94</definedName>
    <definedName name="QB_ROW_176210" localSheetId="26" hidden="1">'Raw Data 07-31-2019'!$B$94</definedName>
    <definedName name="QB_ROW_176210" localSheetId="31" hidden="1">'Raw Data 07-31-2020'!$B$94</definedName>
    <definedName name="QB_ROW_176210" localSheetId="27" hidden="1">'Raw Data 10-31-2019'!$B$94</definedName>
    <definedName name="QB_ROW_176210" localSheetId="28" hidden="1">'Raw Data 10-31-2020'!$B$95</definedName>
    <definedName name="QB_ROW_177210" localSheetId="12" hidden="1">'Detail P&amp;L Analytic'!$B$165</definedName>
    <definedName name="QB_ROW_177210" localSheetId="14" hidden="1">'PY TB-18'!$B$175</definedName>
    <definedName name="QB_ROW_177210" localSheetId="17" hidden="1">'Q1 TB-19'!$B$175</definedName>
    <definedName name="QB_ROW_177210" localSheetId="20" hidden="1">'Q1 TB-20'!$B$175</definedName>
    <definedName name="QB_ROW_177210" localSheetId="18" hidden="1">'Q2 TB-19'!$B$175</definedName>
    <definedName name="QB_ROW_177210" localSheetId="21" hidden="1">'Q2 TB-20'!$B$175</definedName>
    <definedName name="QB_ROW_177210" localSheetId="19" hidden="1">'Q3 TB-19'!$B$175</definedName>
    <definedName name="QB_ROW_177210" localSheetId="22" hidden="1">'Q3 TB-20'!$B$175</definedName>
    <definedName name="QB_ROW_177210" localSheetId="15" hidden="1">'Q4 TB-19'!$B$175</definedName>
    <definedName name="QB_ROW_177210" localSheetId="16" hidden="1">'Q4 TB-20'!$B$175</definedName>
    <definedName name="QB_ROW_177210" localSheetId="24" hidden="1">'Raw Data 01-31-2019'!$B$169</definedName>
    <definedName name="QB_ROW_177210" localSheetId="29" hidden="1">'Raw Data 01-31-2020'!$B$169</definedName>
    <definedName name="QB_ROW_177210" localSheetId="25" hidden="1">'Raw Data 04-30-2019'!$B$169</definedName>
    <definedName name="QB_ROW_177210" localSheetId="30" hidden="1">'Raw Data 04-30-2020'!$B$169</definedName>
    <definedName name="QB_ROW_177210" localSheetId="26" hidden="1">'Raw Data 07-31-2019'!$B$169</definedName>
    <definedName name="QB_ROW_177210" localSheetId="31" hidden="1">'Raw Data 07-31-2020'!$B$169</definedName>
    <definedName name="QB_ROW_177210" localSheetId="27" hidden="1">'Raw Data 10-31-2019'!$B$170</definedName>
    <definedName name="QB_ROW_177210" localSheetId="28" hidden="1">'Raw Data 10-31-2020'!$B$171</definedName>
    <definedName name="QB_ROW_179210" localSheetId="12" hidden="1">'Detail P&amp;L Analytic'!$B$90</definedName>
    <definedName name="QB_ROW_179210" localSheetId="14" hidden="1">'PY TB-18'!$B$96</definedName>
    <definedName name="QB_ROW_179210" localSheetId="17" hidden="1">'Q1 TB-19'!$B$96</definedName>
    <definedName name="QB_ROW_179210" localSheetId="20" hidden="1">'Q1 TB-20'!$B$96</definedName>
    <definedName name="QB_ROW_179210" localSheetId="18" hidden="1">'Q2 TB-19'!$B$96</definedName>
    <definedName name="QB_ROW_179210" localSheetId="21" hidden="1">'Q2 TB-20'!$B$96</definedName>
    <definedName name="QB_ROW_179210" localSheetId="19" hidden="1">'Q3 TB-19'!$B$96</definedName>
    <definedName name="QB_ROW_179210" localSheetId="22" hidden="1">'Q3 TB-20'!$B$96</definedName>
    <definedName name="QB_ROW_179210" localSheetId="15" hidden="1">'Q4 TB-19'!$B$96</definedName>
    <definedName name="QB_ROW_179210" localSheetId="16" hidden="1">'Q4 TB-20'!$B$96</definedName>
    <definedName name="QB_ROW_179210" localSheetId="24" hidden="1">'Raw Data 01-31-2019'!$B$93</definedName>
    <definedName name="QB_ROW_179210" localSheetId="29" hidden="1">'Raw Data 01-31-2020'!$B$93</definedName>
    <definedName name="QB_ROW_179210" localSheetId="25" hidden="1">'Raw Data 04-30-2019'!$B$93</definedName>
    <definedName name="QB_ROW_179210" localSheetId="30" hidden="1">'Raw Data 04-30-2020'!$B$93</definedName>
    <definedName name="QB_ROW_179210" localSheetId="26" hidden="1">'Raw Data 07-31-2019'!$B$93</definedName>
    <definedName name="QB_ROW_179210" localSheetId="31" hidden="1">'Raw Data 07-31-2020'!$B$93</definedName>
    <definedName name="QB_ROW_179210" localSheetId="27" hidden="1">'Raw Data 10-31-2019'!$B$93</definedName>
    <definedName name="QB_ROW_179210" localSheetId="28" hidden="1">'Raw Data 10-31-2020'!$B$94</definedName>
    <definedName name="QB_ROW_180210" localSheetId="12" hidden="1">'Detail P&amp;L Analytic'!$B$95</definedName>
    <definedName name="QB_ROW_180210" localSheetId="14" hidden="1">'PY TB-18'!$B$102</definedName>
    <definedName name="QB_ROW_180210" localSheetId="17" hidden="1">'Q1 TB-19'!$B$102</definedName>
    <definedName name="QB_ROW_180210" localSheetId="20" hidden="1">'Q1 TB-20'!$B$102</definedName>
    <definedName name="QB_ROW_180210" localSheetId="18" hidden="1">'Q2 TB-19'!$B$102</definedName>
    <definedName name="QB_ROW_180210" localSheetId="21" hidden="1">'Q2 TB-20'!$B$102</definedName>
    <definedName name="QB_ROW_180210" localSheetId="19" hidden="1">'Q3 TB-19'!$B$102</definedName>
    <definedName name="QB_ROW_180210" localSheetId="22" hidden="1">'Q3 TB-20'!$B$102</definedName>
    <definedName name="QB_ROW_180210" localSheetId="15" hidden="1">'Q4 TB-19'!$B$102</definedName>
    <definedName name="QB_ROW_180210" localSheetId="16" hidden="1">'Q4 TB-20'!$B$102</definedName>
    <definedName name="QB_ROW_180210" localSheetId="24" hidden="1">'Raw Data 01-31-2019'!$B$98</definedName>
    <definedName name="QB_ROW_180210" localSheetId="29" hidden="1">'Raw Data 01-31-2020'!$B$98</definedName>
    <definedName name="QB_ROW_180210" localSheetId="25" hidden="1">'Raw Data 04-30-2019'!$B$98</definedName>
    <definedName name="QB_ROW_180210" localSheetId="30" hidden="1">'Raw Data 04-30-2020'!$B$98</definedName>
    <definedName name="QB_ROW_180210" localSheetId="26" hidden="1">'Raw Data 07-31-2019'!$B$98</definedName>
    <definedName name="QB_ROW_180210" localSheetId="31" hidden="1">'Raw Data 07-31-2020'!$B$98</definedName>
    <definedName name="QB_ROW_180210" localSheetId="27" hidden="1">'Raw Data 10-31-2019'!$B$98</definedName>
    <definedName name="QB_ROW_180210" localSheetId="28" hidden="1">'Raw Data 10-31-2020'!$B$99</definedName>
    <definedName name="QB_ROW_18210" localSheetId="12" hidden="1">'Detail P&amp;L Analytic'!$B$168</definedName>
    <definedName name="QB_ROW_18210" localSheetId="14" hidden="1">'PY TB-18'!$B$178</definedName>
    <definedName name="QB_ROW_18210" localSheetId="17" hidden="1">'Q1 TB-19'!$B$178</definedName>
    <definedName name="QB_ROW_18210" localSheetId="20" hidden="1">'Q1 TB-20'!$B$178</definedName>
    <definedName name="QB_ROW_18210" localSheetId="18" hidden="1">'Q2 TB-19'!$B$178</definedName>
    <definedName name="QB_ROW_18210" localSheetId="21" hidden="1">'Q2 TB-20'!$B$178</definedName>
    <definedName name="QB_ROW_18210" localSheetId="19" hidden="1">'Q3 TB-19'!$B$178</definedName>
    <definedName name="QB_ROW_18210" localSheetId="22" hidden="1">'Q3 TB-20'!$B$178</definedName>
    <definedName name="QB_ROW_18210" localSheetId="15" hidden="1">'Q4 TB-19'!$B$178</definedName>
    <definedName name="QB_ROW_18210" localSheetId="16" hidden="1">'Q4 TB-20'!$B$178</definedName>
    <definedName name="QB_ROW_18210" localSheetId="24" hidden="1">'Raw Data 01-31-2019'!$B$172</definedName>
    <definedName name="QB_ROW_18210" localSheetId="29" hidden="1">'Raw Data 01-31-2020'!$B$172</definedName>
    <definedName name="QB_ROW_18210" localSheetId="25" hidden="1">'Raw Data 04-30-2019'!$B$172</definedName>
    <definedName name="QB_ROW_18210" localSheetId="30" hidden="1">'Raw Data 04-30-2020'!$B$172</definedName>
    <definedName name="QB_ROW_18210" localSheetId="26" hidden="1">'Raw Data 07-31-2019'!$B$172</definedName>
    <definedName name="QB_ROW_18210" localSheetId="31" hidden="1">'Raw Data 07-31-2020'!$B$172</definedName>
    <definedName name="QB_ROW_18210" localSheetId="27" hidden="1">'Raw Data 10-31-2019'!$B$173</definedName>
    <definedName name="QB_ROW_18210" localSheetId="28" hidden="1">'Raw Data 10-31-2020'!$B$174</definedName>
    <definedName name="QB_ROW_182210" localSheetId="12" hidden="1">'Detail P&amp;L Analytic'!$B$37</definedName>
    <definedName name="QB_ROW_182210" localSheetId="14" hidden="1">'PY TB-18'!$B$41</definedName>
    <definedName name="QB_ROW_182210" localSheetId="17" hidden="1">'Q1 TB-19'!$B$41</definedName>
    <definedName name="QB_ROW_182210" localSheetId="20" hidden="1">'Q1 TB-20'!$B$41</definedName>
    <definedName name="QB_ROW_182210" localSheetId="18" hidden="1">'Q2 TB-19'!$B$41</definedName>
    <definedName name="QB_ROW_182210" localSheetId="21" hidden="1">'Q2 TB-20'!$B$41</definedName>
    <definedName name="QB_ROW_182210" localSheetId="19" hidden="1">'Q3 TB-19'!$B$41</definedName>
    <definedName name="QB_ROW_182210" localSheetId="22" hidden="1">'Q3 TB-20'!$B$41</definedName>
    <definedName name="QB_ROW_182210" localSheetId="15" hidden="1">'Q4 TB-19'!$B$41</definedName>
    <definedName name="QB_ROW_182210" localSheetId="16" hidden="1">'Q4 TB-20'!$B$41</definedName>
    <definedName name="QB_ROW_182210" localSheetId="24" hidden="1">'Raw Data 01-31-2019'!$B$40</definedName>
    <definedName name="QB_ROW_182210" localSheetId="29" hidden="1">'Raw Data 01-31-2020'!$B$40</definedName>
    <definedName name="QB_ROW_182210" localSheetId="25" hidden="1">'Raw Data 04-30-2019'!$B$40</definedName>
    <definedName name="QB_ROW_182210" localSheetId="30" hidden="1">'Raw Data 04-30-2020'!$B$40</definedName>
    <definedName name="QB_ROW_182210" localSheetId="26" hidden="1">'Raw Data 07-31-2019'!$B$40</definedName>
    <definedName name="QB_ROW_182210" localSheetId="31" hidden="1">'Raw Data 07-31-2020'!$B$40</definedName>
    <definedName name="QB_ROW_182210" localSheetId="27" hidden="1">'Raw Data 10-31-2019'!$B$40</definedName>
    <definedName name="QB_ROW_182210" localSheetId="28" hidden="1">'Raw Data 10-31-2020'!$B$40</definedName>
    <definedName name="QB_ROW_183210" localSheetId="12" hidden="1">'Detail P&amp;L Analytic'!$B$89</definedName>
    <definedName name="QB_ROW_183210" localSheetId="14" hidden="1">'PY TB-18'!$B$95</definedName>
    <definedName name="QB_ROW_183210" localSheetId="17" hidden="1">'Q1 TB-19'!$B$95</definedName>
    <definedName name="QB_ROW_183210" localSheetId="20" hidden="1">'Q1 TB-20'!$B$95</definedName>
    <definedName name="QB_ROW_183210" localSheetId="18" hidden="1">'Q2 TB-19'!$B$95</definedName>
    <definedName name="QB_ROW_183210" localSheetId="21" hidden="1">'Q2 TB-20'!$B$95</definedName>
    <definedName name="QB_ROW_183210" localSheetId="19" hidden="1">'Q3 TB-19'!$B$95</definedName>
    <definedName name="QB_ROW_183210" localSheetId="22" hidden="1">'Q3 TB-20'!$B$95</definedName>
    <definedName name="QB_ROW_183210" localSheetId="15" hidden="1">'Q4 TB-19'!$B$95</definedName>
    <definedName name="QB_ROW_183210" localSheetId="16" hidden="1">'Q4 TB-20'!$B$95</definedName>
    <definedName name="QB_ROW_183210" localSheetId="24" hidden="1">'Raw Data 01-31-2019'!$B$92</definedName>
    <definedName name="QB_ROW_183210" localSheetId="29" hidden="1">'Raw Data 01-31-2020'!$B$92</definedName>
    <definedName name="QB_ROW_183210" localSheetId="25" hidden="1">'Raw Data 04-30-2019'!$B$92</definedName>
    <definedName name="QB_ROW_183210" localSheetId="30" hidden="1">'Raw Data 04-30-2020'!$B$92</definedName>
    <definedName name="QB_ROW_183210" localSheetId="26" hidden="1">'Raw Data 07-31-2019'!$B$92</definedName>
    <definedName name="QB_ROW_183210" localSheetId="31" hidden="1">'Raw Data 07-31-2020'!$B$92</definedName>
    <definedName name="QB_ROW_183210" localSheetId="27" hidden="1">'Raw Data 10-31-2019'!$B$92</definedName>
    <definedName name="QB_ROW_183210" localSheetId="28" hidden="1">'Raw Data 10-31-2020'!$B$93</definedName>
    <definedName name="QB_ROW_184210" localSheetId="12" hidden="1">'Detail P&amp;L Analytic'!$B$136</definedName>
    <definedName name="QB_ROW_184210" localSheetId="14" hidden="1">'PY TB-18'!$B$146</definedName>
    <definedName name="QB_ROW_184210" localSheetId="17" hidden="1">'Q1 TB-19'!$B$146</definedName>
    <definedName name="QB_ROW_184210" localSheetId="20" hidden="1">'Q1 TB-20'!$B$146</definedName>
    <definedName name="QB_ROW_184210" localSheetId="18" hidden="1">'Q2 TB-19'!$B$146</definedName>
    <definedName name="QB_ROW_184210" localSheetId="21" hidden="1">'Q2 TB-20'!$B$146</definedName>
    <definedName name="QB_ROW_184210" localSheetId="19" hidden="1">'Q3 TB-19'!$B$146</definedName>
    <definedName name="QB_ROW_184210" localSheetId="22" hidden="1">'Q3 TB-20'!$B$146</definedName>
    <definedName name="QB_ROW_184210" localSheetId="15" hidden="1">'Q4 TB-19'!$B$146</definedName>
    <definedName name="QB_ROW_184210" localSheetId="16" hidden="1">'Q4 TB-20'!$B$146</definedName>
    <definedName name="QB_ROW_184210" localSheetId="24" hidden="1">'Raw Data 01-31-2019'!$B$140</definedName>
    <definedName name="QB_ROW_184210" localSheetId="29" hidden="1">'Raw Data 01-31-2020'!$B$140</definedName>
    <definedName name="QB_ROW_184210" localSheetId="25" hidden="1">'Raw Data 04-30-2019'!$B$140</definedName>
    <definedName name="QB_ROW_184210" localSheetId="30" hidden="1">'Raw Data 04-30-2020'!$B$140</definedName>
    <definedName name="QB_ROW_184210" localSheetId="26" hidden="1">'Raw Data 07-31-2019'!$B$140</definedName>
    <definedName name="QB_ROW_184210" localSheetId="31" hidden="1">'Raw Data 07-31-2020'!$B$140</definedName>
    <definedName name="QB_ROW_184210" localSheetId="27" hidden="1">'Raw Data 10-31-2019'!$B$141</definedName>
    <definedName name="QB_ROW_184210" localSheetId="28" hidden="1">'Raw Data 10-31-2020'!$B$142</definedName>
    <definedName name="QB_ROW_185210" localSheetId="12" hidden="1">'Detail P&amp;L Analytic'!$B$141</definedName>
    <definedName name="QB_ROW_185210" localSheetId="14" hidden="1">'PY TB-18'!$B$151</definedName>
    <definedName name="QB_ROW_185210" localSheetId="17" hidden="1">'Q1 TB-19'!$B$151</definedName>
    <definedName name="QB_ROW_185210" localSheetId="20" hidden="1">'Q1 TB-20'!$B$151</definedName>
    <definedName name="QB_ROW_185210" localSheetId="18" hidden="1">'Q2 TB-19'!$B$151</definedName>
    <definedName name="QB_ROW_185210" localSheetId="21" hidden="1">'Q2 TB-20'!$B$151</definedName>
    <definedName name="QB_ROW_185210" localSheetId="19" hidden="1">'Q3 TB-19'!$B$151</definedName>
    <definedName name="QB_ROW_185210" localSheetId="22" hidden="1">'Q3 TB-20'!$B$151</definedName>
    <definedName name="QB_ROW_185210" localSheetId="15" hidden="1">'Q4 TB-19'!$B$151</definedName>
    <definedName name="QB_ROW_185210" localSheetId="16" hidden="1">'Q4 TB-20'!$B$151</definedName>
    <definedName name="QB_ROW_185210" localSheetId="24" hidden="1">'Raw Data 01-31-2019'!$B$145</definedName>
    <definedName name="QB_ROW_185210" localSheetId="29" hidden="1">'Raw Data 01-31-2020'!$B$145</definedName>
    <definedName name="QB_ROW_185210" localSheetId="25" hidden="1">'Raw Data 04-30-2019'!$B$145</definedName>
    <definedName name="QB_ROW_185210" localSheetId="30" hidden="1">'Raw Data 04-30-2020'!$B$145</definedName>
    <definedName name="QB_ROW_185210" localSheetId="26" hidden="1">'Raw Data 07-31-2019'!$B$145</definedName>
    <definedName name="QB_ROW_185210" localSheetId="31" hidden="1">'Raw Data 07-31-2020'!$B$145</definedName>
    <definedName name="QB_ROW_185210" localSheetId="27" hidden="1">'Raw Data 10-31-2019'!$B$146</definedName>
    <definedName name="QB_ROW_185210" localSheetId="28" hidden="1">'Raw Data 10-31-2020'!$B$147</definedName>
    <definedName name="QB_ROW_186210" localSheetId="12" hidden="1">'Detail P&amp;L Analytic'!$B$140</definedName>
    <definedName name="QB_ROW_186210" localSheetId="14" hidden="1">'PY TB-18'!$B$150</definedName>
    <definedName name="QB_ROW_186210" localSheetId="17" hidden="1">'Q1 TB-19'!$B$150</definedName>
    <definedName name="QB_ROW_186210" localSheetId="20" hidden="1">'Q1 TB-20'!$B$150</definedName>
    <definedName name="QB_ROW_186210" localSheetId="18" hidden="1">'Q2 TB-19'!$B$150</definedName>
    <definedName name="QB_ROW_186210" localSheetId="21" hidden="1">'Q2 TB-20'!$B$150</definedName>
    <definedName name="QB_ROW_186210" localSheetId="19" hidden="1">'Q3 TB-19'!$B$150</definedName>
    <definedName name="QB_ROW_186210" localSheetId="22" hidden="1">'Q3 TB-20'!$B$150</definedName>
    <definedName name="QB_ROW_186210" localSheetId="15" hidden="1">'Q4 TB-19'!$B$150</definedName>
    <definedName name="QB_ROW_186210" localSheetId="16" hidden="1">'Q4 TB-20'!$B$150</definedName>
    <definedName name="QB_ROW_186210" localSheetId="24" hidden="1">'Raw Data 01-31-2019'!$B$144</definedName>
    <definedName name="QB_ROW_186210" localSheetId="29" hidden="1">'Raw Data 01-31-2020'!$B$144</definedName>
    <definedName name="QB_ROW_186210" localSheetId="25" hidden="1">'Raw Data 04-30-2019'!$B$144</definedName>
    <definedName name="QB_ROW_186210" localSheetId="30" hidden="1">'Raw Data 04-30-2020'!$B$144</definedName>
    <definedName name="QB_ROW_186210" localSheetId="26" hidden="1">'Raw Data 07-31-2019'!$B$144</definedName>
    <definedName name="QB_ROW_186210" localSheetId="31" hidden="1">'Raw Data 07-31-2020'!$B$144</definedName>
    <definedName name="QB_ROW_186210" localSheetId="27" hidden="1">'Raw Data 10-31-2019'!$B$145</definedName>
    <definedName name="QB_ROW_186210" localSheetId="28" hidden="1">'Raw Data 10-31-2020'!$B$146</definedName>
    <definedName name="QB_ROW_188210" localSheetId="12" hidden="1">'Detail P&amp;L Analytic'!$B$46</definedName>
    <definedName name="QB_ROW_188210" localSheetId="14" hidden="1">'PY TB-18'!$B$51</definedName>
    <definedName name="QB_ROW_188210" localSheetId="17" hidden="1">'Q1 TB-19'!$B$51</definedName>
    <definedName name="QB_ROW_188210" localSheetId="20" hidden="1">'Q1 TB-20'!$B$51</definedName>
    <definedName name="QB_ROW_188210" localSheetId="18" hidden="1">'Q2 TB-19'!$B$51</definedName>
    <definedName name="QB_ROW_188210" localSheetId="21" hidden="1">'Q2 TB-20'!$B$51</definedName>
    <definedName name="QB_ROW_188210" localSheetId="19" hidden="1">'Q3 TB-19'!$B$51</definedName>
    <definedName name="QB_ROW_188210" localSheetId="22" hidden="1">'Q3 TB-20'!$B$51</definedName>
    <definedName name="QB_ROW_188210" localSheetId="15" hidden="1">'Q4 TB-19'!$B$51</definedName>
    <definedName name="QB_ROW_188210" localSheetId="16" hidden="1">'Q4 TB-20'!$B$51</definedName>
    <definedName name="QB_ROW_188210" localSheetId="24" hidden="1">'Raw Data 01-31-2019'!$B$49</definedName>
    <definedName name="QB_ROW_188210" localSheetId="29" hidden="1">'Raw Data 01-31-2020'!$B$49</definedName>
    <definedName name="QB_ROW_188210" localSheetId="25" hidden="1">'Raw Data 04-30-2019'!$B$49</definedName>
    <definedName name="QB_ROW_188210" localSheetId="30" hidden="1">'Raw Data 04-30-2020'!$B$49</definedName>
    <definedName name="QB_ROW_188210" localSheetId="26" hidden="1">'Raw Data 07-31-2019'!$B$49</definedName>
    <definedName name="QB_ROW_188210" localSheetId="31" hidden="1">'Raw Data 07-31-2020'!$B$49</definedName>
    <definedName name="QB_ROW_188210" localSheetId="27" hidden="1">'Raw Data 10-31-2019'!$B$49</definedName>
    <definedName name="QB_ROW_188210" localSheetId="28" hidden="1">'Raw Data 10-31-2020'!$B$49</definedName>
    <definedName name="QB_ROW_189210" localSheetId="12" hidden="1">'Detail P&amp;L Analytic'!$B$153</definedName>
    <definedName name="QB_ROW_189210" localSheetId="14" hidden="1">'PY TB-18'!$B$163</definedName>
    <definedName name="QB_ROW_189210" localSheetId="17" hidden="1">'Q1 TB-19'!$B$163</definedName>
    <definedName name="QB_ROW_189210" localSheetId="20" hidden="1">'Q1 TB-20'!$B$163</definedName>
    <definedName name="QB_ROW_189210" localSheetId="18" hidden="1">'Q2 TB-19'!$B$163</definedName>
    <definedName name="QB_ROW_189210" localSheetId="21" hidden="1">'Q2 TB-20'!$B$163</definedName>
    <definedName name="QB_ROW_189210" localSheetId="19" hidden="1">'Q3 TB-19'!$B$163</definedName>
    <definedName name="QB_ROW_189210" localSheetId="22" hidden="1">'Q3 TB-20'!$B$163</definedName>
    <definedName name="QB_ROW_189210" localSheetId="15" hidden="1">'Q4 TB-19'!$B$163</definedName>
    <definedName name="QB_ROW_189210" localSheetId="16" hidden="1">'Q4 TB-20'!$B$163</definedName>
    <definedName name="QB_ROW_189210" localSheetId="24" hidden="1">'Raw Data 01-31-2019'!$B$157</definedName>
    <definedName name="QB_ROW_189210" localSheetId="29" hidden="1">'Raw Data 01-31-2020'!$B$157</definedName>
    <definedName name="QB_ROW_189210" localSheetId="25" hidden="1">'Raw Data 04-30-2019'!$B$157</definedName>
    <definedName name="QB_ROW_189210" localSheetId="30" hidden="1">'Raw Data 04-30-2020'!$B$157</definedName>
    <definedName name="QB_ROW_189210" localSheetId="26" hidden="1">'Raw Data 07-31-2019'!$B$157</definedName>
    <definedName name="QB_ROW_189210" localSheetId="31" hidden="1">'Raw Data 07-31-2020'!$B$157</definedName>
    <definedName name="QB_ROW_189210" localSheetId="27" hidden="1">'Raw Data 10-31-2019'!$B$158</definedName>
    <definedName name="QB_ROW_189210" localSheetId="28" hidden="1">'Raw Data 10-31-2020'!$B$159</definedName>
    <definedName name="QB_ROW_190210" localSheetId="12" hidden="1">'Detail P&amp;L Analytic'!$B$56</definedName>
    <definedName name="QB_ROW_190210" localSheetId="14" hidden="1">'PY TB-18'!$B$61</definedName>
    <definedName name="QB_ROW_190210" localSheetId="17" hidden="1">'Q1 TB-19'!$B$61</definedName>
    <definedName name="QB_ROW_190210" localSheetId="20" hidden="1">'Q1 TB-20'!$B$61</definedName>
    <definedName name="QB_ROW_190210" localSheetId="18" hidden="1">'Q2 TB-19'!$B$61</definedName>
    <definedName name="QB_ROW_190210" localSheetId="21" hidden="1">'Q2 TB-20'!$B$61</definedName>
    <definedName name="QB_ROW_190210" localSheetId="19" hidden="1">'Q3 TB-19'!$B$61</definedName>
    <definedName name="QB_ROW_190210" localSheetId="22" hidden="1">'Q3 TB-20'!$B$61</definedName>
    <definedName name="QB_ROW_190210" localSheetId="15" hidden="1">'Q4 TB-19'!$B$61</definedName>
    <definedName name="QB_ROW_190210" localSheetId="16" hidden="1">'Q4 TB-20'!$B$61</definedName>
    <definedName name="QB_ROW_190210" localSheetId="24" hidden="1">'Raw Data 01-31-2019'!$B$59</definedName>
    <definedName name="QB_ROW_190210" localSheetId="29" hidden="1">'Raw Data 01-31-2020'!$B$59</definedName>
    <definedName name="QB_ROW_190210" localSheetId="25" hidden="1">'Raw Data 04-30-2019'!$B$59</definedName>
    <definedName name="QB_ROW_190210" localSheetId="30" hidden="1">'Raw Data 04-30-2020'!$B$59</definedName>
    <definedName name="QB_ROW_190210" localSheetId="26" hidden="1">'Raw Data 07-31-2019'!$B$59</definedName>
    <definedName name="QB_ROW_190210" localSheetId="31" hidden="1">'Raw Data 07-31-2020'!$B$59</definedName>
    <definedName name="QB_ROW_190210" localSheetId="27" hidden="1">'Raw Data 10-31-2019'!$B$59</definedName>
    <definedName name="QB_ROW_190210" localSheetId="28" hidden="1">'Raw Data 10-31-2020'!$B$59</definedName>
    <definedName name="QB_ROW_19210" localSheetId="12" hidden="1">'Detail P&amp;L Analytic'!$B$169</definedName>
    <definedName name="QB_ROW_19210" localSheetId="14" hidden="1">'PY TB-18'!$B$179</definedName>
    <definedName name="QB_ROW_19210" localSheetId="17" hidden="1">'Q1 TB-19'!$B$179</definedName>
    <definedName name="QB_ROW_19210" localSheetId="20" hidden="1">'Q1 TB-20'!$B$179</definedName>
    <definedName name="QB_ROW_19210" localSheetId="18" hidden="1">'Q2 TB-19'!$B$179</definedName>
    <definedName name="QB_ROW_19210" localSheetId="21" hidden="1">'Q2 TB-20'!$B$179</definedName>
    <definedName name="QB_ROW_19210" localSheetId="19" hidden="1">'Q3 TB-19'!$B$179</definedName>
    <definedName name="QB_ROW_19210" localSheetId="22" hidden="1">'Q3 TB-20'!$B$179</definedName>
    <definedName name="QB_ROW_19210" localSheetId="15" hidden="1">'Q4 TB-19'!$B$179</definedName>
    <definedName name="QB_ROW_19210" localSheetId="16" hidden="1">'Q4 TB-20'!$B$179</definedName>
    <definedName name="QB_ROW_19210" localSheetId="24" hidden="1">'Raw Data 01-31-2019'!$B$173</definedName>
    <definedName name="QB_ROW_19210" localSheetId="29" hidden="1">'Raw Data 01-31-2020'!$B$173</definedName>
    <definedName name="QB_ROW_19210" localSheetId="25" hidden="1">'Raw Data 04-30-2019'!$B$173</definedName>
    <definedName name="QB_ROW_19210" localSheetId="30" hidden="1">'Raw Data 04-30-2020'!$B$173</definedName>
    <definedName name="QB_ROW_19210" localSheetId="26" hidden="1">'Raw Data 07-31-2019'!$B$173</definedName>
    <definedName name="QB_ROW_19210" localSheetId="31" hidden="1">'Raw Data 07-31-2020'!$B$173</definedName>
    <definedName name="QB_ROW_19210" localSheetId="27" hidden="1">'Raw Data 10-31-2019'!$B$174</definedName>
    <definedName name="QB_ROW_19210" localSheetId="28" hidden="1">'Raw Data 10-31-2020'!$B$175</definedName>
    <definedName name="QB_ROW_194210" localSheetId="12" hidden="1">'Detail P&amp;L Analytic'!$B$55</definedName>
    <definedName name="QB_ROW_194210" localSheetId="14" hidden="1">'PY TB-18'!$B$60</definedName>
    <definedName name="QB_ROW_194210" localSheetId="17" hidden="1">'Q1 TB-19'!$B$60</definedName>
    <definedName name="QB_ROW_194210" localSheetId="20" hidden="1">'Q1 TB-20'!$B$60</definedName>
    <definedName name="QB_ROW_194210" localSheetId="18" hidden="1">'Q2 TB-19'!$B$60</definedName>
    <definedName name="QB_ROW_194210" localSheetId="21" hidden="1">'Q2 TB-20'!$B$60</definedName>
    <definedName name="QB_ROW_194210" localSheetId="19" hidden="1">'Q3 TB-19'!$B$60</definedName>
    <definedName name="QB_ROW_194210" localSheetId="22" hidden="1">'Q3 TB-20'!$B$60</definedName>
    <definedName name="QB_ROW_194210" localSheetId="15" hidden="1">'Q4 TB-19'!$B$60</definedName>
    <definedName name="QB_ROW_194210" localSheetId="16" hidden="1">'Q4 TB-20'!$B$60</definedName>
    <definedName name="QB_ROW_194210" localSheetId="24" hidden="1">'Raw Data 01-31-2019'!$B$58</definedName>
    <definedName name="QB_ROW_194210" localSheetId="29" hidden="1">'Raw Data 01-31-2020'!$B$58</definedName>
    <definedName name="QB_ROW_194210" localSheetId="25" hidden="1">'Raw Data 04-30-2019'!$B$58</definedName>
    <definedName name="QB_ROW_194210" localSheetId="30" hidden="1">'Raw Data 04-30-2020'!$B$58</definedName>
    <definedName name="QB_ROW_194210" localSheetId="26" hidden="1">'Raw Data 07-31-2019'!$B$58</definedName>
    <definedName name="QB_ROW_194210" localSheetId="31" hidden="1">'Raw Data 07-31-2020'!$B$58</definedName>
    <definedName name="QB_ROW_194210" localSheetId="27" hidden="1">'Raw Data 10-31-2019'!$B$58</definedName>
    <definedName name="QB_ROW_194210" localSheetId="28" hidden="1">'Raw Data 10-31-2020'!$B$58</definedName>
    <definedName name="QB_ROW_195210" localSheetId="12" hidden="1">'Detail P&amp;L Analytic'!$B$16</definedName>
    <definedName name="QB_ROW_195210" localSheetId="14" hidden="1">'PY TB-18'!$B$19</definedName>
    <definedName name="QB_ROW_195210" localSheetId="17" hidden="1">'Q1 TB-19'!$B$19</definedName>
    <definedName name="QB_ROW_195210" localSheetId="20" hidden="1">'Q1 TB-20'!$B$19</definedName>
    <definedName name="QB_ROW_195210" localSheetId="18" hidden="1">'Q2 TB-19'!$B$19</definedName>
    <definedName name="QB_ROW_195210" localSheetId="21" hidden="1">'Q2 TB-20'!$B$19</definedName>
    <definedName name="QB_ROW_195210" localSheetId="19" hidden="1">'Q3 TB-19'!$B$19</definedName>
    <definedName name="QB_ROW_195210" localSheetId="22" hidden="1">'Q3 TB-20'!$B$19</definedName>
    <definedName name="QB_ROW_195210" localSheetId="15" hidden="1">'Q4 TB-19'!$B$19</definedName>
    <definedName name="QB_ROW_195210" localSheetId="16" hidden="1">'Q4 TB-20'!$B$19</definedName>
    <definedName name="QB_ROW_195210" localSheetId="24" hidden="1">'Raw Data 01-31-2019'!$B$19</definedName>
    <definedName name="QB_ROW_195210" localSheetId="29" hidden="1">'Raw Data 01-31-2020'!$B$19</definedName>
    <definedName name="QB_ROW_195210" localSheetId="25" hidden="1">'Raw Data 04-30-2019'!$B$19</definedName>
    <definedName name="QB_ROW_195210" localSheetId="30" hidden="1">'Raw Data 04-30-2020'!$B$19</definedName>
    <definedName name="QB_ROW_195210" localSheetId="26" hidden="1">'Raw Data 07-31-2019'!$B$19</definedName>
    <definedName name="QB_ROW_195210" localSheetId="31" hidden="1">'Raw Data 07-31-2020'!$B$19</definedName>
    <definedName name="QB_ROW_195210" localSheetId="27" hidden="1">'Raw Data 10-31-2019'!$B$19</definedName>
    <definedName name="QB_ROW_195210" localSheetId="28" hidden="1">'Raw Data 10-31-2020'!$B$19</definedName>
    <definedName name="QB_ROW_196210" localSheetId="12" hidden="1">'Detail P&amp;L Analytic'!$B$101</definedName>
    <definedName name="QB_ROW_196210" localSheetId="14" hidden="1">'PY TB-18'!$B$108</definedName>
    <definedName name="QB_ROW_196210" localSheetId="17" hidden="1">'Q1 TB-19'!$B$108</definedName>
    <definedName name="QB_ROW_196210" localSheetId="20" hidden="1">'Q1 TB-20'!$B$108</definedName>
    <definedName name="QB_ROW_196210" localSheetId="18" hidden="1">'Q2 TB-19'!$B$108</definedName>
    <definedName name="QB_ROW_196210" localSheetId="21" hidden="1">'Q2 TB-20'!$B$108</definedName>
    <definedName name="QB_ROW_196210" localSheetId="19" hidden="1">'Q3 TB-19'!$B$108</definedName>
    <definedName name="QB_ROW_196210" localSheetId="22" hidden="1">'Q3 TB-20'!$B$108</definedName>
    <definedName name="QB_ROW_196210" localSheetId="15" hidden="1">'Q4 TB-19'!$B$108</definedName>
    <definedName name="QB_ROW_196210" localSheetId="16" hidden="1">'Q4 TB-20'!$B$108</definedName>
    <definedName name="QB_ROW_196210" localSheetId="24" hidden="1">'Raw Data 01-31-2019'!$B$104</definedName>
    <definedName name="QB_ROW_196210" localSheetId="29" hidden="1">'Raw Data 01-31-2020'!$B$104</definedName>
    <definedName name="QB_ROW_196210" localSheetId="25" hidden="1">'Raw Data 04-30-2019'!$B$104</definedName>
    <definedName name="QB_ROW_196210" localSheetId="30" hidden="1">'Raw Data 04-30-2020'!$B$104</definedName>
    <definedName name="QB_ROW_196210" localSheetId="26" hidden="1">'Raw Data 07-31-2019'!$B$104</definedName>
    <definedName name="QB_ROW_196210" localSheetId="31" hidden="1">'Raw Data 07-31-2020'!$B$104</definedName>
    <definedName name="QB_ROW_196210" localSheetId="27" hidden="1">'Raw Data 10-31-2019'!$B$104</definedName>
    <definedName name="QB_ROW_196210" localSheetId="28" hidden="1">'Raw Data 10-31-2020'!$B$105</definedName>
    <definedName name="QB_ROW_200210" localSheetId="12" hidden="1">'Detail P&amp;L Analytic'!$B$80</definedName>
    <definedName name="QB_ROW_200210" localSheetId="14" hidden="1">'PY TB-18'!$B$86</definedName>
    <definedName name="QB_ROW_200210" localSheetId="17" hidden="1">'Q1 TB-19'!$B$86</definedName>
    <definedName name="QB_ROW_200210" localSheetId="20" hidden="1">'Q1 TB-20'!$B$86</definedName>
    <definedName name="QB_ROW_200210" localSheetId="18" hidden="1">'Q2 TB-19'!$B$86</definedName>
    <definedName name="QB_ROW_200210" localSheetId="21" hidden="1">'Q2 TB-20'!$B$86</definedName>
    <definedName name="QB_ROW_200210" localSheetId="19" hidden="1">'Q3 TB-19'!$B$86</definedName>
    <definedName name="QB_ROW_200210" localSheetId="22" hidden="1">'Q3 TB-20'!$B$86</definedName>
    <definedName name="QB_ROW_200210" localSheetId="15" hidden="1">'Q4 TB-19'!$B$86</definedName>
    <definedName name="QB_ROW_200210" localSheetId="16" hidden="1">'Q4 TB-20'!$B$86</definedName>
    <definedName name="QB_ROW_200210" localSheetId="24" hidden="1">'Raw Data 01-31-2019'!$B$83</definedName>
    <definedName name="QB_ROW_200210" localSheetId="29" hidden="1">'Raw Data 01-31-2020'!$B$83</definedName>
    <definedName name="QB_ROW_200210" localSheetId="25" hidden="1">'Raw Data 04-30-2019'!$B$83</definedName>
    <definedName name="QB_ROW_200210" localSheetId="30" hidden="1">'Raw Data 04-30-2020'!$B$83</definedName>
    <definedName name="QB_ROW_200210" localSheetId="26" hidden="1">'Raw Data 07-31-2019'!$B$83</definedName>
    <definedName name="QB_ROW_200210" localSheetId="31" hidden="1">'Raw Data 07-31-2020'!$B$83</definedName>
    <definedName name="QB_ROW_200210" localSheetId="27" hidden="1">'Raw Data 10-31-2019'!$B$83</definedName>
    <definedName name="QB_ROW_200210" localSheetId="28" hidden="1">'Raw Data 10-31-2020'!$B$84</definedName>
    <definedName name="QB_ROW_20210" localSheetId="12" hidden="1">'Detail P&amp;L Analytic'!$B$170</definedName>
    <definedName name="QB_ROW_20210" localSheetId="14" hidden="1">'PY TB-18'!$B$180</definedName>
    <definedName name="QB_ROW_20210" localSheetId="17" hidden="1">'Q1 TB-19'!$B$180</definedName>
    <definedName name="QB_ROW_20210" localSheetId="20" hidden="1">'Q1 TB-20'!$B$180</definedName>
    <definedName name="QB_ROW_20210" localSheetId="18" hidden="1">'Q2 TB-19'!$B$180</definedName>
    <definedName name="QB_ROW_20210" localSheetId="21" hidden="1">'Q2 TB-20'!$B$180</definedName>
    <definedName name="QB_ROW_20210" localSheetId="19" hidden="1">'Q3 TB-19'!$B$180</definedName>
    <definedName name="QB_ROW_20210" localSheetId="22" hidden="1">'Q3 TB-20'!$B$180</definedName>
    <definedName name="QB_ROW_20210" localSheetId="15" hidden="1">'Q4 TB-19'!$B$180</definedName>
    <definedName name="QB_ROW_20210" localSheetId="16" hidden="1">'Q4 TB-20'!$B$180</definedName>
    <definedName name="QB_ROW_20210" localSheetId="24" hidden="1">'Raw Data 01-31-2019'!$B$174</definedName>
    <definedName name="QB_ROW_20210" localSheetId="29" hidden="1">'Raw Data 01-31-2020'!$B$174</definedName>
    <definedName name="QB_ROW_20210" localSheetId="25" hidden="1">'Raw Data 04-30-2019'!$B$174</definedName>
    <definedName name="QB_ROW_20210" localSheetId="30" hidden="1">'Raw Data 04-30-2020'!$B$174</definedName>
    <definedName name="QB_ROW_20210" localSheetId="26" hidden="1">'Raw Data 07-31-2019'!$B$174</definedName>
    <definedName name="QB_ROW_20210" localSheetId="31" hidden="1">'Raw Data 07-31-2020'!$B$174</definedName>
    <definedName name="QB_ROW_20210" localSheetId="27" hidden="1">'Raw Data 10-31-2019'!$B$175</definedName>
    <definedName name="QB_ROW_20210" localSheetId="28" hidden="1">'Raw Data 10-31-2020'!$B$176</definedName>
    <definedName name="QB_ROW_205210" localSheetId="12" hidden="1">'Detail P&amp;L Analytic'!$B$79</definedName>
    <definedName name="QB_ROW_205210" localSheetId="14" hidden="1">'PY TB-18'!$B$85</definedName>
    <definedName name="QB_ROW_205210" localSheetId="17" hidden="1">'Q1 TB-19'!$B$85</definedName>
    <definedName name="QB_ROW_205210" localSheetId="20" hidden="1">'Q1 TB-20'!$B$85</definedName>
    <definedName name="QB_ROW_205210" localSheetId="18" hidden="1">'Q2 TB-19'!$B$85</definedName>
    <definedName name="QB_ROW_205210" localSheetId="21" hidden="1">'Q2 TB-20'!$B$85</definedName>
    <definedName name="QB_ROW_205210" localSheetId="19" hidden="1">'Q3 TB-19'!$B$85</definedName>
    <definedName name="QB_ROW_205210" localSheetId="22" hidden="1">'Q3 TB-20'!$B$85</definedName>
    <definedName name="QB_ROW_205210" localSheetId="15" hidden="1">'Q4 TB-19'!$B$85</definedName>
    <definedName name="QB_ROW_205210" localSheetId="16" hidden="1">'Q4 TB-20'!$B$85</definedName>
    <definedName name="QB_ROW_205210" localSheetId="24" hidden="1">'Raw Data 01-31-2019'!$B$82</definedName>
    <definedName name="QB_ROW_205210" localSheetId="29" hidden="1">'Raw Data 01-31-2020'!$B$82</definedName>
    <definedName name="QB_ROW_205210" localSheetId="25" hidden="1">'Raw Data 04-30-2019'!$B$82</definedName>
    <definedName name="QB_ROW_205210" localSheetId="30" hidden="1">'Raw Data 04-30-2020'!$B$82</definedName>
    <definedName name="QB_ROW_205210" localSheetId="26" hidden="1">'Raw Data 07-31-2019'!$B$82</definedName>
    <definedName name="QB_ROW_205210" localSheetId="31" hidden="1">'Raw Data 07-31-2020'!$B$82</definedName>
    <definedName name="QB_ROW_205210" localSheetId="27" hidden="1">'Raw Data 10-31-2019'!$B$82</definedName>
    <definedName name="QB_ROW_205210" localSheetId="28" hidden="1">'Raw Data 10-31-2020'!$B$83</definedName>
    <definedName name="QB_ROW_206210" localSheetId="12" hidden="1">'Detail P&amp;L Analytic'!$B$54</definedName>
    <definedName name="QB_ROW_206210" localSheetId="14" hidden="1">'PY TB-18'!$B$59</definedName>
    <definedName name="QB_ROW_206210" localSheetId="17" hidden="1">'Q1 TB-19'!$B$59</definedName>
    <definedName name="QB_ROW_206210" localSheetId="20" hidden="1">'Q1 TB-20'!$B$59</definedName>
    <definedName name="QB_ROW_206210" localSheetId="18" hidden="1">'Q2 TB-19'!$B$59</definedName>
    <definedName name="QB_ROW_206210" localSheetId="21" hidden="1">'Q2 TB-20'!$B$59</definedName>
    <definedName name="QB_ROW_206210" localSheetId="19" hidden="1">'Q3 TB-19'!$B$59</definedName>
    <definedName name="QB_ROW_206210" localSheetId="22" hidden="1">'Q3 TB-20'!$B$59</definedName>
    <definedName name="QB_ROW_206210" localSheetId="15" hidden="1">'Q4 TB-19'!$B$59</definedName>
    <definedName name="QB_ROW_206210" localSheetId="16" hidden="1">'Q4 TB-20'!$B$59</definedName>
    <definedName name="QB_ROW_206210" localSheetId="24" hidden="1">'Raw Data 01-31-2019'!$B$57</definedName>
    <definedName name="QB_ROW_206210" localSheetId="29" hidden="1">'Raw Data 01-31-2020'!$B$57</definedName>
    <definedName name="QB_ROW_206210" localSheetId="25" hidden="1">'Raw Data 04-30-2019'!$B$57</definedName>
    <definedName name="QB_ROW_206210" localSheetId="30" hidden="1">'Raw Data 04-30-2020'!$B$57</definedName>
    <definedName name="QB_ROW_206210" localSheetId="26" hidden="1">'Raw Data 07-31-2019'!$B$57</definedName>
    <definedName name="QB_ROW_206210" localSheetId="31" hidden="1">'Raw Data 07-31-2020'!$B$57</definedName>
    <definedName name="QB_ROW_206210" localSheetId="27" hidden="1">'Raw Data 10-31-2019'!$B$57</definedName>
    <definedName name="QB_ROW_206210" localSheetId="28" hidden="1">'Raw Data 10-31-2020'!$B$57</definedName>
    <definedName name="QB_ROW_208210" localSheetId="12" hidden="1">'Detail P&amp;L Analytic'!$B$88</definedName>
    <definedName name="QB_ROW_208210" localSheetId="14" hidden="1">'PY TB-18'!$B$94</definedName>
    <definedName name="QB_ROW_208210" localSheetId="17" hidden="1">'Q1 TB-19'!$B$94</definedName>
    <definedName name="QB_ROW_208210" localSheetId="20" hidden="1">'Q1 TB-20'!$B$94</definedName>
    <definedName name="QB_ROW_208210" localSheetId="18" hidden="1">'Q2 TB-19'!$B$94</definedName>
    <definedName name="QB_ROW_208210" localSheetId="21" hidden="1">'Q2 TB-20'!$B$94</definedName>
    <definedName name="QB_ROW_208210" localSheetId="19" hidden="1">'Q3 TB-19'!$B$94</definedName>
    <definedName name="QB_ROW_208210" localSheetId="22" hidden="1">'Q3 TB-20'!$B$94</definedName>
    <definedName name="QB_ROW_208210" localSheetId="15" hidden="1">'Q4 TB-19'!$B$94</definedName>
    <definedName name="QB_ROW_208210" localSheetId="16" hidden="1">'Q4 TB-20'!$B$94</definedName>
    <definedName name="QB_ROW_208210" localSheetId="24" hidden="1">'Raw Data 01-31-2019'!$B$91</definedName>
    <definedName name="QB_ROW_208210" localSheetId="29" hidden="1">'Raw Data 01-31-2020'!$B$91</definedName>
    <definedName name="QB_ROW_208210" localSheetId="25" hidden="1">'Raw Data 04-30-2019'!$B$91</definedName>
    <definedName name="QB_ROW_208210" localSheetId="30" hidden="1">'Raw Data 04-30-2020'!$B$91</definedName>
    <definedName name="QB_ROW_208210" localSheetId="26" hidden="1">'Raw Data 07-31-2019'!$B$91</definedName>
    <definedName name="QB_ROW_208210" localSheetId="31" hidden="1">'Raw Data 07-31-2020'!$B$91</definedName>
    <definedName name="QB_ROW_208210" localSheetId="27" hidden="1">'Raw Data 10-31-2019'!$B$91</definedName>
    <definedName name="QB_ROW_208210" localSheetId="28" hidden="1">'Raw Data 10-31-2020'!$B$92</definedName>
    <definedName name="QB_ROW_210210" localSheetId="12" hidden="1">'Detail P&amp;L Analytic'!$B$53</definedName>
    <definedName name="QB_ROW_210210" localSheetId="14" hidden="1">'PY TB-18'!$B$58</definedName>
    <definedName name="QB_ROW_210210" localSheetId="17" hidden="1">'Q1 TB-19'!$B$58</definedName>
    <definedName name="QB_ROW_210210" localSheetId="20" hidden="1">'Q1 TB-20'!$B$58</definedName>
    <definedName name="QB_ROW_210210" localSheetId="18" hidden="1">'Q2 TB-19'!$B$58</definedName>
    <definedName name="QB_ROW_210210" localSheetId="21" hidden="1">'Q2 TB-20'!$B$58</definedName>
    <definedName name="QB_ROW_210210" localSheetId="19" hidden="1">'Q3 TB-19'!$B$58</definedName>
    <definedName name="QB_ROW_210210" localSheetId="22" hidden="1">'Q3 TB-20'!$B$58</definedName>
    <definedName name="QB_ROW_210210" localSheetId="15" hidden="1">'Q4 TB-19'!$B$58</definedName>
    <definedName name="QB_ROW_210210" localSheetId="16" hidden="1">'Q4 TB-20'!$B$58</definedName>
    <definedName name="QB_ROW_210210" localSheetId="24" hidden="1">'Raw Data 01-31-2019'!$B$56</definedName>
    <definedName name="QB_ROW_210210" localSheetId="29" hidden="1">'Raw Data 01-31-2020'!$B$56</definedName>
    <definedName name="QB_ROW_210210" localSheetId="25" hidden="1">'Raw Data 04-30-2019'!$B$56</definedName>
    <definedName name="QB_ROW_210210" localSheetId="30" hidden="1">'Raw Data 04-30-2020'!$B$56</definedName>
    <definedName name="QB_ROW_210210" localSheetId="26" hidden="1">'Raw Data 07-31-2019'!$B$56</definedName>
    <definedName name="QB_ROW_210210" localSheetId="31" hidden="1">'Raw Data 07-31-2020'!$B$56</definedName>
    <definedName name="QB_ROW_210210" localSheetId="27" hidden="1">'Raw Data 10-31-2019'!$B$56</definedName>
    <definedName name="QB_ROW_210210" localSheetId="28" hidden="1">'Raw Data 10-31-2020'!$B$56</definedName>
    <definedName name="QB_ROW_21210" localSheetId="12" hidden="1">'Detail P&amp;L Analytic'!$B$172</definedName>
    <definedName name="QB_ROW_21210" localSheetId="14" hidden="1">'PY TB-18'!$B$182</definedName>
    <definedName name="QB_ROW_21210" localSheetId="17" hidden="1">'Q1 TB-19'!$B$182</definedName>
    <definedName name="QB_ROW_21210" localSheetId="20" hidden="1">'Q1 TB-20'!$B$182</definedName>
    <definedName name="QB_ROW_21210" localSheetId="18" hidden="1">'Q2 TB-19'!$B$182</definedName>
    <definedName name="QB_ROW_21210" localSheetId="21" hidden="1">'Q2 TB-20'!$B$182</definedName>
    <definedName name="QB_ROW_21210" localSheetId="19" hidden="1">'Q3 TB-19'!$B$182</definedName>
    <definedName name="QB_ROW_21210" localSheetId="22" hidden="1">'Q3 TB-20'!$B$182</definedName>
    <definedName name="QB_ROW_21210" localSheetId="15" hidden="1">'Q4 TB-19'!$B$182</definedName>
    <definedName name="QB_ROW_21210" localSheetId="16" hidden="1">'Q4 TB-20'!$B$182</definedName>
    <definedName name="QB_ROW_21210" localSheetId="24" hidden="1">'Raw Data 01-31-2019'!$B$176</definedName>
    <definedName name="QB_ROW_21210" localSheetId="29" hidden="1">'Raw Data 01-31-2020'!$B$176</definedName>
    <definedName name="QB_ROW_21210" localSheetId="25" hidden="1">'Raw Data 04-30-2019'!$B$176</definedName>
    <definedName name="QB_ROW_21210" localSheetId="30" hidden="1">'Raw Data 04-30-2020'!$B$176</definedName>
    <definedName name="QB_ROW_21210" localSheetId="26" hidden="1">'Raw Data 07-31-2019'!$B$176</definedName>
    <definedName name="QB_ROW_21210" localSheetId="31" hidden="1">'Raw Data 07-31-2020'!$B$176</definedName>
    <definedName name="QB_ROW_21210" localSheetId="27" hidden="1">'Raw Data 10-31-2019'!$B$177</definedName>
    <definedName name="QB_ROW_21210" localSheetId="28" hidden="1">'Raw Data 10-31-2020'!$B$178</definedName>
    <definedName name="QB_ROW_212210" localSheetId="12" hidden="1">'Detail P&amp;L Analytic'!$B$52</definedName>
    <definedName name="QB_ROW_212210" localSheetId="14" hidden="1">'PY TB-18'!$B$57</definedName>
    <definedName name="QB_ROW_212210" localSheetId="17" hidden="1">'Q1 TB-19'!$B$57</definedName>
    <definedName name="QB_ROW_212210" localSheetId="20" hidden="1">'Q1 TB-20'!$B$57</definedName>
    <definedName name="QB_ROW_212210" localSheetId="18" hidden="1">'Q2 TB-19'!$B$57</definedName>
    <definedName name="QB_ROW_212210" localSheetId="21" hidden="1">'Q2 TB-20'!$B$57</definedName>
    <definedName name="QB_ROW_212210" localSheetId="19" hidden="1">'Q3 TB-19'!$B$57</definedName>
    <definedName name="QB_ROW_212210" localSheetId="22" hidden="1">'Q3 TB-20'!$B$57</definedName>
    <definedName name="QB_ROW_212210" localSheetId="15" hidden="1">'Q4 TB-19'!$B$57</definedName>
    <definedName name="QB_ROW_212210" localSheetId="16" hidden="1">'Q4 TB-20'!$B$57</definedName>
    <definedName name="QB_ROW_212210" localSheetId="24" hidden="1">'Raw Data 01-31-2019'!$B$55</definedName>
    <definedName name="QB_ROW_212210" localSheetId="29" hidden="1">'Raw Data 01-31-2020'!$B$55</definedName>
    <definedName name="QB_ROW_212210" localSheetId="25" hidden="1">'Raw Data 04-30-2019'!$B$55</definedName>
    <definedName name="QB_ROW_212210" localSheetId="30" hidden="1">'Raw Data 04-30-2020'!$B$55</definedName>
    <definedName name="QB_ROW_212210" localSheetId="26" hidden="1">'Raw Data 07-31-2019'!$B$55</definedName>
    <definedName name="QB_ROW_212210" localSheetId="31" hidden="1">'Raw Data 07-31-2020'!$B$55</definedName>
    <definedName name="QB_ROW_212210" localSheetId="27" hidden="1">'Raw Data 10-31-2019'!$B$55</definedName>
    <definedName name="QB_ROW_212210" localSheetId="28" hidden="1">'Raw Data 10-31-2020'!$B$55</definedName>
    <definedName name="QB_ROW_214210" localSheetId="12" hidden="1">'Detail P&amp;L Analytic'!$B$14</definedName>
    <definedName name="QB_ROW_214210" localSheetId="14" hidden="1">'PY TB-18'!$B$17</definedName>
    <definedName name="QB_ROW_214210" localSheetId="17" hidden="1">'Q1 TB-19'!$B$17</definedName>
    <definedName name="QB_ROW_214210" localSheetId="20" hidden="1">'Q1 TB-20'!$B$17</definedName>
    <definedName name="QB_ROW_214210" localSheetId="18" hidden="1">'Q2 TB-19'!$B$17</definedName>
    <definedName name="QB_ROW_214210" localSheetId="21" hidden="1">'Q2 TB-20'!$B$17</definedName>
    <definedName name="QB_ROW_214210" localSheetId="19" hidden="1">'Q3 TB-19'!$B$17</definedName>
    <definedName name="QB_ROW_214210" localSheetId="22" hidden="1">'Q3 TB-20'!$B$17</definedName>
    <definedName name="QB_ROW_214210" localSheetId="15" hidden="1">'Q4 TB-19'!$B$17</definedName>
    <definedName name="QB_ROW_214210" localSheetId="16" hidden="1">'Q4 TB-20'!$B$17</definedName>
    <definedName name="QB_ROW_214210" localSheetId="24" hidden="1">'Raw Data 01-31-2019'!$B$17</definedName>
    <definedName name="QB_ROW_214210" localSheetId="29" hidden="1">'Raw Data 01-31-2020'!$B$17</definedName>
    <definedName name="QB_ROW_214210" localSheetId="25" hidden="1">'Raw Data 04-30-2019'!$B$17</definedName>
    <definedName name="QB_ROW_214210" localSheetId="30" hidden="1">'Raw Data 04-30-2020'!$B$17</definedName>
    <definedName name="QB_ROW_214210" localSheetId="26" hidden="1">'Raw Data 07-31-2019'!$B$17</definedName>
    <definedName name="QB_ROW_214210" localSheetId="31" hidden="1">'Raw Data 07-31-2020'!$B$17</definedName>
    <definedName name="QB_ROW_214210" localSheetId="27" hidden="1">'Raw Data 10-31-2019'!$B$17</definedName>
    <definedName name="QB_ROW_214210" localSheetId="28" hidden="1">'Raw Data 10-31-2020'!$B$17</definedName>
    <definedName name="QB_ROW_215210" localSheetId="12" hidden="1">'Detail P&amp;L Analytic'!$B$87</definedName>
    <definedName name="QB_ROW_215210" localSheetId="14" hidden="1">'PY TB-18'!$B$93</definedName>
    <definedName name="QB_ROW_215210" localSheetId="17" hidden="1">'Q1 TB-19'!$B$93</definedName>
    <definedName name="QB_ROW_215210" localSheetId="20" hidden="1">'Q1 TB-20'!$B$93</definedName>
    <definedName name="QB_ROW_215210" localSheetId="18" hidden="1">'Q2 TB-19'!$B$93</definedName>
    <definedName name="QB_ROW_215210" localSheetId="21" hidden="1">'Q2 TB-20'!$B$93</definedName>
    <definedName name="QB_ROW_215210" localSheetId="19" hidden="1">'Q3 TB-19'!$B$93</definedName>
    <definedName name="QB_ROW_215210" localSheetId="22" hidden="1">'Q3 TB-20'!$B$93</definedName>
    <definedName name="QB_ROW_215210" localSheetId="15" hidden="1">'Q4 TB-19'!$B$93</definedName>
    <definedName name="QB_ROW_215210" localSheetId="16" hidden="1">'Q4 TB-20'!$B$93</definedName>
    <definedName name="QB_ROW_215210" localSheetId="24" hidden="1">'Raw Data 01-31-2019'!$B$90</definedName>
    <definedName name="QB_ROW_215210" localSheetId="29" hidden="1">'Raw Data 01-31-2020'!$B$90</definedName>
    <definedName name="QB_ROW_215210" localSheetId="25" hidden="1">'Raw Data 04-30-2019'!$B$90</definedName>
    <definedName name="QB_ROW_215210" localSheetId="30" hidden="1">'Raw Data 04-30-2020'!$B$90</definedName>
    <definedName name="QB_ROW_215210" localSheetId="26" hidden="1">'Raw Data 07-31-2019'!$B$90</definedName>
    <definedName name="QB_ROW_215210" localSheetId="31" hidden="1">'Raw Data 07-31-2020'!$B$90</definedName>
    <definedName name="QB_ROW_215210" localSheetId="27" hidden="1">'Raw Data 10-31-2019'!$B$90</definedName>
    <definedName name="QB_ROW_215210" localSheetId="28" hidden="1">'Raw Data 10-31-2020'!$B$91</definedName>
    <definedName name="QB_ROW_216210" localSheetId="12" hidden="1">'Detail P&amp;L Analytic'!$B$70</definedName>
    <definedName name="QB_ROW_216210" localSheetId="14" hidden="1">'PY TB-18'!$B$75</definedName>
    <definedName name="QB_ROW_216210" localSheetId="17" hidden="1">'Q1 TB-19'!$B$75</definedName>
    <definedName name="QB_ROW_216210" localSheetId="20" hidden="1">'Q1 TB-20'!$B$75</definedName>
    <definedName name="QB_ROW_216210" localSheetId="18" hidden="1">'Q2 TB-19'!$B$75</definedName>
    <definedName name="QB_ROW_216210" localSheetId="21" hidden="1">'Q2 TB-20'!$B$75</definedName>
    <definedName name="QB_ROW_216210" localSheetId="19" hidden="1">'Q3 TB-19'!$B$75</definedName>
    <definedName name="QB_ROW_216210" localSheetId="22" hidden="1">'Q3 TB-20'!$B$75</definedName>
    <definedName name="QB_ROW_216210" localSheetId="15" hidden="1">'Q4 TB-19'!$B$75</definedName>
    <definedName name="QB_ROW_216210" localSheetId="16" hidden="1">'Q4 TB-20'!$B$75</definedName>
    <definedName name="QB_ROW_216210" localSheetId="24" hidden="1">'Raw Data 01-31-2019'!$B$73</definedName>
    <definedName name="QB_ROW_216210" localSheetId="29" hidden="1">'Raw Data 01-31-2020'!$B$73</definedName>
    <definedName name="QB_ROW_216210" localSheetId="25" hidden="1">'Raw Data 04-30-2019'!$B$73</definedName>
    <definedName name="QB_ROW_216210" localSheetId="30" hidden="1">'Raw Data 04-30-2020'!$B$73</definedName>
    <definedName name="QB_ROW_216210" localSheetId="26" hidden="1">'Raw Data 07-31-2019'!$B$73</definedName>
    <definedName name="QB_ROW_216210" localSheetId="31" hidden="1">'Raw Data 07-31-2020'!$B$73</definedName>
    <definedName name="QB_ROW_216210" localSheetId="27" hidden="1">'Raw Data 10-31-2019'!$B$73</definedName>
    <definedName name="QB_ROW_216210" localSheetId="28" hidden="1">'Raw Data 10-31-2020'!$B$73</definedName>
    <definedName name="QB_ROW_217210" localSheetId="12" hidden="1">'Detail P&amp;L Analytic'!$B$69</definedName>
    <definedName name="QB_ROW_217210" localSheetId="14" hidden="1">'PY TB-18'!$B$74</definedName>
    <definedName name="QB_ROW_217210" localSheetId="17" hidden="1">'Q1 TB-19'!$B$74</definedName>
    <definedName name="QB_ROW_217210" localSheetId="20" hidden="1">'Q1 TB-20'!$B$74</definedName>
    <definedName name="QB_ROW_217210" localSheetId="18" hidden="1">'Q2 TB-19'!$B$74</definedName>
    <definedName name="QB_ROW_217210" localSheetId="21" hidden="1">'Q2 TB-20'!$B$74</definedName>
    <definedName name="QB_ROW_217210" localSheetId="19" hidden="1">'Q3 TB-19'!$B$74</definedName>
    <definedName name="QB_ROW_217210" localSheetId="22" hidden="1">'Q3 TB-20'!$B$74</definedName>
    <definedName name="QB_ROW_217210" localSheetId="15" hidden="1">'Q4 TB-19'!$B$74</definedName>
    <definedName name="QB_ROW_217210" localSheetId="16" hidden="1">'Q4 TB-20'!$B$74</definedName>
    <definedName name="QB_ROW_217210" localSheetId="24" hidden="1">'Raw Data 01-31-2019'!$B$72</definedName>
    <definedName name="QB_ROW_217210" localSheetId="29" hidden="1">'Raw Data 01-31-2020'!$B$72</definedName>
    <definedName name="QB_ROW_217210" localSheetId="25" hidden="1">'Raw Data 04-30-2019'!$B$72</definedName>
    <definedName name="QB_ROW_217210" localSheetId="30" hidden="1">'Raw Data 04-30-2020'!$B$72</definedName>
    <definedName name="QB_ROW_217210" localSheetId="26" hidden="1">'Raw Data 07-31-2019'!$B$72</definedName>
    <definedName name="QB_ROW_217210" localSheetId="31" hidden="1">'Raw Data 07-31-2020'!$B$72</definedName>
    <definedName name="QB_ROW_217210" localSheetId="27" hidden="1">'Raw Data 10-31-2019'!$B$72</definedName>
    <definedName name="QB_ROW_217210" localSheetId="28" hidden="1">'Raw Data 10-31-2020'!$B$72</definedName>
    <definedName name="QB_ROW_218210" localSheetId="12" hidden="1">'Detail P&amp;L Analytic'!$B$118</definedName>
    <definedName name="QB_ROW_218210" localSheetId="14" hidden="1">'PY TB-18'!$B$128</definedName>
    <definedName name="QB_ROW_218210" localSheetId="17" hidden="1">'Q1 TB-19'!$B$128</definedName>
    <definedName name="QB_ROW_218210" localSheetId="20" hidden="1">'Q1 TB-20'!$B$128</definedName>
    <definedName name="QB_ROW_218210" localSheetId="18" hidden="1">'Q2 TB-19'!$B$128</definedName>
    <definedName name="QB_ROW_218210" localSheetId="21" hidden="1">'Q2 TB-20'!$B$128</definedName>
    <definedName name="QB_ROW_218210" localSheetId="19" hidden="1">'Q3 TB-19'!$B$128</definedName>
    <definedName name="QB_ROW_218210" localSheetId="22" hidden="1">'Q3 TB-20'!$B$128</definedName>
    <definedName name="QB_ROW_218210" localSheetId="15" hidden="1">'Q4 TB-19'!$B$128</definedName>
    <definedName name="QB_ROW_218210" localSheetId="16" hidden="1">'Q4 TB-20'!$B$128</definedName>
    <definedName name="QB_ROW_218210" localSheetId="24" hidden="1">'Raw Data 01-31-2019'!$B$122</definedName>
    <definedName name="QB_ROW_218210" localSheetId="29" hidden="1">'Raw Data 01-31-2020'!$B$122</definedName>
    <definedName name="QB_ROW_218210" localSheetId="25" hidden="1">'Raw Data 04-30-2019'!$B$122</definedName>
    <definedName name="QB_ROW_218210" localSheetId="30" hidden="1">'Raw Data 04-30-2020'!$B$122</definedName>
    <definedName name="QB_ROW_218210" localSheetId="26" hidden="1">'Raw Data 07-31-2019'!$B$122</definedName>
    <definedName name="QB_ROW_218210" localSheetId="31" hidden="1">'Raw Data 07-31-2020'!$B$122</definedName>
    <definedName name="QB_ROW_218210" localSheetId="27" hidden="1">'Raw Data 10-31-2019'!$B$122</definedName>
    <definedName name="QB_ROW_218210" localSheetId="28" hidden="1">'Raw Data 10-31-2020'!$B$123</definedName>
    <definedName name="QB_ROW_219210" localSheetId="12" hidden="1">'Detail P&amp;L Analytic'!$B$117</definedName>
    <definedName name="QB_ROW_219210" localSheetId="14" hidden="1">'PY TB-18'!$B$127</definedName>
    <definedName name="QB_ROW_219210" localSheetId="17" hidden="1">'Q1 TB-19'!$B$127</definedName>
    <definedName name="QB_ROW_219210" localSheetId="20" hidden="1">'Q1 TB-20'!$B$127</definedName>
    <definedName name="QB_ROW_219210" localSheetId="18" hidden="1">'Q2 TB-19'!$B$127</definedName>
    <definedName name="QB_ROW_219210" localSheetId="21" hidden="1">'Q2 TB-20'!$B$127</definedName>
    <definedName name="QB_ROW_219210" localSheetId="19" hidden="1">'Q3 TB-19'!$B$127</definedName>
    <definedName name="QB_ROW_219210" localSheetId="22" hidden="1">'Q3 TB-20'!$B$127</definedName>
    <definedName name="QB_ROW_219210" localSheetId="15" hidden="1">'Q4 TB-19'!$B$127</definedName>
    <definedName name="QB_ROW_219210" localSheetId="16" hidden="1">'Q4 TB-20'!$B$127</definedName>
    <definedName name="QB_ROW_219210" localSheetId="24" hidden="1">'Raw Data 01-31-2019'!$B$121</definedName>
    <definedName name="QB_ROW_219210" localSheetId="29" hidden="1">'Raw Data 01-31-2020'!$B$121</definedName>
    <definedName name="QB_ROW_219210" localSheetId="25" hidden="1">'Raw Data 04-30-2019'!$B$121</definedName>
    <definedName name="QB_ROW_219210" localSheetId="30" hidden="1">'Raw Data 04-30-2020'!$B$121</definedName>
    <definedName name="QB_ROW_219210" localSheetId="26" hidden="1">'Raw Data 07-31-2019'!$B$121</definedName>
    <definedName name="QB_ROW_219210" localSheetId="31" hidden="1">'Raw Data 07-31-2020'!$B$121</definedName>
    <definedName name="QB_ROW_219210" localSheetId="27" hidden="1">'Raw Data 10-31-2019'!$B$121</definedName>
    <definedName name="QB_ROW_219210" localSheetId="28" hidden="1">'Raw Data 10-31-2020'!$B$122</definedName>
    <definedName name="QB_ROW_220210" localSheetId="12" hidden="1">'Detail P&amp;L Analytic'!$B$116</definedName>
    <definedName name="QB_ROW_220210" localSheetId="14" hidden="1">'PY TB-18'!$B$126</definedName>
    <definedName name="QB_ROW_220210" localSheetId="17" hidden="1">'Q1 TB-19'!$B$126</definedName>
    <definedName name="QB_ROW_220210" localSheetId="20" hidden="1">'Q1 TB-20'!$B$126</definedName>
    <definedName name="QB_ROW_220210" localSheetId="18" hidden="1">'Q2 TB-19'!$B$126</definedName>
    <definedName name="QB_ROW_220210" localSheetId="21" hidden="1">'Q2 TB-20'!$B$126</definedName>
    <definedName name="QB_ROW_220210" localSheetId="19" hidden="1">'Q3 TB-19'!$B$126</definedName>
    <definedName name="QB_ROW_220210" localSheetId="22" hidden="1">'Q3 TB-20'!$B$126</definedName>
    <definedName name="QB_ROW_220210" localSheetId="15" hidden="1">'Q4 TB-19'!$B$126</definedName>
    <definedName name="QB_ROW_220210" localSheetId="16" hidden="1">'Q4 TB-20'!$B$126</definedName>
    <definedName name="QB_ROW_220210" localSheetId="24" hidden="1">'Raw Data 01-31-2019'!$B$120</definedName>
    <definedName name="QB_ROW_220210" localSheetId="29" hidden="1">'Raw Data 01-31-2020'!$B$120</definedName>
    <definedName name="QB_ROW_220210" localSheetId="25" hidden="1">'Raw Data 04-30-2019'!$B$120</definedName>
    <definedName name="QB_ROW_220210" localSheetId="30" hidden="1">'Raw Data 04-30-2020'!$B$120</definedName>
    <definedName name="QB_ROW_220210" localSheetId="26" hidden="1">'Raw Data 07-31-2019'!$B$120</definedName>
    <definedName name="QB_ROW_220210" localSheetId="31" hidden="1">'Raw Data 07-31-2020'!$B$120</definedName>
    <definedName name="QB_ROW_220210" localSheetId="27" hidden="1">'Raw Data 10-31-2019'!$B$120</definedName>
    <definedName name="QB_ROW_220210" localSheetId="28" hidden="1">'Raw Data 10-31-2020'!$B$121</definedName>
    <definedName name="QB_ROW_2210" localSheetId="12" hidden="1">'Detail P&amp;L Analytic'!$B$129</definedName>
    <definedName name="QB_ROW_2210" localSheetId="14" hidden="1">'PY TB-18'!$B$139</definedName>
    <definedName name="QB_ROW_2210" localSheetId="17" hidden="1">'Q1 TB-19'!$B$139</definedName>
    <definedName name="QB_ROW_2210" localSheetId="20" hidden="1">'Q1 TB-20'!$B$139</definedName>
    <definedName name="QB_ROW_2210" localSheetId="18" hidden="1">'Q2 TB-19'!$B$139</definedName>
    <definedName name="QB_ROW_2210" localSheetId="21" hidden="1">'Q2 TB-20'!$B$139</definedName>
    <definedName name="QB_ROW_2210" localSheetId="19" hidden="1">'Q3 TB-19'!$B$139</definedName>
    <definedName name="QB_ROW_2210" localSheetId="22" hidden="1">'Q3 TB-20'!$B$139</definedName>
    <definedName name="QB_ROW_2210" localSheetId="15" hidden="1">'Q4 TB-19'!$B$139</definedName>
    <definedName name="QB_ROW_2210" localSheetId="16" hidden="1">'Q4 TB-20'!$B$139</definedName>
    <definedName name="QB_ROW_2210" localSheetId="24" hidden="1">'Raw Data 01-31-2019'!$B$133</definedName>
    <definedName name="QB_ROW_2210" localSheetId="29" hidden="1">'Raw Data 01-31-2020'!$B$133</definedName>
    <definedName name="QB_ROW_2210" localSheetId="25" hidden="1">'Raw Data 04-30-2019'!$B$133</definedName>
    <definedName name="QB_ROW_2210" localSheetId="30" hidden="1">'Raw Data 04-30-2020'!$B$133</definedName>
    <definedName name="QB_ROW_2210" localSheetId="26" hidden="1">'Raw Data 07-31-2019'!$B$133</definedName>
    <definedName name="QB_ROW_2210" localSheetId="31" hidden="1">'Raw Data 07-31-2020'!$B$133</definedName>
    <definedName name="QB_ROW_2210" localSheetId="27" hidden="1">'Raw Data 10-31-2019'!$B$134</definedName>
    <definedName name="QB_ROW_2210" localSheetId="28" hidden="1">'Raw Data 10-31-2020'!$B$134</definedName>
    <definedName name="QB_ROW_221210" localSheetId="12" hidden="1">'Detail P&amp;L Analytic'!$B$115</definedName>
    <definedName name="QB_ROW_221210" localSheetId="14" hidden="1">'PY TB-18'!$B$124</definedName>
    <definedName name="QB_ROW_221210" localSheetId="17" hidden="1">'Q1 TB-19'!$B$124</definedName>
    <definedName name="QB_ROW_221210" localSheetId="20" hidden="1">'Q1 TB-20'!$B$124</definedName>
    <definedName name="QB_ROW_221210" localSheetId="18" hidden="1">'Q2 TB-19'!$B$124</definedName>
    <definedName name="QB_ROW_221210" localSheetId="21" hidden="1">'Q2 TB-20'!$B$124</definedName>
    <definedName name="QB_ROW_221210" localSheetId="19" hidden="1">'Q3 TB-19'!$B$124</definedName>
    <definedName name="QB_ROW_221210" localSheetId="22" hidden="1">'Q3 TB-20'!$B$124</definedName>
    <definedName name="QB_ROW_221210" localSheetId="15" hidden="1">'Q4 TB-19'!$B$124</definedName>
    <definedName name="QB_ROW_221210" localSheetId="16" hidden="1">'Q4 TB-20'!$B$124</definedName>
    <definedName name="QB_ROW_221210" localSheetId="24" hidden="1">'Raw Data 01-31-2019'!$B$119</definedName>
    <definedName name="QB_ROW_221210" localSheetId="29" hidden="1">'Raw Data 01-31-2020'!$B$119</definedName>
    <definedName name="QB_ROW_221210" localSheetId="25" hidden="1">'Raw Data 04-30-2019'!$B$119</definedName>
    <definedName name="QB_ROW_221210" localSheetId="30" hidden="1">'Raw Data 04-30-2020'!$B$119</definedName>
    <definedName name="QB_ROW_221210" localSheetId="26" hidden="1">'Raw Data 07-31-2019'!$B$119</definedName>
    <definedName name="QB_ROW_221210" localSheetId="31" hidden="1">'Raw Data 07-31-2020'!$B$119</definedName>
    <definedName name="QB_ROW_221210" localSheetId="27" hidden="1">'Raw Data 10-31-2019'!$B$119</definedName>
    <definedName name="QB_ROW_221210" localSheetId="28" hidden="1">'Raw Data 10-31-2020'!$B$120</definedName>
    <definedName name="QB_ROW_22210" localSheetId="12" hidden="1">'Detail P&amp;L Analytic'!$B$173</definedName>
    <definedName name="QB_ROW_22210" localSheetId="14" hidden="1">'PY TB-18'!$B$183</definedName>
    <definedName name="QB_ROW_22210" localSheetId="17" hidden="1">'Q1 TB-19'!$B$183</definedName>
    <definedName name="QB_ROW_22210" localSheetId="20" hidden="1">'Q1 TB-20'!$B$183</definedName>
    <definedName name="QB_ROW_22210" localSheetId="18" hidden="1">'Q2 TB-19'!$B$183</definedName>
    <definedName name="QB_ROW_22210" localSheetId="21" hidden="1">'Q2 TB-20'!$B$183</definedName>
    <definedName name="QB_ROW_22210" localSheetId="19" hidden="1">'Q3 TB-19'!$B$183</definedName>
    <definedName name="QB_ROW_22210" localSheetId="22" hidden="1">'Q3 TB-20'!$B$183</definedName>
    <definedName name="QB_ROW_22210" localSheetId="15" hidden="1">'Q4 TB-19'!$B$183</definedName>
    <definedName name="QB_ROW_22210" localSheetId="16" hidden="1">'Q4 TB-20'!$B$183</definedName>
    <definedName name="QB_ROW_22210" localSheetId="24" hidden="1">'Raw Data 01-31-2019'!$B$177</definedName>
    <definedName name="QB_ROW_22210" localSheetId="29" hidden="1">'Raw Data 01-31-2020'!$B$177</definedName>
    <definedName name="QB_ROW_22210" localSheetId="25" hidden="1">'Raw Data 04-30-2019'!$B$177</definedName>
    <definedName name="QB_ROW_22210" localSheetId="30" hidden="1">'Raw Data 04-30-2020'!$B$177</definedName>
    <definedName name="QB_ROW_22210" localSheetId="26" hidden="1">'Raw Data 07-31-2019'!$B$177</definedName>
    <definedName name="QB_ROW_22210" localSheetId="31" hidden="1">'Raw Data 07-31-2020'!$B$177</definedName>
    <definedName name="QB_ROW_22210" localSheetId="27" hidden="1">'Raw Data 10-31-2019'!$B$178</definedName>
    <definedName name="QB_ROW_22210" localSheetId="28" hidden="1">'Raw Data 10-31-2020'!$B$179</definedName>
    <definedName name="QB_ROW_222210" localSheetId="12" hidden="1">'Detail P&amp;L Analytic'!$B$13</definedName>
    <definedName name="QB_ROW_222210" localSheetId="14" hidden="1">'PY TB-18'!$B$16</definedName>
    <definedName name="QB_ROW_222210" localSheetId="17" hidden="1">'Q1 TB-19'!$B$16</definedName>
    <definedName name="QB_ROW_222210" localSheetId="20" hidden="1">'Q1 TB-20'!$B$16</definedName>
    <definedName name="QB_ROW_222210" localSheetId="18" hidden="1">'Q2 TB-19'!$B$16</definedName>
    <definedName name="QB_ROW_222210" localSheetId="21" hidden="1">'Q2 TB-20'!$B$16</definedName>
    <definedName name="QB_ROW_222210" localSheetId="19" hidden="1">'Q3 TB-19'!$B$16</definedName>
    <definedName name="QB_ROW_222210" localSheetId="22" hidden="1">'Q3 TB-20'!$B$16</definedName>
    <definedName name="QB_ROW_222210" localSheetId="15" hidden="1">'Q4 TB-19'!$B$16</definedName>
    <definedName name="QB_ROW_222210" localSheetId="16" hidden="1">'Q4 TB-20'!$B$16</definedName>
    <definedName name="QB_ROW_222210" localSheetId="24" hidden="1">'Raw Data 01-31-2019'!$B$16</definedName>
    <definedName name="QB_ROW_222210" localSheetId="29" hidden="1">'Raw Data 01-31-2020'!$B$16</definedName>
    <definedName name="QB_ROW_222210" localSheetId="25" hidden="1">'Raw Data 04-30-2019'!$B$16</definedName>
    <definedName name="QB_ROW_222210" localSheetId="30" hidden="1">'Raw Data 04-30-2020'!$B$16</definedName>
    <definedName name="QB_ROW_222210" localSheetId="26" hidden="1">'Raw Data 07-31-2019'!$B$16</definedName>
    <definedName name="QB_ROW_222210" localSheetId="31" hidden="1">'Raw Data 07-31-2020'!$B$16</definedName>
    <definedName name="QB_ROW_222210" localSheetId="27" hidden="1">'Raw Data 10-31-2019'!$B$16</definedName>
    <definedName name="QB_ROW_222210" localSheetId="28" hidden="1">'Raw Data 10-31-2020'!$B$16</definedName>
    <definedName name="QB_ROW_224210" localSheetId="12" hidden="1">'Detail P&amp;L Analytic'!$B$45</definedName>
    <definedName name="QB_ROW_224210" localSheetId="14" hidden="1">'PY TB-18'!$B$50</definedName>
    <definedName name="QB_ROW_224210" localSheetId="17" hidden="1">'Q1 TB-19'!$B$50</definedName>
    <definedName name="QB_ROW_224210" localSheetId="20" hidden="1">'Q1 TB-20'!$B$50</definedName>
    <definedName name="QB_ROW_224210" localSheetId="18" hidden="1">'Q2 TB-19'!$B$50</definedName>
    <definedName name="QB_ROW_224210" localSheetId="21" hidden="1">'Q2 TB-20'!$B$50</definedName>
    <definedName name="QB_ROW_224210" localSheetId="19" hidden="1">'Q3 TB-19'!$B$50</definedName>
    <definedName name="QB_ROW_224210" localSheetId="22" hidden="1">'Q3 TB-20'!$B$50</definedName>
    <definedName name="QB_ROW_224210" localSheetId="15" hidden="1">'Q4 TB-19'!$B$50</definedName>
    <definedName name="QB_ROW_224210" localSheetId="16" hidden="1">'Q4 TB-20'!$B$50</definedName>
    <definedName name="QB_ROW_224210" localSheetId="24" hidden="1">'Raw Data 01-31-2019'!$B$48</definedName>
    <definedName name="QB_ROW_224210" localSheetId="29" hidden="1">'Raw Data 01-31-2020'!$B$48</definedName>
    <definedName name="QB_ROW_224210" localSheetId="25" hidden="1">'Raw Data 04-30-2019'!$B$48</definedName>
    <definedName name="QB_ROW_224210" localSheetId="30" hidden="1">'Raw Data 04-30-2020'!$B$48</definedName>
    <definedName name="QB_ROW_224210" localSheetId="26" hidden="1">'Raw Data 07-31-2019'!$B$48</definedName>
    <definedName name="QB_ROW_224210" localSheetId="31" hidden="1">'Raw Data 07-31-2020'!$B$48</definedName>
    <definedName name="QB_ROW_224210" localSheetId="27" hidden="1">'Raw Data 10-31-2019'!$B$48</definedName>
    <definedName name="QB_ROW_224210" localSheetId="28" hidden="1">'Raw Data 10-31-2020'!$B$48</definedName>
    <definedName name="QB_ROW_225210" localSheetId="12" hidden="1">'Detail P&amp;L Analytic'!$B$26</definedName>
    <definedName name="QB_ROW_225210" localSheetId="14" hidden="1">'PY TB-18'!$B$30</definedName>
    <definedName name="QB_ROW_225210" localSheetId="17" hidden="1">'Q1 TB-19'!$B$30</definedName>
    <definedName name="QB_ROW_225210" localSheetId="20" hidden="1">'Q1 TB-20'!$B$30</definedName>
    <definedName name="QB_ROW_225210" localSheetId="18" hidden="1">'Q2 TB-19'!$B$30</definedName>
    <definedName name="QB_ROW_225210" localSheetId="21" hidden="1">'Q2 TB-20'!$B$30</definedName>
    <definedName name="QB_ROW_225210" localSheetId="19" hidden="1">'Q3 TB-19'!$B$29</definedName>
    <definedName name="QB_ROW_225210" localSheetId="22" hidden="1">'Q3 TB-20'!$B$29</definedName>
    <definedName name="QB_ROW_225210" localSheetId="15" hidden="1">'Q4 TB-19'!$B$30</definedName>
    <definedName name="QB_ROW_225210" localSheetId="16" hidden="1">'Q4 TB-20'!$B$30</definedName>
    <definedName name="QB_ROW_225210" localSheetId="24" hidden="1">'Raw Data 01-31-2019'!$B$29</definedName>
    <definedName name="QB_ROW_225210" localSheetId="29" hidden="1">'Raw Data 01-31-2020'!$B$29</definedName>
    <definedName name="QB_ROW_225210" localSheetId="25" hidden="1">'Raw Data 04-30-2019'!$B$29</definedName>
    <definedName name="QB_ROW_225210" localSheetId="30" hidden="1">'Raw Data 04-30-2020'!$B$29</definedName>
    <definedName name="QB_ROW_225210" localSheetId="26" hidden="1">'Raw Data 07-31-2019'!$B$29</definedName>
    <definedName name="QB_ROW_225210" localSheetId="31" hidden="1">'Raw Data 07-31-2020'!$B$29</definedName>
    <definedName name="QB_ROW_225210" localSheetId="27" hidden="1">'Raw Data 10-31-2019'!$B$29</definedName>
    <definedName name="QB_ROW_225210" localSheetId="28" hidden="1">'Raw Data 10-31-2020'!$B$29</definedName>
    <definedName name="QB_ROW_226210" localSheetId="12" hidden="1">'Detail P&amp;L Analytic'!$B$86</definedName>
    <definedName name="QB_ROW_226210" localSheetId="14" hidden="1">'PY TB-18'!$B$92</definedName>
    <definedName name="QB_ROW_226210" localSheetId="17" hidden="1">'Q1 TB-19'!$B$92</definedName>
    <definedName name="QB_ROW_226210" localSheetId="20" hidden="1">'Q1 TB-20'!$B$92</definedName>
    <definedName name="QB_ROW_226210" localSheetId="18" hidden="1">'Q2 TB-19'!$B$92</definedName>
    <definedName name="QB_ROW_226210" localSheetId="21" hidden="1">'Q2 TB-20'!$B$92</definedName>
    <definedName name="QB_ROW_226210" localSheetId="19" hidden="1">'Q3 TB-19'!$B$92</definedName>
    <definedName name="QB_ROW_226210" localSheetId="22" hidden="1">'Q3 TB-20'!$B$92</definedName>
    <definedName name="QB_ROW_226210" localSheetId="15" hidden="1">'Q4 TB-19'!$B$92</definedName>
    <definedName name="QB_ROW_226210" localSheetId="16" hidden="1">'Q4 TB-20'!$B$92</definedName>
    <definedName name="QB_ROW_226210" localSheetId="24" hidden="1">'Raw Data 01-31-2019'!$B$89</definedName>
    <definedName name="QB_ROW_226210" localSheetId="29" hidden="1">'Raw Data 01-31-2020'!$B$89</definedName>
    <definedName name="QB_ROW_226210" localSheetId="25" hidden="1">'Raw Data 04-30-2019'!$B$89</definedName>
    <definedName name="QB_ROW_226210" localSheetId="30" hidden="1">'Raw Data 04-30-2020'!$B$89</definedName>
    <definedName name="QB_ROW_226210" localSheetId="26" hidden="1">'Raw Data 07-31-2019'!$B$89</definedName>
    <definedName name="QB_ROW_226210" localSheetId="31" hidden="1">'Raw Data 07-31-2020'!$B$89</definedName>
    <definedName name="QB_ROW_226210" localSheetId="27" hidden="1">'Raw Data 10-31-2019'!$B$89</definedName>
    <definedName name="QB_ROW_226210" localSheetId="28" hidden="1">'Raw Data 10-31-2020'!$B$90</definedName>
    <definedName name="QB_ROW_228210" localSheetId="12" hidden="1">'Detail P&amp;L Analytic'!$B$27</definedName>
    <definedName name="QB_ROW_228210" localSheetId="14" hidden="1">'PY TB-18'!$B$31</definedName>
    <definedName name="QB_ROW_228210" localSheetId="17" hidden="1">'Q1 TB-19'!$B$31</definedName>
    <definedName name="QB_ROW_228210" localSheetId="20" hidden="1">'Q1 TB-20'!$B$31</definedName>
    <definedName name="QB_ROW_228210" localSheetId="18" hidden="1">'Q2 TB-19'!$B$31</definedName>
    <definedName name="QB_ROW_228210" localSheetId="21" hidden="1">'Q2 TB-20'!$B$31</definedName>
    <definedName name="QB_ROW_228210" localSheetId="19" hidden="1">'Q3 TB-19'!$B$30</definedName>
    <definedName name="QB_ROW_228210" localSheetId="22" hidden="1">'Q3 TB-20'!$B$30</definedName>
    <definedName name="QB_ROW_228210" localSheetId="15" hidden="1">'Q4 TB-19'!$B$31</definedName>
    <definedName name="QB_ROW_228210" localSheetId="16" hidden="1">'Q4 TB-20'!$B$31</definedName>
    <definedName name="QB_ROW_228210" localSheetId="24" hidden="1">'Raw Data 01-31-2019'!$B$30</definedName>
    <definedName name="QB_ROW_228210" localSheetId="29" hidden="1">'Raw Data 01-31-2020'!$B$30</definedName>
    <definedName name="QB_ROW_228210" localSheetId="25" hidden="1">'Raw Data 04-30-2019'!$B$30</definedName>
    <definedName name="QB_ROW_228210" localSheetId="30" hidden="1">'Raw Data 04-30-2020'!$B$30</definedName>
    <definedName name="QB_ROW_228210" localSheetId="26" hidden="1">'Raw Data 07-31-2019'!$B$30</definedName>
    <definedName name="QB_ROW_228210" localSheetId="31" hidden="1">'Raw Data 07-31-2020'!$B$30</definedName>
    <definedName name="QB_ROW_228210" localSheetId="27" hidden="1">'Raw Data 10-31-2019'!$B$30</definedName>
    <definedName name="QB_ROW_228210" localSheetId="28" hidden="1">'Raw Data 10-31-2020'!$B$30</definedName>
    <definedName name="QB_ROW_229210" localSheetId="12" hidden="1">'Detail P&amp;L Analytic'!$B$114</definedName>
    <definedName name="QB_ROW_229210" localSheetId="14" hidden="1">'PY TB-18'!$B$123</definedName>
    <definedName name="QB_ROW_229210" localSheetId="17" hidden="1">'Q1 TB-19'!$B$123</definedName>
    <definedName name="QB_ROW_229210" localSheetId="20" hidden="1">'Q1 TB-20'!$B$123</definedName>
    <definedName name="QB_ROW_229210" localSheetId="18" hidden="1">'Q2 TB-19'!$B$123</definedName>
    <definedName name="QB_ROW_229210" localSheetId="21" hidden="1">'Q2 TB-20'!$B$123</definedName>
    <definedName name="QB_ROW_229210" localSheetId="19" hidden="1">'Q3 TB-19'!$B$123</definedName>
    <definedName name="QB_ROW_229210" localSheetId="22" hidden="1">'Q3 TB-20'!$B$123</definedName>
    <definedName name="QB_ROW_229210" localSheetId="15" hidden="1">'Q4 TB-19'!$B$123</definedName>
    <definedName name="QB_ROW_229210" localSheetId="16" hidden="1">'Q4 TB-20'!$B$123</definedName>
    <definedName name="QB_ROW_229210" localSheetId="24" hidden="1">'Raw Data 01-31-2019'!$B$118</definedName>
    <definedName name="QB_ROW_229210" localSheetId="29" hidden="1">'Raw Data 01-31-2020'!$B$118</definedName>
    <definedName name="QB_ROW_229210" localSheetId="25" hidden="1">'Raw Data 04-30-2019'!$B$118</definedName>
    <definedName name="QB_ROW_229210" localSheetId="30" hidden="1">'Raw Data 04-30-2020'!$B$118</definedName>
    <definedName name="QB_ROW_229210" localSheetId="26" hidden="1">'Raw Data 07-31-2019'!$B$118</definedName>
    <definedName name="QB_ROW_229210" localSheetId="31" hidden="1">'Raw Data 07-31-2020'!$B$118</definedName>
    <definedName name="QB_ROW_229210" localSheetId="27" hidden="1">'Raw Data 10-31-2019'!$B$118</definedName>
    <definedName name="QB_ROW_229210" localSheetId="28" hidden="1">'Raw Data 10-31-2020'!$B$119</definedName>
    <definedName name="QB_ROW_230210" localSheetId="12" hidden="1">'Detail P&amp;L Analytic'!$B$113</definedName>
    <definedName name="QB_ROW_230210" localSheetId="14" hidden="1">'PY TB-18'!$B$122</definedName>
    <definedName name="QB_ROW_230210" localSheetId="17" hidden="1">'Q1 TB-19'!$B$122</definedName>
    <definedName name="QB_ROW_230210" localSheetId="20" hidden="1">'Q1 TB-20'!$B$122</definedName>
    <definedName name="QB_ROW_230210" localSheetId="18" hidden="1">'Q2 TB-19'!$B$122</definedName>
    <definedName name="QB_ROW_230210" localSheetId="21" hidden="1">'Q2 TB-20'!$B$122</definedName>
    <definedName name="QB_ROW_230210" localSheetId="19" hidden="1">'Q3 TB-19'!$B$122</definedName>
    <definedName name="QB_ROW_230210" localSheetId="22" hidden="1">'Q3 TB-20'!$B$122</definedName>
    <definedName name="QB_ROW_230210" localSheetId="15" hidden="1">'Q4 TB-19'!$B$122</definedName>
    <definedName name="QB_ROW_230210" localSheetId="16" hidden="1">'Q4 TB-20'!$B$122</definedName>
    <definedName name="QB_ROW_230210" localSheetId="24" hidden="1">'Raw Data 01-31-2019'!$B$117</definedName>
    <definedName name="QB_ROW_230210" localSheetId="29" hidden="1">'Raw Data 01-31-2020'!$B$117</definedName>
    <definedName name="QB_ROW_230210" localSheetId="25" hidden="1">'Raw Data 04-30-2019'!$B$117</definedName>
    <definedName name="QB_ROW_230210" localSheetId="30" hidden="1">'Raw Data 04-30-2020'!$B$117</definedName>
    <definedName name="QB_ROW_230210" localSheetId="26" hidden="1">'Raw Data 07-31-2019'!$B$116</definedName>
    <definedName name="QB_ROW_230210" localSheetId="31" hidden="1">'Raw Data 07-31-2020'!$B$116</definedName>
    <definedName name="QB_ROW_230210" localSheetId="27" hidden="1">'Raw Data 10-31-2019'!$B$116</definedName>
    <definedName name="QB_ROW_230210" localSheetId="28" hidden="1">'Raw Data 10-31-2020'!$B$117</definedName>
    <definedName name="QB_ROW_231210" localSheetId="12" hidden="1">'Detail P&amp;L Analytic'!$B$51</definedName>
    <definedName name="QB_ROW_231210" localSheetId="14" hidden="1">'PY TB-18'!$B$56</definedName>
    <definedName name="QB_ROW_231210" localSheetId="17" hidden="1">'Q1 TB-19'!$B$56</definedName>
    <definedName name="QB_ROW_231210" localSheetId="20" hidden="1">'Q1 TB-20'!$B$56</definedName>
    <definedName name="QB_ROW_231210" localSheetId="18" hidden="1">'Q2 TB-19'!$B$56</definedName>
    <definedName name="QB_ROW_231210" localSheetId="21" hidden="1">'Q2 TB-20'!$B$56</definedName>
    <definedName name="QB_ROW_231210" localSheetId="19" hidden="1">'Q3 TB-19'!$B$56</definedName>
    <definedName name="QB_ROW_231210" localSheetId="22" hidden="1">'Q3 TB-20'!$B$56</definedName>
    <definedName name="QB_ROW_231210" localSheetId="15" hidden="1">'Q4 TB-19'!$B$56</definedName>
    <definedName name="QB_ROW_231210" localSheetId="16" hidden="1">'Q4 TB-20'!$B$56</definedName>
    <definedName name="QB_ROW_231210" localSheetId="24" hidden="1">'Raw Data 01-31-2019'!$B$54</definedName>
    <definedName name="QB_ROW_231210" localSheetId="29" hidden="1">'Raw Data 01-31-2020'!$B$54</definedName>
    <definedName name="QB_ROW_231210" localSheetId="25" hidden="1">'Raw Data 04-30-2019'!$B$54</definedName>
    <definedName name="QB_ROW_231210" localSheetId="30" hidden="1">'Raw Data 04-30-2020'!$B$54</definedName>
    <definedName name="QB_ROW_231210" localSheetId="26" hidden="1">'Raw Data 07-31-2019'!$B$54</definedName>
    <definedName name="QB_ROW_231210" localSheetId="31" hidden="1">'Raw Data 07-31-2020'!$B$54</definedName>
    <definedName name="QB_ROW_231210" localSheetId="27" hidden="1">'Raw Data 10-31-2019'!$B$54</definedName>
    <definedName name="QB_ROW_231210" localSheetId="28" hidden="1">'Raw Data 10-31-2020'!$B$54</definedName>
    <definedName name="QB_ROW_23210" localSheetId="12" hidden="1">'Detail P&amp;L Analytic'!$B$174</definedName>
    <definedName name="QB_ROW_23210" localSheetId="14" hidden="1">'PY TB-18'!$B$184</definedName>
    <definedName name="QB_ROW_23210" localSheetId="17" hidden="1">'Q1 TB-19'!$B$184</definedName>
    <definedName name="QB_ROW_23210" localSheetId="20" hidden="1">'Q1 TB-20'!$B$184</definedName>
    <definedName name="QB_ROW_23210" localSheetId="18" hidden="1">'Q2 TB-19'!$B$184</definedName>
    <definedName name="QB_ROW_23210" localSheetId="21" hidden="1">'Q2 TB-20'!$B$184</definedName>
    <definedName name="QB_ROW_23210" localSheetId="19" hidden="1">'Q3 TB-19'!$B$184</definedName>
    <definedName name="QB_ROW_23210" localSheetId="22" hidden="1">'Q3 TB-20'!$B$184</definedName>
    <definedName name="QB_ROW_23210" localSheetId="15" hidden="1">'Q4 TB-19'!$B$184</definedName>
    <definedName name="QB_ROW_23210" localSheetId="16" hidden="1">'Q4 TB-20'!$B$184</definedName>
    <definedName name="QB_ROW_23210" localSheetId="24" hidden="1">'Raw Data 01-31-2019'!$B$178</definedName>
    <definedName name="QB_ROW_23210" localSheetId="29" hidden="1">'Raw Data 01-31-2020'!$B$178</definedName>
    <definedName name="QB_ROW_23210" localSheetId="25" hidden="1">'Raw Data 04-30-2019'!$B$178</definedName>
    <definedName name="QB_ROW_23210" localSheetId="30" hidden="1">'Raw Data 04-30-2020'!$B$178</definedName>
    <definedName name="QB_ROW_23210" localSheetId="26" hidden="1">'Raw Data 07-31-2019'!$B$178</definedName>
    <definedName name="QB_ROW_23210" localSheetId="31" hidden="1">'Raw Data 07-31-2020'!$B$178</definedName>
    <definedName name="QB_ROW_23210" localSheetId="27" hidden="1">'Raw Data 10-31-2019'!$B$179</definedName>
    <definedName name="QB_ROW_23210" localSheetId="28" hidden="1">'Raw Data 10-31-2020'!$B$180</definedName>
    <definedName name="QB_ROW_232210" localSheetId="12" hidden="1">'Detail P&amp;L Analytic'!$B$112</definedName>
    <definedName name="QB_ROW_232210" localSheetId="14" hidden="1">'PY TB-18'!$B$121</definedName>
    <definedName name="QB_ROW_232210" localSheetId="17" hidden="1">'Q1 TB-19'!$B$121</definedName>
    <definedName name="QB_ROW_232210" localSheetId="20" hidden="1">'Q1 TB-20'!$B$121</definedName>
    <definedName name="QB_ROW_232210" localSheetId="18" hidden="1">'Q2 TB-19'!$B$121</definedName>
    <definedName name="QB_ROW_232210" localSheetId="21" hidden="1">'Q2 TB-20'!$B$121</definedName>
    <definedName name="QB_ROW_232210" localSheetId="19" hidden="1">'Q3 TB-19'!$B$121</definedName>
    <definedName name="QB_ROW_232210" localSheetId="22" hidden="1">'Q3 TB-20'!$B$121</definedName>
    <definedName name="QB_ROW_232210" localSheetId="15" hidden="1">'Q4 TB-19'!$B$121</definedName>
    <definedName name="QB_ROW_232210" localSheetId="16" hidden="1">'Q4 TB-20'!$B$121</definedName>
    <definedName name="QB_ROW_232210" localSheetId="24" hidden="1">'Raw Data 01-31-2019'!$B$115</definedName>
    <definedName name="QB_ROW_232210" localSheetId="29" hidden="1">'Raw Data 01-31-2020'!$B$115</definedName>
    <definedName name="QB_ROW_232210" localSheetId="25" hidden="1">'Raw Data 04-30-2019'!$B$115</definedName>
    <definedName name="QB_ROW_232210" localSheetId="30" hidden="1">'Raw Data 04-30-2020'!$B$115</definedName>
    <definedName name="QB_ROW_232210" localSheetId="26" hidden="1">'Raw Data 07-31-2019'!$B$115</definedName>
    <definedName name="QB_ROW_232210" localSheetId="31" hidden="1">'Raw Data 07-31-2020'!$B$115</definedName>
    <definedName name="QB_ROW_232210" localSheetId="27" hidden="1">'Raw Data 10-31-2019'!$B$115</definedName>
    <definedName name="QB_ROW_232210" localSheetId="28" hidden="1">'Raw Data 10-31-2020'!$B$116</definedName>
    <definedName name="QB_ROW_234210" localSheetId="12" hidden="1">'Detail P&amp;L Analytic'!$B$111</definedName>
    <definedName name="QB_ROW_234210" localSheetId="14" hidden="1">'PY TB-18'!$B$119</definedName>
    <definedName name="QB_ROW_234210" localSheetId="17" hidden="1">'Q1 TB-19'!$B$119</definedName>
    <definedName name="QB_ROW_234210" localSheetId="20" hidden="1">'Q1 TB-20'!$B$119</definedName>
    <definedName name="QB_ROW_234210" localSheetId="18" hidden="1">'Q2 TB-19'!$B$119</definedName>
    <definedName name="QB_ROW_234210" localSheetId="21" hidden="1">'Q2 TB-20'!$B$119</definedName>
    <definedName name="QB_ROW_234210" localSheetId="19" hidden="1">'Q3 TB-19'!$B$119</definedName>
    <definedName name="QB_ROW_234210" localSheetId="22" hidden="1">'Q3 TB-20'!$B$119</definedName>
    <definedName name="QB_ROW_234210" localSheetId="15" hidden="1">'Q4 TB-19'!$B$119</definedName>
    <definedName name="QB_ROW_234210" localSheetId="16" hidden="1">'Q4 TB-20'!$B$119</definedName>
    <definedName name="QB_ROW_234210" localSheetId="24" hidden="1">'Raw Data 01-31-2019'!$B$114</definedName>
    <definedName name="QB_ROW_234210" localSheetId="29" hidden="1">'Raw Data 01-31-2020'!$B$114</definedName>
    <definedName name="QB_ROW_234210" localSheetId="25" hidden="1">'Raw Data 04-30-2019'!$B$114</definedName>
    <definedName name="QB_ROW_234210" localSheetId="30" hidden="1">'Raw Data 04-30-2020'!$B$114</definedName>
    <definedName name="QB_ROW_234210" localSheetId="26" hidden="1">'Raw Data 07-31-2019'!$B$114</definedName>
    <definedName name="QB_ROW_234210" localSheetId="31" hidden="1">'Raw Data 07-31-2020'!$B$114</definedName>
    <definedName name="QB_ROW_234210" localSheetId="27" hidden="1">'Raw Data 10-31-2019'!$B$114</definedName>
    <definedName name="QB_ROW_234210" localSheetId="28" hidden="1">'Raw Data 10-31-2020'!$B$115</definedName>
    <definedName name="QB_ROW_235210" localSheetId="12" hidden="1">'Detail P&amp;L Analytic'!$B$110</definedName>
    <definedName name="QB_ROW_235210" localSheetId="14" hidden="1">'PY TB-18'!$B$118</definedName>
    <definedName name="QB_ROW_235210" localSheetId="17" hidden="1">'Q1 TB-19'!$B$118</definedName>
    <definedName name="QB_ROW_235210" localSheetId="20" hidden="1">'Q1 TB-20'!$B$118</definedName>
    <definedName name="QB_ROW_235210" localSheetId="18" hidden="1">'Q2 TB-19'!$B$118</definedName>
    <definedName name="QB_ROW_235210" localSheetId="21" hidden="1">'Q2 TB-20'!$B$118</definedName>
    <definedName name="QB_ROW_235210" localSheetId="19" hidden="1">'Q3 TB-19'!$B$118</definedName>
    <definedName name="QB_ROW_235210" localSheetId="22" hidden="1">'Q3 TB-20'!$B$118</definedName>
    <definedName name="QB_ROW_235210" localSheetId="15" hidden="1">'Q4 TB-19'!$B$118</definedName>
    <definedName name="QB_ROW_235210" localSheetId="16" hidden="1">'Q4 TB-20'!$B$118</definedName>
    <definedName name="QB_ROW_235210" localSheetId="24" hidden="1">'Raw Data 01-31-2019'!$B$113</definedName>
    <definedName name="QB_ROW_235210" localSheetId="29" hidden="1">'Raw Data 01-31-2020'!$B$113</definedName>
    <definedName name="QB_ROW_235210" localSheetId="25" hidden="1">'Raw Data 04-30-2019'!$B$113</definedName>
    <definedName name="QB_ROW_235210" localSheetId="30" hidden="1">'Raw Data 04-30-2020'!$B$113</definedName>
    <definedName name="QB_ROW_235210" localSheetId="26" hidden="1">'Raw Data 07-31-2019'!$B$113</definedName>
    <definedName name="QB_ROW_235210" localSheetId="31" hidden="1">'Raw Data 07-31-2020'!$B$113</definedName>
    <definedName name="QB_ROW_235210" localSheetId="27" hidden="1">'Raw Data 10-31-2019'!$B$113</definedName>
    <definedName name="QB_ROW_235210" localSheetId="28" hidden="1">'Raw Data 10-31-2020'!$B$114</definedName>
    <definedName name="QB_ROW_236210" localSheetId="12" hidden="1">'Detail P&amp;L Analytic'!$B$109</definedName>
    <definedName name="QB_ROW_236210" localSheetId="14" hidden="1">'PY TB-18'!$B$117</definedName>
    <definedName name="QB_ROW_236210" localSheetId="17" hidden="1">'Q1 TB-19'!$B$117</definedName>
    <definedName name="QB_ROW_236210" localSheetId="20" hidden="1">'Q1 TB-20'!$B$117</definedName>
    <definedName name="QB_ROW_236210" localSheetId="18" hidden="1">'Q2 TB-19'!$B$117</definedName>
    <definedName name="QB_ROW_236210" localSheetId="21" hidden="1">'Q2 TB-20'!$B$117</definedName>
    <definedName name="QB_ROW_236210" localSheetId="19" hidden="1">'Q3 TB-19'!$B$117</definedName>
    <definedName name="QB_ROW_236210" localSheetId="22" hidden="1">'Q3 TB-20'!$B$117</definedName>
    <definedName name="QB_ROW_236210" localSheetId="15" hidden="1">'Q4 TB-19'!$B$117</definedName>
    <definedName name="QB_ROW_236210" localSheetId="16" hidden="1">'Q4 TB-20'!$B$117</definedName>
    <definedName name="QB_ROW_236210" localSheetId="24" hidden="1">'Raw Data 01-31-2019'!$B$112</definedName>
    <definedName name="QB_ROW_236210" localSheetId="29" hidden="1">'Raw Data 01-31-2020'!$B$112</definedName>
    <definedName name="QB_ROW_236210" localSheetId="25" hidden="1">'Raw Data 04-30-2019'!$B$112</definedName>
    <definedName name="QB_ROW_236210" localSheetId="30" hidden="1">'Raw Data 04-30-2020'!$B$112</definedName>
    <definedName name="QB_ROW_236210" localSheetId="26" hidden="1">'Raw Data 07-31-2019'!$B$112</definedName>
    <definedName name="QB_ROW_236210" localSheetId="31" hidden="1">'Raw Data 07-31-2020'!$B$112</definedName>
    <definedName name="QB_ROW_236210" localSheetId="27" hidden="1">'Raw Data 10-31-2019'!$B$112</definedName>
    <definedName name="QB_ROW_236210" localSheetId="28" hidden="1">'Raw Data 10-31-2020'!$B$113</definedName>
    <definedName name="QB_ROW_238210" localSheetId="12" hidden="1">'Detail P&amp;L Analytic'!$B$108</definedName>
    <definedName name="QB_ROW_238210" localSheetId="14" hidden="1">'PY TB-18'!$B$115</definedName>
    <definedName name="QB_ROW_238210" localSheetId="17" hidden="1">'Q1 TB-19'!$B$115</definedName>
    <definedName name="QB_ROW_238210" localSheetId="20" hidden="1">'Q1 TB-20'!$B$115</definedName>
    <definedName name="QB_ROW_238210" localSheetId="18" hidden="1">'Q2 TB-19'!$B$115</definedName>
    <definedName name="QB_ROW_238210" localSheetId="21" hidden="1">'Q2 TB-20'!$B$115</definedName>
    <definedName name="QB_ROW_238210" localSheetId="19" hidden="1">'Q3 TB-19'!$B$115</definedName>
    <definedName name="QB_ROW_238210" localSheetId="22" hidden="1">'Q3 TB-20'!$B$115</definedName>
    <definedName name="QB_ROW_238210" localSheetId="15" hidden="1">'Q4 TB-19'!$B$115</definedName>
    <definedName name="QB_ROW_238210" localSheetId="16" hidden="1">'Q4 TB-20'!$B$115</definedName>
    <definedName name="QB_ROW_238210" localSheetId="24" hidden="1">'Raw Data 01-31-2019'!$B$111</definedName>
    <definedName name="QB_ROW_238210" localSheetId="29" hidden="1">'Raw Data 01-31-2020'!$B$111</definedName>
    <definedName name="QB_ROW_238210" localSheetId="25" hidden="1">'Raw Data 04-30-2019'!$B$111</definedName>
    <definedName name="QB_ROW_238210" localSheetId="30" hidden="1">'Raw Data 04-30-2020'!$B$111</definedName>
    <definedName name="QB_ROW_238210" localSheetId="26" hidden="1">'Raw Data 07-31-2019'!$B$111</definedName>
    <definedName name="QB_ROW_238210" localSheetId="31" hidden="1">'Raw Data 07-31-2020'!$B$111</definedName>
    <definedName name="QB_ROW_238210" localSheetId="27" hidden="1">'Raw Data 10-31-2019'!$B$111</definedName>
    <definedName name="QB_ROW_238210" localSheetId="28" hidden="1">'Raw Data 10-31-2020'!$B$112</definedName>
    <definedName name="QB_ROW_239210" localSheetId="12" hidden="1">'Detail P&amp;L Analytic'!$B$107</definedName>
    <definedName name="QB_ROW_239210" localSheetId="14" hidden="1">'PY TB-18'!$B$114</definedName>
    <definedName name="QB_ROW_239210" localSheetId="17" hidden="1">'Q1 TB-19'!$B$114</definedName>
    <definedName name="QB_ROW_239210" localSheetId="20" hidden="1">'Q1 TB-20'!$B$114</definedName>
    <definedName name="QB_ROW_239210" localSheetId="18" hidden="1">'Q2 TB-19'!$B$114</definedName>
    <definedName name="QB_ROW_239210" localSheetId="21" hidden="1">'Q2 TB-20'!$B$114</definedName>
    <definedName name="QB_ROW_239210" localSheetId="19" hidden="1">'Q3 TB-19'!$B$114</definedName>
    <definedName name="QB_ROW_239210" localSheetId="22" hidden="1">'Q3 TB-20'!$B$114</definedName>
    <definedName name="QB_ROW_239210" localSheetId="15" hidden="1">'Q4 TB-19'!$B$114</definedName>
    <definedName name="QB_ROW_239210" localSheetId="16" hidden="1">'Q4 TB-20'!$B$114</definedName>
    <definedName name="QB_ROW_239210" localSheetId="24" hidden="1">'Raw Data 01-31-2019'!$B$110</definedName>
    <definedName name="QB_ROW_239210" localSheetId="29" hidden="1">'Raw Data 01-31-2020'!$B$110</definedName>
    <definedName name="QB_ROW_239210" localSheetId="25" hidden="1">'Raw Data 04-30-2019'!$B$110</definedName>
    <definedName name="QB_ROW_239210" localSheetId="30" hidden="1">'Raw Data 04-30-2020'!$B$110</definedName>
    <definedName name="QB_ROW_239210" localSheetId="26" hidden="1">'Raw Data 07-31-2019'!$B$110</definedName>
    <definedName name="QB_ROW_239210" localSheetId="31" hidden="1">'Raw Data 07-31-2020'!$B$110</definedName>
    <definedName name="QB_ROW_239210" localSheetId="27" hidden="1">'Raw Data 10-31-2019'!$B$110</definedName>
    <definedName name="QB_ROW_239210" localSheetId="28" hidden="1">'Raw Data 10-31-2020'!$B$111</definedName>
    <definedName name="QB_ROW_240210" localSheetId="12" hidden="1">'Detail P&amp;L Analytic'!$B$106</definedName>
    <definedName name="QB_ROW_240210" localSheetId="14" hidden="1">'PY TB-18'!$B$113</definedName>
    <definedName name="QB_ROW_240210" localSheetId="17" hidden="1">'Q1 TB-19'!$B$113</definedName>
    <definedName name="QB_ROW_240210" localSheetId="20" hidden="1">'Q1 TB-20'!$B$113</definedName>
    <definedName name="QB_ROW_240210" localSheetId="18" hidden="1">'Q2 TB-19'!$B$113</definedName>
    <definedName name="QB_ROW_240210" localSheetId="21" hidden="1">'Q2 TB-20'!$B$113</definedName>
    <definedName name="QB_ROW_240210" localSheetId="19" hidden="1">'Q3 TB-19'!$B$113</definedName>
    <definedName name="QB_ROW_240210" localSheetId="22" hidden="1">'Q3 TB-20'!$B$113</definedName>
    <definedName name="QB_ROW_240210" localSheetId="15" hidden="1">'Q4 TB-19'!$B$113</definedName>
    <definedName name="QB_ROW_240210" localSheetId="16" hidden="1">'Q4 TB-20'!$B$113</definedName>
    <definedName name="QB_ROW_240210" localSheetId="24" hidden="1">'Raw Data 01-31-2019'!$B$109</definedName>
    <definedName name="QB_ROW_240210" localSheetId="29" hidden="1">'Raw Data 01-31-2020'!$B$109</definedName>
    <definedName name="QB_ROW_240210" localSheetId="25" hidden="1">'Raw Data 04-30-2019'!$B$109</definedName>
    <definedName name="QB_ROW_240210" localSheetId="30" hidden="1">'Raw Data 04-30-2020'!$B$109</definedName>
    <definedName name="QB_ROW_240210" localSheetId="26" hidden="1">'Raw Data 07-31-2019'!$B$109</definedName>
    <definedName name="QB_ROW_240210" localSheetId="31" hidden="1">'Raw Data 07-31-2020'!$B$109</definedName>
    <definedName name="QB_ROW_240210" localSheetId="27" hidden="1">'Raw Data 10-31-2019'!$B$109</definedName>
    <definedName name="QB_ROW_240210" localSheetId="28" hidden="1">'Raw Data 10-31-2020'!$B$110</definedName>
    <definedName name="QB_ROW_241210" localSheetId="12" hidden="1">'Detail P&amp;L Analytic'!$B$105</definedName>
    <definedName name="QB_ROW_241210" localSheetId="14" hidden="1">'PY TB-18'!$B$112</definedName>
    <definedName name="QB_ROW_241210" localSheetId="17" hidden="1">'Q1 TB-19'!$B$112</definedName>
    <definedName name="QB_ROW_241210" localSheetId="20" hidden="1">'Q1 TB-20'!$B$112</definedName>
    <definedName name="QB_ROW_241210" localSheetId="18" hidden="1">'Q2 TB-19'!$B$112</definedName>
    <definedName name="QB_ROW_241210" localSheetId="21" hidden="1">'Q2 TB-20'!$B$112</definedName>
    <definedName name="QB_ROW_241210" localSheetId="19" hidden="1">'Q3 TB-19'!$B$112</definedName>
    <definedName name="QB_ROW_241210" localSheetId="22" hidden="1">'Q3 TB-20'!$B$112</definedName>
    <definedName name="QB_ROW_241210" localSheetId="15" hidden="1">'Q4 TB-19'!$B$112</definedName>
    <definedName name="QB_ROW_241210" localSheetId="16" hidden="1">'Q4 TB-20'!$B$112</definedName>
    <definedName name="QB_ROW_241210" localSheetId="24" hidden="1">'Raw Data 01-31-2019'!$B$108</definedName>
    <definedName name="QB_ROW_241210" localSheetId="29" hidden="1">'Raw Data 01-31-2020'!$B$108</definedName>
    <definedName name="QB_ROW_241210" localSheetId="25" hidden="1">'Raw Data 04-30-2019'!$B$108</definedName>
    <definedName name="QB_ROW_241210" localSheetId="30" hidden="1">'Raw Data 04-30-2020'!$B$108</definedName>
    <definedName name="QB_ROW_241210" localSheetId="26" hidden="1">'Raw Data 07-31-2019'!$B$108</definedName>
    <definedName name="QB_ROW_241210" localSheetId="31" hidden="1">'Raw Data 07-31-2020'!$B$108</definedName>
    <definedName name="QB_ROW_241210" localSheetId="27" hidden="1">'Raw Data 10-31-2019'!$B$108</definedName>
    <definedName name="QB_ROW_241210" localSheetId="28" hidden="1">'Raw Data 10-31-2020'!$B$109</definedName>
    <definedName name="QB_ROW_24210" localSheetId="12" hidden="1">'Detail P&amp;L Analytic'!$B$177</definedName>
    <definedName name="QB_ROW_24210" localSheetId="14" hidden="1">'PY TB-18'!$B$187</definedName>
    <definedName name="QB_ROW_24210" localSheetId="17" hidden="1">'Q1 TB-19'!$B$187</definedName>
    <definedName name="QB_ROW_24210" localSheetId="20" hidden="1">'Q1 TB-20'!$B$187</definedName>
    <definedName name="QB_ROW_24210" localSheetId="18" hidden="1">'Q2 TB-19'!$B$187</definedName>
    <definedName name="QB_ROW_24210" localSheetId="21" hidden="1">'Q2 TB-20'!$B$187</definedName>
    <definedName name="QB_ROW_24210" localSheetId="19" hidden="1">'Q3 TB-19'!$B$187</definedName>
    <definedName name="QB_ROW_24210" localSheetId="22" hidden="1">'Q3 TB-20'!$B$187</definedName>
    <definedName name="QB_ROW_24210" localSheetId="15" hidden="1">'Q4 TB-19'!$B$187</definedName>
    <definedName name="QB_ROW_24210" localSheetId="16" hidden="1">'Q4 TB-20'!$B$187</definedName>
    <definedName name="QB_ROW_24210" localSheetId="24" hidden="1">'Raw Data 01-31-2019'!$B$181</definedName>
    <definedName name="QB_ROW_24210" localSheetId="29" hidden="1">'Raw Data 01-31-2020'!$B$181</definedName>
    <definedName name="QB_ROW_24210" localSheetId="25" hidden="1">'Raw Data 04-30-2019'!$B$181</definedName>
    <definedName name="QB_ROW_24210" localSheetId="30" hidden="1">'Raw Data 04-30-2020'!$B$181</definedName>
    <definedName name="QB_ROW_24210" localSheetId="26" hidden="1">'Raw Data 07-31-2019'!$B$181</definedName>
    <definedName name="QB_ROW_24210" localSheetId="31" hidden="1">'Raw Data 07-31-2020'!$B$181</definedName>
    <definedName name="QB_ROW_24210" localSheetId="27" hidden="1">'Raw Data 10-31-2019'!$B$182</definedName>
    <definedName name="QB_ROW_24210" localSheetId="28" hidden="1">'Raw Data 10-31-2020'!$B$183</definedName>
    <definedName name="QB_ROW_242210" localSheetId="12" hidden="1">'Detail P&amp;L Analytic'!$B$104</definedName>
    <definedName name="QB_ROW_242210" localSheetId="14" hidden="1">'PY TB-18'!$B$111</definedName>
    <definedName name="QB_ROW_242210" localSheetId="17" hidden="1">'Q1 TB-19'!$B$111</definedName>
    <definedName name="QB_ROW_242210" localSheetId="20" hidden="1">'Q1 TB-20'!$B$111</definedName>
    <definedName name="QB_ROW_242210" localSheetId="18" hidden="1">'Q2 TB-19'!$B$111</definedName>
    <definedName name="QB_ROW_242210" localSheetId="21" hidden="1">'Q2 TB-20'!$B$111</definedName>
    <definedName name="QB_ROW_242210" localSheetId="19" hidden="1">'Q3 TB-19'!$B$111</definedName>
    <definedName name="QB_ROW_242210" localSheetId="22" hidden="1">'Q3 TB-20'!$B$111</definedName>
    <definedName name="QB_ROW_242210" localSheetId="15" hidden="1">'Q4 TB-19'!$B$111</definedName>
    <definedName name="QB_ROW_242210" localSheetId="16" hidden="1">'Q4 TB-20'!$B$111</definedName>
    <definedName name="QB_ROW_242210" localSheetId="24" hidden="1">'Raw Data 01-31-2019'!$B$107</definedName>
    <definedName name="QB_ROW_242210" localSheetId="29" hidden="1">'Raw Data 01-31-2020'!$B$107</definedName>
    <definedName name="QB_ROW_242210" localSheetId="25" hidden="1">'Raw Data 04-30-2019'!$B$107</definedName>
    <definedName name="QB_ROW_242210" localSheetId="30" hidden="1">'Raw Data 04-30-2020'!$B$107</definedName>
    <definedName name="QB_ROW_242210" localSheetId="26" hidden="1">'Raw Data 07-31-2019'!$B$107</definedName>
    <definedName name="QB_ROW_242210" localSheetId="31" hidden="1">'Raw Data 07-31-2020'!$B$107</definedName>
    <definedName name="QB_ROW_242210" localSheetId="27" hidden="1">'Raw Data 10-31-2019'!$B$107</definedName>
    <definedName name="QB_ROW_242210" localSheetId="28" hidden="1">'Raw Data 10-31-2020'!$B$108</definedName>
    <definedName name="QB_ROW_243210" localSheetId="12" hidden="1">'Detail P&amp;L Analytic'!$B$24</definedName>
    <definedName name="QB_ROW_243210" localSheetId="14" hidden="1">'PY TB-18'!$B$28</definedName>
    <definedName name="QB_ROW_243210" localSheetId="17" hidden="1">'Q1 TB-19'!$B$28</definedName>
    <definedName name="QB_ROW_243210" localSheetId="20" hidden="1">'Q1 TB-20'!$B$28</definedName>
    <definedName name="QB_ROW_243210" localSheetId="18" hidden="1">'Q2 TB-19'!$B$28</definedName>
    <definedName name="QB_ROW_243210" localSheetId="21" hidden="1">'Q2 TB-20'!$B$28</definedName>
    <definedName name="QB_ROW_243210" localSheetId="19" hidden="1">'Q3 TB-19'!$B$27</definedName>
    <definedName name="QB_ROW_243210" localSheetId="22" hidden="1">'Q3 TB-20'!$B$27</definedName>
    <definedName name="QB_ROW_243210" localSheetId="15" hidden="1">'Q4 TB-19'!$B$28</definedName>
    <definedName name="QB_ROW_243210" localSheetId="16" hidden="1">'Q4 TB-20'!$B$28</definedName>
    <definedName name="QB_ROW_243210" localSheetId="24" hidden="1">'Raw Data 01-31-2019'!$B$27</definedName>
    <definedName name="QB_ROW_243210" localSheetId="29" hidden="1">'Raw Data 01-31-2020'!$B$27</definedName>
    <definedName name="QB_ROW_243210" localSheetId="25" hidden="1">'Raw Data 04-30-2019'!$B$27</definedName>
    <definedName name="QB_ROW_243210" localSheetId="30" hidden="1">'Raw Data 04-30-2020'!$B$27</definedName>
    <definedName name="QB_ROW_243210" localSheetId="26" hidden="1">'Raw Data 07-31-2019'!$B$27</definedName>
    <definedName name="QB_ROW_243210" localSheetId="31" hidden="1">'Raw Data 07-31-2020'!$B$27</definedName>
    <definedName name="QB_ROW_243210" localSheetId="27" hidden="1">'Raw Data 10-31-2019'!$B$27</definedName>
    <definedName name="QB_ROW_243210" localSheetId="28" hidden="1">'Raw Data 10-31-2020'!$B$27</definedName>
    <definedName name="QB_ROW_244210" localSheetId="12" hidden="1">'Detail P&amp;L Analytic'!$B$78</definedName>
    <definedName name="QB_ROW_244210" localSheetId="14" hidden="1">'PY TB-18'!$B$84</definedName>
    <definedName name="QB_ROW_244210" localSheetId="17" hidden="1">'Q1 TB-19'!$B$84</definedName>
    <definedName name="QB_ROW_244210" localSheetId="20" hidden="1">'Q1 TB-20'!$B$84</definedName>
    <definedName name="QB_ROW_244210" localSheetId="18" hidden="1">'Q2 TB-19'!$B$84</definedName>
    <definedName name="QB_ROW_244210" localSheetId="21" hidden="1">'Q2 TB-20'!$B$84</definedName>
    <definedName name="QB_ROW_244210" localSheetId="19" hidden="1">'Q3 TB-19'!$B$84</definedName>
    <definedName name="QB_ROW_244210" localSheetId="22" hidden="1">'Q3 TB-20'!$B$84</definedName>
    <definedName name="QB_ROW_244210" localSheetId="15" hidden="1">'Q4 TB-19'!$B$84</definedName>
    <definedName name="QB_ROW_244210" localSheetId="16" hidden="1">'Q4 TB-20'!$B$84</definedName>
    <definedName name="QB_ROW_244210" localSheetId="24" hidden="1">'Raw Data 01-31-2019'!$B$81</definedName>
    <definedName name="QB_ROW_244210" localSheetId="29" hidden="1">'Raw Data 01-31-2020'!$B$81</definedName>
    <definedName name="QB_ROW_244210" localSheetId="25" hidden="1">'Raw Data 04-30-2019'!$B$81</definedName>
    <definedName name="QB_ROW_244210" localSheetId="30" hidden="1">'Raw Data 04-30-2020'!$B$81</definedName>
    <definedName name="QB_ROW_244210" localSheetId="26" hidden="1">'Raw Data 07-31-2019'!$B$81</definedName>
    <definedName name="QB_ROW_244210" localSheetId="31" hidden="1">'Raw Data 07-31-2020'!$B$81</definedName>
    <definedName name="QB_ROW_244210" localSheetId="27" hidden="1">'Raw Data 10-31-2019'!$B$81</definedName>
    <definedName name="QB_ROW_244210" localSheetId="28" hidden="1">'Raw Data 10-31-2020'!$B$82</definedName>
    <definedName name="QB_ROW_245210" localSheetId="12" hidden="1">'Detail P&amp;L Analytic'!$B$103</definedName>
    <definedName name="QB_ROW_245210" localSheetId="14" hidden="1">'PY TB-18'!$B$110</definedName>
    <definedName name="QB_ROW_245210" localSheetId="17" hidden="1">'Q1 TB-19'!$B$110</definedName>
    <definedName name="QB_ROW_245210" localSheetId="20" hidden="1">'Q1 TB-20'!$B$110</definedName>
    <definedName name="QB_ROW_245210" localSheetId="18" hidden="1">'Q2 TB-19'!$B$110</definedName>
    <definedName name="QB_ROW_245210" localSheetId="21" hidden="1">'Q2 TB-20'!$B$110</definedName>
    <definedName name="QB_ROW_245210" localSheetId="19" hidden="1">'Q3 TB-19'!$B$110</definedName>
    <definedName name="QB_ROW_245210" localSheetId="22" hidden="1">'Q3 TB-20'!$B$110</definedName>
    <definedName name="QB_ROW_245210" localSheetId="15" hidden="1">'Q4 TB-19'!$B$110</definedName>
    <definedName name="QB_ROW_245210" localSheetId="16" hidden="1">'Q4 TB-20'!$B$110</definedName>
    <definedName name="QB_ROW_245210" localSheetId="24" hidden="1">'Raw Data 01-31-2019'!$B$106</definedName>
    <definedName name="QB_ROW_245210" localSheetId="29" hidden="1">'Raw Data 01-31-2020'!$B$106</definedName>
    <definedName name="QB_ROW_245210" localSheetId="25" hidden="1">'Raw Data 04-30-2019'!$B$106</definedName>
    <definedName name="QB_ROW_245210" localSheetId="30" hidden="1">'Raw Data 04-30-2020'!$B$106</definedName>
    <definedName name="QB_ROW_245210" localSheetId="26" hidden="1">'Raw Data 07-31-2019'!$B$106</definedName>
    <definedName name="QB_ROW_245210" localSheetId="31" hidden="1">'Raw Data 07-31-2020'!$B$106</definedName>
    <definedName name="QB_ROW_245210" localSheetId="27" hidden="1">'Raw Data 10-31-2019'!$B$106</definedName>
    <definedName name="QB_ROW_245210" localSheetId="28" hidden="1">'Raw Data 10-31-2020'!$B$107</definedName>
    <definedName name="QB_ROW_246210" localSheetId="12" hidden="1">'Detail P&amp;L Analytic'!$B$77</definedName>
    <definedName name="QB_ROW_246210" localSheetId="14" hidden="1">'PY TB-18'!$B$83</definedName>
    <definedName name="QB_ROW_246210" localSheetId="17" hidden="1">'Q1 TB-19'!$B$83</definedName>
    <definedName name="QB_ROW_246210" localSheetId="20" hidden="1">'Q1 TB-20'!$B$83</definedName>
    <definedName name="QB_ROW_246210" localSheetId="18" hidden="1">'Q2 TB-19'!$B$83</definedName>
    <definedName name="QB_ROW_246210" localSheetId="21" hidden="1">'Q2 TB-20'!$B$83</definedName>
    <definedName name="QB_ROW_246210" localSheetId="19" hidden="1">'Q3 TB-19'!$B$83</definedName>
    <definedName name="QB_ROW_246210" localSheetId="22" hidden="1">'Q3 TB-20'!$B$83</definedName>
    <definedName name="QB_ROW_246210" localSheetId="15" hidden="1">'Q4 TB-19'!$B$83</definedName>
    <definedName name="QB_ROW_246210" localSheetId="16" hidden="1">'Q4 TB-20'!$B$83</definedName>
    <definedName name="QB_ROW_246210" localSheetId="24" hidden="1">'Raw Data 01-31-2019'!$B$80</definedName>
    <definedName name="QB_ROW_246210" localSheetId="29" hidden="1">'Raw Data 01-31-2020'!$B$80</definedName>
    <definedName name="QB_ROW_246210" localSheetId="25" hidden="1">'Raw Data 04-30-2019'!$B$80</definedName>
    <definedName name="QB_ROW_246210" localSheetId="30" hidden="1">'Raw Data 04-30-2020'!$B$80</definedName>
    <definedName name="QB_ROW_246210" localSheetId="26" hidden="1">'Raw Data 07-31-2019'!$B$80</definedName>
    <definedName name="QB_ROW_246210" localSheetId="31" hidden="1">'Raw Data 07-31-2020'!$B$80</definedName>
    <definedName name="QB_ROW_246210" localSheetId="27" hidden="1">'Raw Data 10-31-2019'!$B$80</definedName>
    <definedName name="QB_ROW_246210" localSheetId="28" hidden="1">'Raw Data 10-31-2020'!$B$81</definedName>
    <definedName name="QB_ROW_247210" localSheetId="12" hidden="1">'Detail P&amp;L Analytic'!$B$102</definedName>
    <definedName name="QB_ROW_247210" localSheetId="14" hidden="1">'PY TB-18'!$B$109</definedName>
    <definedName name="QB_ROW_247210" localSheetId="17" hidden="1">'Q1 TB-19'!$B$109</definedName>
    <definedName name="QB_ROW_247210" localSheetId="20" hidden="1">'Q1 TB-20'!$B$109</definedName>
    <definedName name="QB_ROW_247210" localSheetId="18" hidden="1">'Q2 TB-19'!$B$109</definedName>
    <definedName name="QB_ROW_247210" localSheetId="21" hidden="1">'Q2 TB-20'!$B$109</definedName>
    <definedName name="QB_ROW_247210" localSheetId="19" hidden="1">'Q3 TB-19'!$B$109</definedName>
    <definedName name="QB_ROW_247210" localSheetId="22" hidden="1">'Q3 TB-20'!$B$109</definedName>
    <definedName name="QB_ROW_247210" localSheetId="15" hidden="1">'Q4 TB-19'!$B$109</definedName>
    <definedName name="QB_ROW_247210" localSheetId="16" hidden="1">'Q4 TB-20'!$B$109</definedName>
    <definedName name="QB_ROW_247210" localSheetId="24" hidden="1">'Raw Data 01-31-2019'!$B$105</definedName>
    <definedName name="QB_ROW_247210" localSheetId="29" hidden="1">'Raw Data 01-31-2020'!$B$105</definedName>
    <definedName name="QB_ROW_247210" localSheetId="25" hidden="1">'Raw Data 04-30-2019'!$B$105</definedName>
    <definedName name="QB_ROW_247210" localSheetId="30" hidden="1">'Raw Data 04-30-2020'!$B$105</definedName>
    <definedName name="QB_ROW_247210" localSheetId="26" hidden="1">'Raw Data 07-31-2019'!$B$105</definedName>
    <definedName name="QB_ROW_247210" localSheetId="31" hidden="1">'Raw Data 07-31-2020'!$B$105</definedName>
    <definedName name="QB_ROW_247210" localSheetId="27" hidden="1">'Raw Data 10-31-2019'!$B$105</definedName>
    <definedName name="QB_ROW_247210" localSheetId="28" hidden="1">'Raw Data 10-31-2020'!$B$106</definedName>
    <definedName name="QB_ROW_248210" localSheetId="12" hidden="1">'Detail P&amp;L Analytic'!$B$25</definedName>
    <definedName name="QB_ROW_248210" localSheetId="14" hidden="1">'PY TB-18'!$B$29</definedName>
    <definedName name="QB_ROW_248210" localSheetId="17" hidden="1">'Q1 TB-19'!$B$29</definedName>
    <definedName name="QB_ROW_248210" localSheetId="20" hidden="1">'Q1 TB-20'!$B$29</definedName>
    <definedName name="QB_ROW_248210" localSheetId="18" hidden="1">'Q2 TB-19'!$B$29</definedName>
    <definedName name="QB_ROW_248210" localSheetId="21" hidden="1">'Q2 TB-20'!$B$29</definedName>
    <definedName name="QB_ROW_248210" localSheetId="19" hidden="1">'Q3 TB-19'!$B$28</definedName>
    <definedName name="QB_ROW_248210" localSheetId="22" hidden="1">'Q3 TB-20'!$B$28</definedName>
    <definedName name="QB_ROW_248210" localSheetId="15" hidden="1">'Q4 TB-19'!$B$29</definedName>
    <definedName name="QB_ROW_248210" localSheetId="16" hidden="1">'Q4 TB-20'!$B$29</definedName>
    <definedName name="QB_ROW_248210" localSheetId="24" hidden="1">'Raw Data 01-31-2019'!$B$28</definedName>
    <definedName name="QB_ROW_248210" localSheetId="29" hidden="1">'Raw Data 01-31-2020'!$B$28</definedName>
    <definedName name="QB_ROW_248210" localSheetId="25" hidden="1">'Raw Data 04-30-2019'!$B$28</definedName>
    <definedName name="QB_ROW_248210" localSheetId="30" hidden="1">'Raw Data 04-30-2020'!$B$28</definedName>
    <definedName name="QB_ROW_248210" localSheetId="26" hidden="1">'Raw Data 07-31-2019'!$B$28</definedName>
    <definedName name="QB_ROW_248210" localSheetId="31" hidden="1">'Raw Data 07-31-2020'!$B$28</definedName>
    <definedName name="QB_ROW_248210" localSheetId="27" hidden="1">'Raw Data 10-31-2019'!$B$28</definedName>
    <definedName name="QB_ROW_248210" localSheetId="28" hidden="1">'Raw Data 10-31-2020'!$B$28</definedName>
    <definedName name="QB_ROW_249210" localSheetId="12" hidden="1">'Detail P&amp;L Analytic'!$B$137</definedName>
    <definedName name="QB_ROW_249210" localSheetId="14" hidden="1">'PY TB-18'!$B$147</definedName>
    <definedName name="QB_ROW_249210" localSheetId="17" hidden="1">'Q1 TB-19'!$B$147</definedName>
    <definedName name="QB_ROW_249210" localSheetId="20" hidden="1">'Q1 TB-20'!$B$147</definedName>
    <definedName name="QB_ROW_249210" localSheetId="18" hidden="1">'Q2 TB-19'!$B$147</definedName>
    <definedName name="QB_ROW_249210" localSheetId="21" hidden="1">'Q2 TB-20'!$B$147</definedName>
    <definedName name="QB_ROW_249210" localSheetId="19" hidden="1">'Q3 TB-19'!$B$147</definedName>
    <definedName name="QB_ROW_249210" localSheetId="22" hidden="1">'Q3 TB-20'!$B$147</definedName>
    <definedName name="QB_ROW_249210" localSheetId="15" hidden="1">'Q4 TB-19'!$B$147</definedName>
    <definedName name="QB_ROW_249210" localSheetId="16" hidden="1">'Q4 TB-20'!$B$147</definedName>
    <definedName name="QB_ROW_249210" localSheetId="24" hidden="1">'Raw Data 01-31-2019'!$B$141</definedName>
    <definedName name="QB_ROW_249210" localSheetId="29" hidden="1">'Raw Data 01-31-2020'!$B$141</definedName>
    <definedName name="QB_ROW_249210" localSheetId="25" hidden="1">'Raw Data 04-30-2019'!$B$141</definedName>
    <definedName name="QB_ROW_249210" localSheetId="30" hidden="1">'Raw Data 04-30-2020'!$B$141</definedName>
    <definedName name="QB_ROW_249210" localSheetId="26" hidden="1">'Raw Data 07-31-2019'!$B$141</definedName>
    <definedName name="QB_ROW_249210" localSheetId="31" hidden="1">'Raw Data 07-31-2020'!$B$141</definedName>
    <definedName name="QB_ROW_249210" localSheetId="27" hidden="1">'Raw Data 10-31-2019'!$B$142</definedName>
    <definedName name="QB_ROW_249210" localSheetId="28" hidden="1">'Raw Data 10-31-2020'!$B$143</definedName>
    <definedName name="QB_ROW_25301" localSheetId="12" hidden="1">'Detail P&amp;L Analytic'!#REF!</definedName>
    <definedName name="QB_ROW_25301" localSheetId="14" hidden="1">'PY TB-18'!#REF!</definedName>
    <definedName name="QB_ROW_25301" localSheetId="17" hidden="1">'Q1 TB-19'!#REF!</definedName>
    <definedName name="QB_ROW_25301" localSheetId="20" hidden="1">'Q1 TB-20'!#REF!</definedName>
    <definedName name="QB_ROW_25301" localSheetId="18" hidden="1">'Q2 TB-19'!#REF!</definedName>
    <definedName name="QB_ROW_25301" localSheetId="21" hidden="1">'Q2 TB-20'!#REF!</definedName>
    <definedName name="QB_ROW_25301" localSheetId="19" hidden="1">'Q3 TB-19'!#REF!</definedName>
    <definedName name="QB_ROW_25301" localSheetId="22" hidden="1">'Q3 TB-20'!#REF!</definedName>
    <definedName name="QB_ROW_25301" localSheetId="15" hidden="1">'Q4 TB-19'!#REF!</definedName>
    <definedName name="QB_ROW_25301" localSheetId="16" hidden="1">'Q4 TB-20'!#REF!</definedName>
    <definedName name="QB_ROW_25301" localSheetId="24" hidden="1">'Raw Data 01-31-2019'!#REF!</definedName>
    <definedName name="QB_ROW_25301" localSheetId="29" hidden="1">'Raw Data 01-31-2020'!#REF!</definedName>
    <definedName name="QB_ROW_25301" localSheetId="25" hidden="1">'Raw Data 04-30-2019'!#REF!</definedName>
    <definedName name="QB_ROW_25301" localSheetId="30" hidden="1">'Raw Data 04-30-2020'!#REF!</definedName>
    <definedName name="QB_ROW_25301" localSheetId="26" hidden="1">'Raw Data 07-31-2019'!#REF!</definedName>
    <definedName name="QB_ROW_25301" localSheetId="31" hidden="1">'Raw Data 07-31-2020'!#REF!</definedName>
    <definedName name="QB_ROW_25301" localSheetId="27" hidden="1">'Raw Data 10-31-2019'!#REF!</definedName>
    <definedName name="QB_ROW_25301" localSheetId="28" hidden="1">'Raw Data 10-31-2020'!#REF!</definedName>
    <definedName name="QB_ROW_27210" localSheetId="12" hidden="1">'Detail P&amp;L Analytic'!$B$182</definedName>
    <definedName name="QB_ROW_27210" localSheetId="14" hidden="1">'PY TB-18'!$B$192</definedName>
    <definedName name="QB_ROW_27210" localSheetId="17" hidden="1">'Q1 TB-19'!$B$192</definedName>
    <definedName name="QB_ROW_27210" localSheetId="20" hidden="1">'Q1 TB-20'!$B$192</definedName>
    <definedName name="QB_ROW_27210" localSheetId="18" hidden="1">'Q2 TB-19'!$B$192</definedName>
    <definedName name="QB_ROW_27210" localSheetId="21" hidden="1">'Q2 TB-20'!$B$192</definedName>
    <definedName name="QB_ROW_27210" localSheetId="19" hidden="1">'Q3 TB-19'!$B$192</definedName>
    <definedName name="QB_ROW_27210" localSheetId="22" hidden="1">'Q3 TB-20'!$B$192</definedName>
    <definedName name="QB_ROW_27210" localSheetId="15" hidden="1">'Q4 TB-19'!$B$192</definedName>
    <definedName name="QB_ROW_27210" localSheetId="16" hidden="1">'Q4 TB-20'!$B$192</definedName>
    <definedName name="QB_ROW_27210" localSheetId="24" hidden="1">'Raw Data 01-31-2019'!$B$186</definedName>
    <definedName name="QB_ROW_27210" localSheetId="29" hidden="1">'Raw Data 01-31-2020'!$B$186</definedName>
    <definedName name="QB_ROW_27210" localSheetId="25" hidden="1">'Raw Data 04-30-2019'!$B$186</definedName>
    <definedName name="QB_ROW_27210" localSheetId="30" hidden="1">'Raw Data 04-30-2020'!$B$186</definedName>
    <definedName name="QB_ROW_27210" localSheetId="26" hidden="1">'Raw Data 07-31-2019'!$B$186</definedName>
    <definedName name="QB_ROW_27210" localSheetId="31" hidden="1">'Raw Data 07-31-2020'!$B$186</definedName>
    <definedName name="QB_ROW_27210" localSheetId="27" hidden="1">'Raw Data 10-31-2019'!$B$187</definedName>
    <definedName name="QB_ROW_27210" localSheetId="28" hidden="1">'Raw Data 10-31-2020'!$B$188</definedName>
    <definedName name="QB_ROW_29210" localSheetId="12" hidden="1">'Detail P&amp;L Analytic'!$B$183</definedName>
    <definedName name="QB_ROW_29210" localSheetId="14" hidden="1">'PY TB-18'!$B$193</definedName>
    <definedName name="QB_ROW_29210" localSheetId="17" hidden="1">'Q1 TB-19'!$B$193</definedName>
    <definedName name="QB_ROW_29210" localSheetId="20" hidden="1">'Q1 TB-20'!$B$193</definedName>
    <definedName name="QB_ROW_29210" localSheetId="18" hidden="1">'Q2 TB-19'!$B$193</definedName>
    <definedName name="QB_ROW_29210" localSheetId="21" hidden="1">'Q2 TB-20'!$B$193</definedName>
    <definedName name="QB_ROW_29210" localSheetId="19" hidden="1">'Q3 TB-19'!$B$193</definedName>
    <definedName name="QB_ROW_29210" localSheetId="22" hidden="1">'Q3 TB-20'!$B$193</definedName>
    <definedName name="QB_ROW_29210" localSheetId="15" hidden="1">'Q4 TB-19'!$B$193</definedName>
    <definedName name="QB_ROW_29210" localSheetId="16" hidden="1">'Q4 TB-20'!$B$193</definedName>
    <definedName name="QB_ROW_29210" localSheetId="24" hidden="1">'Raw Data 01-31-2019'!$B$187</definedName>
    <definedName name="QB_ROW_29210" localSheetId="29" hidden="1">'Raw Data 01-31-2020'!$B$187</definedName>
    <definedName name="QB_ROW_29210" localSheetId="25" hidden="1">'Raw Data 04-30-2019'!$B$187</definedName>
    <definedName name="QB_ROW_29210" localSheetId="30" hidden="1">'Raw Data 04-30-2020'!$B$187</definedName>
    <definedName name="QB_ROW_29210" localSheetId="26" hidden="1">'Raw Data 07-31-2019'!$B$187</definedName>
    <definedName name="QB_ROW_29210" localSheetId="31" hidden="1">'Raw Data 07-31-2020'!$B$187</definedName>
    <definedName name="QB_ROW_29210" localSheetId="27" hidden="1">'Raw Data 10-31-2019'!$B$188</definedName>
    <definedName name="QB_ROW_29210" localSheetId="28" hidden="1">'Raw Data 10-31-2020'!$B$189</definedName>
    <definedName name="QB_ROW_32210" localSheetId="12" hidden="1">'Detail P&amp;L Analytic'!$B$192</definedName>
    <definedName name="QB_ROW_32210" localSheetId="14" hidden="1">'PY TB-18'!$B$202</definedName>
    <definedName name="QB_ROW_32210" localSheetId="17" hidden="1">'Q1 TB-19'!$B$202</definedName>
    <definedName name="QB_ROW_32210" localSheetId="20" hidden="1">'Q1 TB-20'!$B$202</definedName>
    <definedName name="QB_ROW_32210" localSheetId="18" hidden="1">'Q2 TB-19'!$B$202</definedName>
    <definedName name="QB_ROW_32210" localSheetId="21" hidden="1">'Q2 TB-20'!$B$202</definedName>
    <definedName name="QB_ROW_32210" localSheetId="19" hidden="1">'Q3 TB-19'!$B$202</definedName>
    <definedName name="QB_ROW_32210" localSheetId="22" hidden="1">'Q3 TB-20'!$B$202</definedName>
    <definedName name="QB_ROW_32210" localSheetId="15" hidden="1">'Q4 TB-19'!$B$202</definedName>
    <definedName name="QB_ROW_32210" localSheetId="16" hidden="1">'Q4 TB-20'!$B$202</definedName>
    <definedName name="QB_ROW_32210" localSheetId="24" hidden="1">'Raw Data 01-31-2019'!$B$196</definedName>
    <definedName name="QB_ROW_32210" localSheetId="29" hidden="1">'Raw Data 01-31-2020'!$B$196</definedName>
    <definedName name="QB_ROW_32210" localSheetId="25" hidden="1">'Raw Data 04-30-2019'!$B$196</definedName>
    <definedName name="QB_ROW_32210" localSheetId="30" hidden="1">'Raw Data 04-30-2020'!$B$196</definedName>
    <definedName name="QB_ROW_32210" localSheetId="26" hidden="1">'Raw Data 07-31-2019'!$B$196</definedName>
    <definedName name="QB_ROW_32210" localSheetId="31" hidden="1">'Raw Data 07-31-2020'!$B$196</definedName>
    <definedName name="QB_ROW_32210" localSheetId="27" hidden="1">'Raw Data 10-31-2019'!$B$197</definedName>
    <definedName name="QB_ROW_32210" localSheetId="28" hidden="1">'Raw Data 10-31-2020'!$B$198</definedName>
    <definedName name="QB_ROW_33210" localSheetId="12" hidden="1">'Detail P&amp;L Analytic'!$B$193</definedName>
    <definedName name="QB_ROW_33210" localSheetId="14" hidden="1">'PY TB-18'!$B$203</definedName>
    <definedName name="QB_ROW_33210" localSheetId="17" hidden="1">'Q1 TB-19'!$B$203</definedName>
    <definedName name="QB_ROW_33210" localSheetId="20" hidden="1">'Q1 TB-20'!$B$203</definedName>
    <definedName name="QB_ROW_33210" localSheetId="18" hidden="1">'Q2 TB-19'!$B$203</definedName>
    <definedName name="QB_ROW_33210" localSheetId="21" hidden="1">'Q2 TB-20'!$B$203</definedName>
    <definedName name="QB_ROW_33210" localSheetId="19" hidden="1">'Q3 TB-19'!$B$203</definedName>
    <definedName name="QB_ROW_33210" localSheetId="22" hidden="1">'Q3 TB-20'!$B$203</definedName>
    <definedName name="QB_ROW_33210" localSheetId="15" hidden="1">'Q4 TB-19'!$B$203</definedName>
    <definedName name="QB_ROW_33210" localSheetId="16" hidden="1">'Q4 TB-20'!$B$203</definedName>
    <definedName name="QB_ROW_33210" localSheetId="24" hidden="1">'Raw Data 01-31-2019'!$B$197</definedName>
    <definedName name="QB_ROW_33210" localSheetId="29" hidden="1">'Raw Data 01-31-2020'!$B$197</definedName>
    <definedName name="QB_ROW_33210" localSheetId="25" hidden="1">'Raw Data 04-30-2019'!$B$197</definedName>
    <definedName name="QB_ROW_33210" localSheetId="30" hidden="1">'Raw Data 04-30-2020'!$B$197</definedName>
    <definedName name="QB_ROW_33210" localSheetId="26" hidden="1">'Raw Data 07-31-2019'!$B$197</definedName>
    <definedName name="QB_ROW_33210" localSheetId="31" hidden="1">'Raw Data 07-31-2020'!$B$197</definedName>
    <definedName name="QB_ROW_33210" localSheetId="27" hidden="1">'Raw Data 10-31-2019'!$B$198</definedName>
    <definedName name="QB_ROW_33210" localSheetId="28" hidden="1">'Raw Data 10-31-2020'!$B$199</definedName>
    <definedName name="QB_ROW_34210" localSheetId="12" hidden="1">'Detail P&amp;L Analytic'!$B$194</definedName>
    <definedName name="QB_ROW_34210" localSheetId="14" hidden="1">'PY TB-18'!$B$204</definedName>
    <definedName name="QB_ROW_34210" localSheetId="17" hidden="1">'Q1 TB-19'!$B$204</definedName>
    <definedName name="QB_ROW_34210" localSheetId="20" hidden="1">'Q1 TB-20'!$B$204</definedName>
    <definedName name="QB_ROW_34210" localSheetId="18" hidden="1">'Q2 TB-19'!$B$204</definedName>
    <definedName name="QB_ROW_34210" localSheetId="21" hidden="1">'Q2 TB-20'!$B$204</definedName>
    <definedName name="QB_ROW_34210" localSheetId="19" hidden="1">'Q3 TB-19'!$B$204</definedName>
    <definedName name="QB_ROW_34210" localSheetId="22" hidden="1">'Q3 TB-20'!$B$204</definedName>
    <definedName name="QB_ROW_34210" localSheetId="15" hidden="1">'Q4 TB-19'!$B$204</definedName>
    <definedName name="QB_ROW_34210" localSheetId="16" hidden="1">'Q4 TB-20'!$B$204</definedName>
    <definedName name="QB_ROW_34210" localSheetId="24" hidden="1">'Raw Data 01-31-2019'!$B$198</definedName>
    <definedName name="QB_ROW_34210" localSheetId="29" hidden="1">'Raw Data 01-31-2020'!$B$198</definedName>
    <definedName name="QB_ROW_34210" localSheetId="25" hidden="1">'Raw Data 04-30-2019'!$B$198</definedName>
    <definedName name="QB_ROW_34210" localSheetId="30" hidden="1">'Raw Data 04-30-2020'!$B$198</definedName>
    <definedName name="QB_ROW_34210" localSheetId="26" hidden="1">'Raw Data 07-31-2019'!$B$198</definedName>
    <definedName name="QB_ROW_34210" localSheetId="31" hidden="1">'Raw Data 07-31-2020'!$B$198</definedName>
    <definedName name="QB_ROW_34210" localSheetId="27" hidden="1">'Raw Data 10-31-2019'!$B$199</definedName>
    <definedName name="QB_ROW_34210" localSheetId="28" hidden="1">'Raw Data 10-31-2020'!$B$200</definedName>
    <definedName name="QB_ROW_38210" localSheetId="12" hidden="1">'Detail P&amp;L Analytic'!$B$4</definedName>
    <definedName name="QB_ROW_38210" localSheetId="14" hidden="1">'PY TB-18'!$B$7</definedName>
    <definedName name="QB_ROW_38210" localSheetId="17" hidden="1">'Q1 TB-19'!$B$7</definedName>
    <definedName name="QB_ROW_38210" localSheetId="20" hidden="1">'Q1 TB-20'!$B$7</definedName>
    <definedName name="QB_ROW_38210" localSheetId="18" hidden="1">'Q2 TB-19'!$B$7</definedName>
    <definedName name="QB_ROW_38210" localSheetId="21" hidden="1">'Q2 TB-20'!$B$7</definedName>
    <definedName name="QB_ROW_38210" localSheetId="19" hidden="1">'Q3 TB-19'!$B$7</definedName>
    <definedName name="QB_ROW_38210" localSheetId="22" hidden="1">'Q3 TB-20'!$B$7</definedName>
    <definedName name="QB_ROW_38210" localSheetId="15" hidden="1">'Q4 TB-19'!$B$7</definedName>
    <definedName name="QB_ROW_38210" localSheetId="16" hidden="1">'Q4 TB-20'!$B$7</definedName>
    <definedName name="QB_ROW_38210" localSheetId="24" hidden="1">'Raw Data 01-31-2019'!$B$7</definedName>
    <definedName name="QB_ROW_38210" localSheetId="29" hidden="1">'Raw Data 01-31-2020'!$B$7</definedName>
    <definedName name="QB_ROW_38210" localSheetId="25" hidden="1">'Raw Data 04-30-2019'!$B$7</definedName>
    <definedName name="QB_ROW_38210" localSheetId="30" hidden="1">'Raw Data 04-30-2020'!$B$7</definedName>
    <definedName name="QB_ROW_38210" localSheetId="26" hidden="1">'Raw Data 07-31-2019'!$B$7</definedName>
    <definedName name="QB_ROW_38210" localSheetId="31" hidden="1">'Raw Data 07-31-2020'!$B$7</definedName>
    <definedName name="QB_ROW_38210" localSheetId="27" hidden="1">'Raw Data 10-31-2019'!$B$7</definedName>
    <definedName name="QB_ROW_38210" localSheetId="28" hidden="1">'Raw Data 10-31-2020'!$B$7</definedName>
    <definedName name="QB_ROW_39210" localSheetId="12" hidden="1">'Detail P&amp;L Analytic'!$B$10</definedName>
    <definedName name="QB_ROW_39210" localSheetId="14" hidden="1">'PY TB-18'!$B$13</definedName>
    <definedName name="QB_ROW_39210" localSheetId="17" hidden="1">'Q1 TB-19'!$B$13</definedName>
    <definedName name="QB_ROW_39210" localSheetId="20" hidden="1">'Q1 TB-20'!$B$13</definedName>
    <definedName name="QB_ROW_39210" localSheetId="18" hidden="1">'Q2 TB-19'!$B$13</definedName>
    <definedName name="QB_ROW_39210" localSheetId="21" hidden="1">'Q2 TB-20'!$B$13</definedName>
    <definedName name="QB_ROW_39210" localSheetId="19" hidden="1">'Q3 TB-19'!$B$13</definedName>
    <definedName name="QB_ROW_39210" localSheetId="22" hidden="1">'Q3 TB-20'!$B$13</definedName>
    <definedName name="QB_ROW_39210" localSheetId="15" hidden="1">'Q4 TB-19'!$B$13</definedName>
    <definedName name="QB_ROW_39210" localSheetId="16" hidden="1">'Q4 TB-20'!$B$13</definedName>
    <definedName name="QB_ROW_39210" localSheetId="24" hidden="1">'Raw Data 01-31-2019'!$B$13</definedName>
    <definedName name="QB_ROW_39210" localSheetId="29" hidden="1">'Raw Data 01-31-2020'!$B$13</definedName>
    <definedName name="QB_ROW_39210" localSheetId="25" hidden="1">'Raw Data 04-30-2019'!$B$13</definedName>
    <definedName name="QB_ROW_39210" localSheetId="30" hidden="1">'Raw Data 04-30-2020'!$B$13</definedName>
    <definedName name="QB_ROW_39210" localSheetId="26" hidden="1">'Raw Data 07-31-2019'!$B$13</definedName>
    <definedName name="QB_ROW_39210" localSheetId="31" hidden="1">'Raw Data 07-31-2020'!$B$13</definedName>
    <definedName name="QB_ROW_39210" localSheetId="27" hidden="1">'Raw Data 10-31-2019'!$B$13</definedName>
    <definedName name="QB_ROW_39210" localSheetId="28" hidden="1">'Raw Data 10-31-2020'!$B$13</definedName>
    <definedName name="QB_ROW_40210" localSheetId="12" hidden="1">'Detail P&amp;L Analytic'!$B$11</definedName>
    <definedName name="QB_ROW_40210" localSheetId="14" hidden="1">'PY TB-18'!$B$14</definedName>
    <definedName name="QB_ROW_40210" localSheetId="17" hidden="1">'Q1 TB-19'!$B$14</definedName>
    <definedName name="QB_ROW_40210" localSheetId="20" hidden="1">'Q1 TB-20'!$B$14</definedName>
    <definedName name="QB_ROW_40210" localSheetId="18" hidden="1">'Q2 TB-19'!$B$14</definedName>
    <definedName name="QB_ROW_40210" localSheetId="21" hidden="1">'Q2 TB-20'!$B$14</definedName>
    <definedName name="QB_ROW_40210" localSheetId="19" hidden="1">'Q3 TB-19'!$B$14</definedName>
    <definedName name="QB_ROW_40210" localSheetId="22" hidden="1">'Q3 TB-20'!$B$14</definedName>
    <definedName name="QB_ROW_40210" localSheetId="15" hidden="1">'Q4 TB-19'!$B$14</definedName>
    <definedName name="QB_ROW_40210" localSheetId="16" hidden="1">'Q4 TB-20'!$B$14</definedName>
    <definedName name="QB_ROW_40210" localSheetId="24" hidden="1">'Raw Data 01-31-2019'!$B$14</definedName>
    <definedName name="QB_ROW_40210" localSheetId="29" hidden="1">'Raw Data 01-31-2020'!$B$14</definedName>
    <definedName name="QB_ROW_40210" localSheetId="25" hidden="1">'Raw Data 04-30-2019'!$B$14</definedName>
    <definedName name="QB_ROW_40210" localSheetId="30" hidden="1">'Raw Data 04-30-2020'!$B$14</definedName>
    <definedName name="QB_ROW_40210" localSheetId="26" hidden="1">'Raw Data 07-31-2019'!$B$14</definedName>
    <definedName name="QB_ROW_40210" localSheetId="31" hidden="1">'Raw Data 07-31-2020'!$B$14</definedName>
    <definedName name="QB_ROW_40210" localSheetId="27" hidden="1">'Raw Data 10-31-2019'!$B$14</definedName>
    <definedName name="QB_ROW_40210" localSheetId="28" hidden="1">'Raw Data 10-31-2020'!$B$14</definedName>
    <definedName name="QB_ROW_41210" localSheetId="12" hidden="1">'Detail P&amp;L Analytic'!$B$5</definedName>
    <definedName name="QB_ROW_41210" localSheetId="14" hidden="1">'PY TB-18'!$B$8</definedName>
    <definedName name="QB_ROW_41210" localSheetId="17" hidden="1">'Q1 TB-19'!$B$8</definedName>
    <definedName name="QB_ROW_41210" localSheetId="20" hidden="1">'Q1 TB-20'!$B$8</definedName>
    <definedName name="QB_ROW_41210" localSheetId="18" hidden="1">'Q2 TB-19'!$B$8</definedName>
    <definedName name="QB_ROW_41210" localSheetId="21" hidden="1">'Q2 TB-20'!$B$8</definedName>
    <definedName name="QB_ROW_41210" localSheetId="19" hidden="1">'Q3 TB-19'!$B$8</definedName>
    <definedName name="QB_ROW_41210" localSheetId="22" hidden="1">'Q3 TB-20'!$B$8</definedName>
    <definedName name="QB_ROW_41210" localSheetId="15" hidden="1">'Q4 TB-19'!$B$8</definedName>
    <definedName name="QB_ROW_41210" localSheetId="16" hidden="1">'Q4 TB-20'!$B$8</definedName>
    <definedName name="QB_ROW_41210" localSheetId="24" hidden="1">'Raw Data 01-31-2019'!$B$8</definedName>
    <definedName name="QB_ROW_41210" localSheetId="29" hidden="1">'Raw Data 01-31-2020'!$B$8</definedName>
    <definedName name="QB_ROW_41210" localSheetId="25" hidden="1">'Raw Data 04-30-2019'!$B$8</definedName>
    <definedName name="QB_ROW_41210" localSheetId="30" hidden="1">'Raw Data 04-30-2020'!$B$8</definedName>
    <definedName name="QB_ROW_41210" localSheetId="26" hidden="1">'Raw Data 07-31-2019'!$B$8</definedName>
    <definedName name="QB_ROW_41210" localSheetId="31" hidden="1">'Raw Data 07-31-2020'!$B$8</definedName>
    <definedName name="QB_ROW_41210" localSheetId="27" hidden="1">'Raw Data 10-31-2019'!$B$8</definedName>
    <definedName name="QB_ROW_41210" localSheetId="28" hidden="1">'Raw Data 10-31-2020'!$B$8</definedName>
    <definedName name="QB_ROW_4210" localSheetId="12" hidden="1">'Detail P&amp;L Analytic'!$B$196</definedName>
    <definedName name="QB_ROW_4210" localSheetId="14" hidden="1">'PY TB-18'!$B$206</definedName>
    <definedName name="QB_ROW_4210" localSheetId="17" hidden="1">'Q1 TB-19'!$B$206</definedName>
    <definedName name="QB_ROW_4210" localSheetId="20" hidden="1">'Q1 TB-20'!$B$206</definedName>
    <definedName name="QB_ROW_4210" localSheetId="18" hidden="1">'Q2 TB-19'!$B$206</definedName>
    <definedName name="QB_ROW_4210" localSheetId="21" hidden="1">'Q2 TB-20'!$B$206</definedName>
    <definedName name="QB_ROW_4210" localSheetId="19" hidden="1">'Q3 TB-19'!$B$206</definedName>
    <definedName name="QB_ROW_4210" localSheetId="22" hidden="1">'Q3 TB-20'!$B$206</definedName>
    <definedName name="QB_ROW_4210" localSheetId="15" hidden="1">'Q4 TB-19'!$B$206</definedName>
    <definedName name="QB_ROW_4210" localSheetId="16" hidden="1">'Q4 TB-20'!$B$206</definedName>
    <definedName name="QB_ROW_4210" localSheetId="24" hidden="1">'Raw Data 01-31-2019'!$B$200</definedName>
    <definedName name="QB_ROW_4210" localSheetId="29" hidden="1">'Raw Data 01-31-2020'!$B$200</definedName>
    <definedName name="QB_ROW_4210" localSheetId="25" hidden="1">'Raw Data 04-30-2019'!$B$200</definedName>
    <definedName name="QB_ROW_4210" localSheetId="30" hidden="1">'Raw Data 04-30-2020'!$B$200</definedName>
    <definedName name="QB_ROW_4210" localSheetId="26" hidden="1">'Raw Data 07-31-2019'!$B$200</definedName>
    <definedName name="QB_ROW_4210" localSheetId="31" hidden="1">'Raw Data 07-31-2020'!$B$200</definedName>
    <definedName name="QB_ROW_4210" localSheetId="27" hidden="1">'Raw Data 10-31-2019'!$B$201</definedName>
    <definedName name="QB_ROW_4210" localSheetId="28" hidden="1">'Raw Data 10-31-2020'!$B$202</definedName>
    <definedName name="QB_ROW_42210" localSheetId="12" hidden="1">'Detail P&amp;L Analytic'!$B$22</definedName>
    <definedName name="QB_ROW_42210" localSheetId="14" hidden="1">'PY TB-18'!$B$25</definedName>
    <definedName name="QB_ROW_42210" localSheetId="17" hidden="1">'Q1 TB-19'!$B$25</definedName>
    <definedName name="QB_ROW_42210" localSheetId="20" hidden="1">'Q1 TB-20'!$B$25</definedName>
    <definedName name="QB_ROW_42210" localSheetId="18" hidden="1">'Q2 TB-19'!$B$25</definedName>
    <definedName name="QB_ROW_42210" localSheetId="21" hidden="1">'Q2 TB-20'!$B$25</definedName>
    <definedName name="QB_ROW_42210" localSheetId="19" hidden="1">'Q3 TB-19'!$B$25</definedName>
    <definedName name="QB_ROW_42210" localSheetId="22" hidden="1">'Q3 TB-20'!$B$25</definedName>
    <definedName name="QB_ROW_42210" localSheetId="15" hidden="1">'Q4 TB-19'!$B$25</definedName>
    <definedName name="QB_ROW_42210" localSheetId="16" hidden="1">'Q4 TB-20'!$B$25</definedName>
    <definedName name="QB_ROW_42210" localSheetId="24" hidden="1">'Raw Data 01-31-2019'!$B$25</definedName>
    <definedName name="QB_ROW_42210" localSheetId="29" hidden="1">'Raw Data 01-31-2020'!$B$25</definedName>
    <definedName name="QB_ROW_42210" localSheetId="25" hidden="1">'Raw Data 04-30-2019'!$B$25</definedName>
    <definedName name="QB_ROW_42210" localSheetId="30" hidden="1">'Raw Data 04-30-2020'!$B$25</definedName>
    <definedName name="QB_ROW_42210" localSheetId="26" hidden="1">'Raw Data 07-31-2019'!$B$25</definedName>
    <definedName name="QB_ROW_42210" localSheetId="31" hidden="1">'Raw Data 07-31-2020'!$B$25</definedName>
    <definedName name="QB_ROW_42210" localSheetId="27" hidden="1">'Raw Data 10-31-2019'!$B$25</definedName>
    <definedName name="QB_ROW_42210" localSheetId="28" hidden="1">'Raw Data 10-31-2020'!$B$25</definedName>
    <definedName name="QB_ROW_43210" localSheetId="12" hidden="1">'Detail P&amp;L Analytic'!$B$50</definedName>
    <definedName name="QB_ROW_43210" localSheetId="14" hidden="1">'PY TB-18'!$B$55</definedName>
    <definedName name="QB_ROW_43210" localSheetId="17" hidden="1">'Q1 TB-19'!$B$55</definedName>
    <definedName name="QB_ROW_43210" localSheetId="20" hidden="1">'Q1 TB-20'!$B$55</definedName>
    <definedName name="QB_ROW_43210" localSheetId="18" hidden="1">'Q2 TB-19'!$B$55</definedName>
    <definedName name="QB_ROW_43210" localSheetId="21" hidden="1">'Q2 TB-20'!$B$55</definedName>
    <definedName name="QB_ROW_43210" localSheetId="19" hidden="1">'Q3 TB-19'!$B$55</definedName>
    <definedName name="QB_ROW_43210" localSheetId="22" hidden="1">'Q3 TB-20'!$B$55</definedName>
    <definedName name="QB_ROW_43210" localSheetId="15" hidden="1">'Q4 TB-19'!$B$55</definedName>
    <definedName name="QB_ROW_43210" localSheetId="16" hidden="1">'Q4 TB-20'!$B$55</definedName>
    <definedName name="QB_ROW_43210" localSheetId="24" hidden="1">'Raw Data 01-31-2019'!$B$53</definedName>
    <definedName name="QB_ROW_43210" localSheetId="29" hidden="1">'Raw Data 01-31-2020'!$B$53</definedName>
    <definedName name="QB_ROW_43210" localSheetId="25" hidden="1">'Raw Data 04-30-2019'!$B$53</definedName>
    <definedName name="QB_ROW_43210" localSheetId="30" hidden="1">'Raw Data 04-30-2020'!$B$53</definedName>
    <definedName name="QB_ROW_43210" localSheetId="26" hidden="1">'Raw Data 07-31-2019'!$B$53</definedName>
    <definedName name="QB_ROW_43210" localSheetId="31" hidden="1">'Raw Data 07-31-2020'!$B$53</definedName>
    <definedName name="QB_ROW_43210" localSheetId="27" hidden="1">'Raw Data 10-31-2019'!$B$53</definedName>
    <definedName name="QB_ROW_43210" localSheetId="28" hidden="1">'Raw Data 10-31-2020'!$B$53</definedName>
    <definedName name="QB_ROW_44210" localSheetId="12" hidden="1">'Detail P&amp;L Analytic'!$B$125</definedName>
    <definedName name="QB_ROW_44210" localSheetId="14" hidden="1">'PY TB-18'!$B$135</definedName>
    <definedName name="QB_ROW_44210" localSheetId="17" hidden="1">'Q1 TB-19'!$B$135</definedName>
    <definedName name="QB_ROW_44210" localSheetId="20" hidden="1">'Q1 TB-20'!$B$135</definedName>
    <definedName name="QB_ROW_44210" localSheetId="18" hidden="1">'Q2 TB-19'!$B$135</definedName>
    <definedName name="QB_ROW_44210" localSheetId="21" hidden="1">'Q2 TB-20'!$B$135</definedName>
    <definedName name="QB_ROW_44210" localSheetId="19" hidden="1">'Q3 TB-19'!$B$135</definedName>
    <definedName name="QB_ROW_44210" localSheetId="22" hidden="1">'Q3 TB-20'!$B$135</definedName>
    <definedName name="QB_ROW_44210" localSheetId="15" hidden="1">'Q4 TB-19'!$B$135</definedName>
    <definedName name="QB_ROW_44210" localSheetId="16" hidden="1">'Q4 TB-20'!$B$135</definedName>
    <definedName name="QB_ROW_44210" localSheetId="24" hidden="1">'Raw Data 01-31-2019'!$B$129</definedName>
    <definedName name="QB_ROW_44210" localSheetId="29" hidden="1">'Raw Data 01-31-2020'!$B$129</definedName>
    <definedName name="QB_ROW_44210" localSheetId="25" hidden="1">'Raw Data 04-30-2019'!$B$129</definedName>
    <definedName name="QB_ROW_44210" localSheetId="30" hidden="1">'Raw Data 04-30-2020'!$B$129</definedName>
    <definedName name="QB_ROW_44210" localSheetId="26" hidden="1">'Raw Data 07-31-2019'!$B$129</definedName>
    <definedName name="QB_ROW_44210" localSheetId="31" hidden="1">'Raw Data 07-31-2020'!$B$129</definedName>
    <definedName name="QB_ROW_44210" localSheetId="27" hidden="1">'Raw Data 10-31-2019'!$B$129</definedName>
    <definedName name="QB_ROW_44210" localSheetId="28" hidden="1">'Raw Data 10-31-2020'!$B$130</definedName>
    <definedName name="QB_ROW_45210" localSheetId="12" hidden="1">'Detail P&amp;L Analytic'!$B$126</definedName>
    <definedName name="QB_ROW_45210" localSheetId="14" hidden="1">'PY TB-18'!$B$136</definedName>
    <definedName name="QB_ROW_45210" localSheetId="17" hidden="1">'Q1 TB-19'!$B$136</definedName>
    <definedName name="QB_ROW_45210" localSheetId="20" hidden="1">'Q1 TB-20'!$B$136</definedName>
    <definedName name="QB_ROW_45210" localSheetId="18" hidden="1">'Q2 TB-19'!$B$136</definedName>
    <definedName name="QB_ROW_45210" localSheetId="21" hidden="1">'Q2 TB-20'!$B$136</definedName>
    <definedName name="QB_ROW_45210" localSheetId="19" hidden="1">'Q3 TB-19'!$B$136</definedName>
    <definedName name="QB_ROW_45210" localSheetId="22" hidden="1">'Q3 TB-20'!$B$136</definedName>
    <definedName name="QB_ROW_45210" localSheetId="15" hidden="1">'Q4 TB-19'!$B$136</definedName>
    <definedName name="QB_ROW_45210" localSheetId="16" hidden="1">'Q4 TB-20'!$B$136</definedName>
    <definedName name="QB_ROW_45210" localSheetId="24" hidden="1">'Raw Data 01-31-2019'!$B$130</definedName>
    <definedName name="QB_ROW_45210" localSheetId="29" hidden="1">'Raw Data 01-31-2020'!$B$130</definedName>
    <definedName name="QB_ROW_45210" localSheetId="25" hidden="1">'Raw Data 04-30-2019'!$B$130</definedName>
    <definedName name="QB_ROW_45210" localSheetId="30" hidden="1">'Raw Data 04-30-2020'!$B$130</definedName>
    <definedName name="QB_ROW_45210" localSheetId="26" hidden="1">'Raw Data 07-31-2019'!$B$130</definedName>
    <definedName name="QB_ROW_45210" localSheetId="31" hidden="1">'Raw Data 07-31-2020'!$B$130</definedName>
    <definedName name="QB_ROW_45210" localSheetId="27" hidden="1">'Raw Data 10-31-2019'!$B$130</definedName>
    <definedName name="QB_ROW_45210" localSheetId="28" hidden="1">'Raw Data 10-31-2020'!$B$131</definedName>
    <definedName name="QB_ROW_47210" localSheetId="12" hidden="1">'Detail P&amp;L Analytic'!$B$184</definedName>
    <definedName name="QB_ROW_47210" localSheetId="14" hidden="1">'PY TB-18'!$B$194</definedName>
    <definedName name="QB_ROW_47210" localSheetId="17" hidden="1">'Q1 TB-19'!$B$194</definedName>
    <definedName name="QB_ROW_47210" localSheetId="20" hidden="1">'Q1 TB-20'!$B$194</definedName>
    <definedName name="QB_ROW_47210" localSheetId="18" hidden="1">'Q2 TB-19'!$B$194</definedName>
    <definedName name="QB_ROW_47210" localSheetId="21" hidden="1">'Q2 TB-20'!$B$194</definedName>
    <definedName name="QB_ROW_47210" localSheetId="19" hidden="1">'Q3 TB-19'!$B$194</definedName>
    <definedName name="QB_ROW_47210" localSheetId="22" hidden="1">'Q3 TB-20'!$B$194</definedName>
    <definedName name="QB_ROW_47210" localSheetId="15" hidden="1">'Q4 TB-19'!$B$194</definedName>
    <definedName name="QB_ROW_47210" localSheetId="16" hidden="1">'Q4 TB-20'!$B$194</definedName>
    <definedName name="QB_ROW_47210" localSheetId="24" hidden="1">'Raw Data 01-31-2019'!$B$188</definedName>
    <definedName name="QB_ROW_47210" localSheetId="29" hidden="1">'Raw Data 01-31-2020'!$B$188</definedName>
    <definedName name="QB_ROW_47210" localSheetId="25" hidden="1">'Raw Data 04-30-2019'!$B$188</definedName>
    <definedName name="QB_ROW_47210" localSheetId="30" hidden="1">'Raw Data 04-30-2020'!$B$188</definedName>
    <definedName name="QB_ROW_47210" localSheetId="26" hidden="1">'Raw Data 07-31-2019'!$B$188</definedName>
    <definedName name="QB_ROW_47210" localSheetId="31" hidden="1">'Raw Data 07-31-2020'!$B$188</definedName>
    <definedName name="QB_ROW_47210" localSheetId="27" hidden="1">'Raw Data 10-31-2019'!$B$189</definedName>
    <definedName name="QB_ROW_47210" localSheetId="28" hidden="1">'Raw Data 10-31-2020'!$B$190</definedName>
    <definedName name="QB_ROW_51210" localSheetId="12" hidden="1">'Detail P&amp;L Analytic'!$B$171</definedName>
    <definedName name="QB_ROW_51210" localSheetId="14" hidden="1">'PY TB-18'!$B$181</definedName>
    <definedName name="QB_ROW_51210" localSheetId="17" hidden="1">'Q1 TB-19'!$B$181</definedName>
    <definedName name="QB_ROW_51210" localSheetId="20" hidden="1">'Q1 TB-20'!$B$181</definedName>
    <definedName name="QB_ROW_51210" localSheetId="18" hidden="1">'Q2 TB-19'!$B$181</definedName>
    <definedName name="QB_ROW_51210" localSheetId="21" hidden="1">'Q2 TB-20'!$B$181</definedName>
    <definedName name="QB_ROW_51210" localSheetId="19" hidden="1">'Q3 TB-19'!$B$181</definedName>
    <definedName name="QB_ROW_51210" localSheetId="22" hidden="1">'Q3 TB-20'!$B$181</definedName>
    <definedName name="QB_ROW_51210" localSheetId="15" hidden="1">'Q4 TB-19'!$B$181</definedName>
    <definedName name="QB_ROW_51210" localSheetId="16" hidden="1">'Q4 TB-20'!$B$181</definedName>
    <definedName name="QB_ROW_51210" localSheetId="24" hidden="1">'Raw Data 01-31-2019'!$B$175</definedName>
    <definedName name="QB_ROW_51210" localSheetId="29" hidden="1">'Raw Data 01-31-2020'!$B$175</definedName>
    <definedName name="QB_ROW_51210" localSheetId="25" hidden="1">'Raw Data 04-30-2019'!$B$175</definedName>
    <definedName name="QB_ROW_51210" localSheetId="30" hidden="1">'Raw Data 04-30-2020'!$B$175</definedName>
    <definedName name="QB_ROW_51210" localSheetId="26" hidden="1">'Raw Data 07-31-2019'!$B$175</definedName>
    <definedName name="QB_ROW_51210" localSheetId="31" hidden="1">'Raw Data 07-31-2020'!$B$175</definedName>
    <definedName name="QB_ROW_51210" localSheetId="27" hidden="1">'Raw Data 10-31-2019'!$B$176</definedName>
    <definedName name="QB_ROW_51210" localSheetId="28" hidden="1">'Raw Data 10-31-2020'!$B$177</definedName>
    <definedName name="QB_ROW_53210" localSheetId="12" hidden="1">'Detail P&amp;L Analytic'!$B$163</definedName>
    <definedName name="QB_ROW_53210" localSheetId="14" hidden="1">'PY TB-18'!$B$173</definedName>
    <definedName name="QB_ROW_53210" localSheetId="17" hidden="1">'Q1 TB-19'!$B$173</definedName>
    <definedName name="QB_ROW_53210" localSheetId="20" hidden="1">'Q1 TB-20'!$B$173</definedName>
    <definedName name="QB_ROW_53210" localSheetId="18" hidden="1">'Q2 TB-19'!$B$173</definedName>
    <definedName name="QB_ROW_53210" localSheetId="21" hidden="1">'Q2 TB-20'!$B$173</definedName>
    <definedName name="QB_ROW_53210" localSheetId="19" hidden="1">'Q3 TB-19'!$B$173</definedName>
    <definedName name="QB_ROW_53210" localSheetId="22" hidden="1">'Q3 TB-20'!$B$173</definedName>
    <definedName name="QB_ROW_53210" localSheetId="15" hidden="1">'Q4 TB-19'!$B$173</definedName>
    <definedName name="QB_ROW_53210" localSheetId="16" hidden="1">'Q4 TB-20'!$B$173</definedName>
    <definedName name="QB_ROW_53210" localSheetId="24" hidden="1">'Raw Data 01-31-2019'!$B$167</definedName>
    <definedName name="QB_ROW_53210" localSheetId="29" hidden="1">'Raw Data 01-31-2020'!$B$167</definedName>
    <definedName name="QB_ROW_53210" localSheetId="25" hidden="1">'Raw Data 04-30-2019'!$B$167</definedName>
    <definedName name="QB_ROW_53210" localSheetId="30" hidden="1">'Raw Data 04-30-2020'!$B$167</definedName>
    <definedName name="QB_ROW_53210" localSheetId="26" hidden="1">'Raw Data 07-31-2019'!$B$167</definedName>
    <definedName name="QB_ROW_53210" localSheetId="31" hidden="1">'Raw Data 07-31-2020'!$B$167</definedName>
    <definedName name="QB_ROW_53210" localSheetId="27" hidden="1">'Raw Data 10-31-2019'!$B$168</definedName>
    <definedName name="QB_ROW_53210" localSheetId="28" hidden="1">'Raw Data 10-31-2020'!$B$169</definedName>
    <definedName name="QB_ROW_54210" localSheetId="12" hidden="1">'Detail P&amp;L Analytic'!$B$185</definedName>
    <definedName name="QB_ROW_54210" localSheetId="14" hidden="1">'PY TB-18'!$B$195</definedName>
    <definedName name="QB_ROW_54210" localSheetId="17" hidden="1">'Q1 TB-19'!$B$195</definedName>
    <definedName name="QB_ROW_54210" localSheetId="20" hidden="1">'Q1 TB-20'!$B$195</definedName>
    <definedName name="QB_ROW_54210" localSheetId="18" hidden="1">'Q2 TB-19'!$B$195</definedName>
    <definedName name="QB_ROW_54210" localSheetId="21" hidden="1">'Q2 TB-20'!$B$195</definedName>
    <definedName name="QB_ROW_54210" localSheetId="19" hidden="1">'Q3 TB-19'!$B$195</definedName>
    <definedName name="QB_ROW_54210" localSheetId="22" hidden="1">'Q3 TB-20'!$B$195</definedName>
    <definedName name="QB_ROW_54210" localSheetId="15" hidden="1">'Q4 TB-19'!$B$195</definedName>
    <definedName name="QB_ROW_54210" localSheetId="16" hidden="1">'Q4 TB-20'!$B$195</definedName>
    <definedName name="QB_ROW_54210" localSheetId="24" hidden="1">'Raw Data 01-31-2019'!$B$189</definedName>
    <definedName name="QB_ROW_54210" localSheetId="29" hidden="1">'Raw Data 01-31-2020'!$B$189</definedName>
    <definedName name="QB_ROW_54210" localSheetId="25" hidden="1">'Raw Data 04-30-2019'!$B$189</definedName>
    <definedName name="QB_ROW_54210" localSheetId="30" hidden="1">'Raw Data 04-30-2020'!$B$189</definedName>
    <definedName name="QB_ROW_54210" localSheetId="26" hidden="1">'Raw Data 07-31-2019'!$B$189</definedName>
    <definedName name="QB_ROW_54210" localSheetId="31" hidden="1">'Raw Data 07-31-2020'!$B$189</definedName>
    <definedName name="QB_ROW_54210" localSheetId="27" hidden="1">'Raw Data 10-31-2019'!$B$190</definedName>
    <definedName name="QB_ROW_54210" localSheetId="28" hidden="1">'Raw Data 10-31-2020'!$B$191</definedName>
    <definedName name="QB_ROW_59210" localSheetId="12" hidden="1">'Detail P&amp;L Analytic'!$B$23</definedName>
    <definedName name="QB_ROW_59210" localSheetId="14" hidden="1">'PY TB-18'!$B$26</definedName>
    <definedName name="QB_ROW_59210" localSheetId="17" hidden="1">'Q1 TB-19'!$B$26</definedName>
    <definedName name="QB_ROW_59210" localSheetId="20" hidden="1">'Q1 TB-20'!$B$26</definedName>
    <definedName name="QB_ROW_59210" localSheetId="18" hidden="1">'Q2 TB-19'!$B$26</definedName>
    <definedName name="QB_ROW_59210" localSheetId="21" hidden="1">'Q2 TB-20'!$B$26</definedName>
    <definedName name="QB_ROW_59210" localSheetId="19" hidden="1">'Q3 TB-19'!$B$26</definedName>
    <definedName name="QB_ROW_59210" localSheetId="22" hidden="1">'Q3 TB-20'!$B$26</definedName>
    <definedName name="QB_ROW_59210" localSheetId="15" hidden="1">'Q4 TB-19'!$B$26</definedName>
    <definedName name="QB_ROW_59210" localSheetId="16" hidden="1">'Q4 TB-20'!$B$26</definedName>
    <definedName name="QB_ROW_59210" localSheetId="24" hidden="1">'Raw Data 01-31-2019'!$B$26</definedName>
    <definedName name="QB_ROW_59210" localSheetId="29" hidden="1">'Raw Data 01-31-2020'!$B$26</definedName>
    <definedName name="QB_ROW_59210" localSheetId="25" hidden="1">'Raw Data 04-30-2019'!$B$26</definedName>
    <definedName name="QB_ROW_59210" localSheetId="30" hidden="1">'Raw Data 04-30-2020'!$B$26</definedName>
    <definedName name="QB_ROW_59210" localSheetId="26" hidden="1">'Raw Data 07-31-2019'!$B$26</definedName>
    <definedName name="QB_ROW_59210" localSheetId="31" hidden="1">'Raw Data 07-31-2020'!$B$26</definedName>
    <definedName name="QB_ROW_59210" localSheetId="27" hidden="1">'Raw Data 10-31-2019'!$B$26</definedName>
    <definedName name="QB_ROW_59210" localSheetId="28" hidden="1">'Raw Data 10-31-2020'!$B$26</definedName>
    <definedName name="QB_ROW_60210" localSheetId="12" hidden="1">'Detail P&amp;L Analytic'!$B$135</definedName>
    <definedName name="QB_ROW_60210" localSheetId="14" hidden="1">'PY TB-18'!$B$145</definedName>
    <definedName name="QB_ROW_60210" localSheetId="17" hidden="1">'Q1 TB-19'!$B$145</definedName>
    <definedName name="QB_ROW_60210" localSheetId="20" hidden="1">'Q1 TB-20'!$B$145</definedName>
    <definedName name="QB_ROW_60210" localSheetId="18" hidden="1">'Q2 TB-19'!$B$145</definedName>
    <definedName name="QB_ROW_60210" localSheetId="21" hidden="1">'Q2 TB-20'!$B$145</definedName>
    <definedName name="QB_ROW_60210" localSheetId="19" hidden="1">'Q3 TB-19'!$B$145</definedName>
    <definedName name="QB_ROW_60210" localSheetId="22" hidden="1">'Q3 TB-20'!$B$145</definedName>
    <definedName name="QB_ROW_60210" localSheetId="15" hidden="1">'Q4 TB-19'!$B$145</definedName>
    <definedName name="QB_ROW_60210" localSheetId="16" hidden="1">'Q4 TB-20'!$B$145</definedName>
    <definedName name="QB_ROW_60210" localSheetId="24" hidden="1">'Raw Data 01-31-2019'!$B$139</definedName>
    <definedName name="QB_ROW_60210" localSheetId="29" hidden="1">'Raw Data 01-31-2020'!$B$139</definedName>
    <definedName name="QB_ROW_60210" localSheetId="25" hidden="1">'Raw Data 04-30-2019'!$B$139</definedName>
    <definedName name="QB_ROW_60210" localSheetId="30" hidden="1">'Raw Data 04-30-2020'!$B$139</definedName>
    <definedName name="QB_ROW_60210" localSheetId="26" hidden="1">'Raw Data 07-31-2019'!$B$139</definedName>
    <definedName name="QB_ROW_60210" localSheetId="31" hidden="1">'Raw Data 07-31-2020'!$B$139</definedName>
    <definedName name="QB_ROW_60210" localSheetId="27" hidden="1">'Raw Data 10-31-2019'!$B$140</definedName>
    <definedName name="QB_ROW_60210" localSheetId="28" hidden="1">'Raw Data 10-31-2020'!$B$141</definedName>
    <definedName name="QB_ROW_63210" localSheetId="12" hidden="1">'Detail P&amp;L Analytic'!$B$175</definedName>
    <definedName name="QB_ROW_63210" localSheetId="14" hidden="1">'PY TB-18'!$B$185</definedName>
    <definedName name="QB_ROW_63210" localSheetId="17" hidden="1">'Q1 TB-19'!$B$185</definedName>
    <definedName name="QB_ROW_63210" localSheetId="20" hidden="1">'Q1 TB-20'!$B$185</definedName>
    <definedName name="QB_ROW_63210" localSheetId="18" hidden="1">'Q2 TB-19'!$B$185</definedName>
    <definedName name="QB_ROW_63210" localSheetId="21" hidden="1">'Q2 TB-20'!$B$185</definedName>
    <definedName name="QB_ROW_63210" localSheetId="19" hidden="1">'Q3 TB-19'!$B$185</definedName>
    <definedName name="QB_ROW_63210" localSheetId="22" hidden="1">'Q3 TB-20'!$B$185</definedName>
    <definedName name="QB_ROW_63210" localSheetId="15" hidden="1">'Q4 TB-19'!$B$185</definedName>
    <definedName name="QB_ROW_63210" localSheetId="16" hidden="1">'Q4 TB-20'!$B$185</definedName>
    <definedName name="QB_ROW_63210" localSheetId="24" hidden="1">'Raw Data 01-31-2019'!$B$179</definedName>
    <definedName name="QB_ROW_63210" localSheetId="29" hidden="1">'Raw Data 01-31-2020'!$B$179</definedName>
    <definedName name="QB_ROW_63210" localSheetId="25" hidden="1">'Raw Data 04-30-2019'!$B$179</definedName>
    <definedName name="QB_ROW_63210" localSheetId="30" hidden="1">'Raw Data 04-30-2020'!$B$179</definedName>
    <definedName name="QB_ROW_63210" localSheetId="26" hidden="1">'Raw Data 07-31-2019'!$B$179</definedName>
    <definedName name="QB_ROW_63210" localSheetId="31" hidden="1">'Raw Data 07-31-2020'!$B$179</definedName>
    <definedName name="QB_ROW_63210" localSheetId="27" hidden="1">'Raw Data 10-31-2019'!$B$180</definedName>
    <definedName name="QB_ROW_63210" localSheetId="28" hidden="1">'Raw Data 10-31-2020'!$B$181</definedName>
    <definedName name="QB_ROW_65210" localSheetId="12" hidden="1">'Detail P&amp;L Analytic'!$B$65</definedName>
    <definedName name="QB_ROW_65210" localSheetId="14" hidden="1">'PY TB-18'!$B$70</definedName>
    <definedName name="QB_ROW_65210" localSheetId="17" hidden="1">'Q1 TB-19'!$B$70</definedName>
    <definedName name="QB_ROW_65210" localSheetId="20" hidden="1">'Q1 TB-20'!$B$70</definedName>
    <definedName name="QB_ROW_65210" localSheetId="18" hidden="1">'Q2 TB-19'!$B$70</definedName>
    <definedName name="QB_ROW_65210" localSheetId="21" hidden="1">'Q2 TB-20'!$B$70</definedName>
    <definedName name="QB_ROW_65210" localSheetId="19" hidden="1">'Q3 TB-19'!$B$70</definedName>
    <definedName name="QB_ROW_65210" localSheetId="22" hidden="1">'Q3 TB-20'!$B$70</definedName>
    <definedName name="QB_ROW_65210" localSheetId="15" hidden="1">'Q4 TB-19'!$B$70</definedName>
    <definedName name="QB_ROW_65210" localSheetId="16" hidden="1">'Q4 TB-20'!$B$70</definedName>
    <definedName name="QB_ROW_65210" localSheetId="24" hidden="1">'Raw Data 01-31-2019'!$B$68</definedName>
    <definedName name="QB_ROW_65210" localSheetId="29" hidden="1">'Raw Data 01-31-2020'!$B$68</definedName>
    <definedName name="QB_ROW_65210" localSheetId="25" hidden="1">'Raw Data 04-30-2019'!$B$68</definedName>
    <definedName name="QB_ROW_65210" localSheetId="30" hidden="1">'Raw Data 04-30-2020'!$B$68</definedName>
    <definedName name="QB_ROW_65210" localSheetId="26" hidden="1">'Raw Data 07-31-2019'!$B$68</definedName>
    <definedName name="QB_ROW_65210" localSheetId="31" hidden="1">'Raw Data 07-31-2020'!$B$68</definedName>
    <definedName name="QB_ROW_65210" localSheetId="27" hidden="1">'Raw Data 10-31-2019'!$B$68</definedName>
    <definedName name="QB_ROW_65210" localSheetId="28" hidden="1">'Raw Data 10-31-2020'!$B$68</definedName>
    <definedName name="QB_ROW_66210" localSheetId="12" hidden="1">'Detail P&amp;L Analytic'!$B$176</definedName>
    <definedName name="QB_ROW_66210" localSheetId="14" hidden="1">'PY TB-18'!$B$186</definedName>
    <definedName name="QB_ROW_66210" localSheetId="17" hidden="1">'Q1 TB-19'!$B$186</definedName>
    <definedName name="QB_ROW_66210" localSheetId="20" hidden="1">'Q1 TB-20'!$B$186</definedName>
    <definedName name="QB_ROW_66210" localSheetId="18" hidden="1">'Q2 TB-19'!$B$186</definedName>
    <definedName name="QB_ROW_66210" localSheetId="21" hidden="1">'Q2 TB-20'!$B$186</definedName>
    <definedName name="QB_ROW_66210" localSheetId="19" hidden="1">'Q3 TB-19'!$B$186</definedName>
    <definedName name="QB_ROW_66210" localSheetId="22" hidden="1">'Q3 TB-20'!$B$186</definedName>
    <definedName name="QB_ROW_66210" localSheetId="15" hidden="1">'Q4 TB-19'!$B$186</definedName>
    <definedName name="QB_ROW_66210" localSheetId="16" hidden="1">'Q4 TB-20'!$B$186</definedName>
    <definedName name="QB_ROW_66210" localSheetId="24" hidden="1">'Raw Data 01-31-2019'!$B$180</definedName>
    <definedName name="QB_ROW_66210" localSheetId="29" hidden="1">'Raw Data 01-31-2020'!$B$180</definedName>
    <definedName name="QB_ROW_66210" localSheetId="25" hidden="1">'Raw Data 04-30-2019'!$B$180</definedName>
    <definedName name="QB_ROW_66210" localSheetId="30" hidden="1">'Raw Data 04-30-2020'!$B$180</definedName>
    <definedName name="QB_ROW_66210" localSheetId="26" hidden="1">'Raw Data 07-31-2019'!$B$180</definedName>
    <definedName name="QB_ROW_66210" localSheetId="31" hidden="1">'Raw Data 07-31-2020'!$B$180</definedName>
    <definedName name="QB_ROW_66210" localSheetId="27" hidden="1">'Raw Data 10-31-2019'!$B$181</definedName>
    <definedName name="QB_ROW_66210" localSheetId="28" hidden="1">'Raw Data 10-31-2020'!$B$182</definedName>
    <definedName name="QB_ROW_67210" localSheetId="12" hidden="1">'Detail P&amp;L Analytic'!$B$6</definedName>
    <definedName name="QB_ROW_67210" localSheetId="14" hidden="1">'PY TB-18'!$B$9</definedName>
    <definedName name="QB_ROW_67210" localSheetId="17" hidden="1">'Q1 TB-19'!$B$9</definedName>
    <definedName name="QB_ROW_67210" localSheetId="20" hidden="1">'Q1 TB-20'!$B$9</definedName>
    <definedName name="QB_ROW_67210" localSheetId="18" hidden="1">'Q2 TB-19'!$B$9</definedName>
    <definedName name="QB_ROW_67210" localSheetId="21" hidden="1">'Q2 TB-20'!$B$9</definedName>
    <definedName name="QB_ROW_67210" localSheetId="19" hidden="1">'Q3 TB-19'!$B$9</definedName>
    <definedName name="QB_ROW_67210" localSheetId="22" hidden="1">'Q3 TB-20'!$B$9</definedName>
    <definedName name="QB_ROW_67210" localSheetId="15" hidden="1">'Q4 TB-19'!$B$9</definedName>
    <definedName name="QB_ROW_67210" localSheetId="16" hidden="1">'Q4 TB-20'!$B$9</definedName>
    <definedName name="QB_ROW_67210" localSheetId="24" hidden="1">'Raw Data 01-31-2019'!$B$9</definedName>
    <definedName name="QB_ROW_67210" localSheetId="29" hidden="1">'Raw Data 01-31-2020'!$B$9</definedName>
    <definedName name="QB_ROW_67210" localSheetId="25" hidden="1">'Raw Data 04-30-2019'!$B$9</definedName>
    <definedName name="QB_ROW_67210" localSheetId="30" hidden="1">'Raw Data 04-30-2020'!$B$9</definedName>
    <definedName name="QB_ROW_67210" localSheetId="26" hidden="1">'Raw Data 07-31-2019'!$B$9</definedName>
    <definedName name="QB_ROW_67210" localSheetId="31" hidden="1">'Raw Data 07-31-2020'!$B$9</definedName>
    <definedName name="QB_ROW_67210" localSheetId="27" hidden="1">'Raw Data 10-31-2019'!$B$9</definedName>
    <definedName name="QB_ROW_67210" localSheetId="28" hidden="1">'Raw Data 10-31-2020'!$B$9</definedName>
    <definedName name="QB_ROW_68210" localSheetId="12" hidden="1">'Detail P&amp;L Analytic'!$B$7</definedName>
    <definedName name="QB_ROW_68210" localSheetId="14" hidden="1">'PY TB-18'!$B$10</definedName>
    <definedName name="QB_ROW_68210" localSheetId="17" hidden="1">'Q1 TB-19'!$B$10</definedName>
    <definedName name="QB_ROW_68210" localSheetId="20" hidden="1">'Q1 TB-20'!$B$10</definedName>
    <definedName name="QB_ROW_68210" localSheetId="18" hidden="1">'Q2 TB-19'!$B$10</definedName>
    <definedName name="QB_ROW_68210" localSheetId="21" hidden="1">'Q2 TB-20'!$B$10</definedName>
    <definedName name="QB_ROW_68210" localSheetId="19" hidden="1">'Q3 TB-19'!$B$10</definedName>
    <definedName name="QB_ROW_68210" localSheetId="22" hidden="1">'Q3 TB-20'!$B$10</definedName>
    <definedName name="QB_ROW_68210" localSheetId="15" hidden="1">'Q4 TB-19'!$B$10</definedName>
    <definedName name="QB_ROW_68210" localSheetId="16" hidden="1">'Q4 TB-20'!$B$10</definedName>
    <definedName name="QB_ROW_68210" localSheetId="24" hidden="1">'Raw Data 01-31-2019'!$B$10</definedName>
    <definedName name="QB_ROW_68210" localSheetId="29" hidden="1">'Raw Data 01-31-2020'!$B$10</definedName>
    <definedName name="QB_ROW_68210" localSheetId="25" hidden="1">'Raw Data 04-30-2019'!$B$10</definedName>
    <definedName name="QB_ROW_68210" localSheetId="30" hidden="1">'Raw Data 04-30-2020'!$B$10</definedName>
    <definedName name="QB_ROW_68210" localSheetId="26" hidden="1">'Raw Data 07-31-2019'!$B$10</definedName>
    <definedName name="QB_ROW_68210" localSheetId="31" hidden="1">'Raw Data 07-31-2020'!$B$10</definedName>
    <definedName name="QB_ROW_68210" localSheetId="27" hidden="1">'Raw Data 10-31-2019'!$B$10</definedName>
    <definedName name="QB_ROW_68210" localSheetId="28" hidden="1">'Raw Data 10-31-2020'!$B$10</definedName>
    <definedName name="QB_ROW_69210" localSheetId="12" hidden="1">'Detail P&amp;L Analytic'!$B$9</definedName>
    <definedName name="QB_ROW_69210" localSheetId="14" hidden="1">'PY TB-18'!$B$12</definedName>
    <definedName name="QB_ROW_69210" localSheetId="17" hidden="1">'Q1 TB-19'!$B$12</definedName>
    <definedName name="QB_ROW_69210" localSheetId="20" hidden="1">'Q1 TB-20'!$B$12</definedName>
    <definedName name="QB_ROW_69210" localSheetId="18" hidden="1">'Q2 TB-19'!$B$12</definedName>
    <definedName name="QB_ROW_69210" localSheetId="21" hidden="1">'Q2 TB-20'!$B$12</definedName>
    <definedName name="QB_ROW_69210" localSheetId="19" hidden="1">'Q3 TB-19'!$B$12</definedName>
    <definedName name="QB_ROW_69210" localSheetId="22" hidden="1">'Q3 TB-20'!$B$12</definedName>
    <definedName name="QB_ROW_69210" localSheetId="15" hidden="1">'Q4 TB-19'!$B$12</definedName>
    <definedName name="QB_ROW_69210" localSheetId="16" hidden="1">'Q4 TB-20'!$B$12</definedName>
    <definedName name="QB_ROW_69210" localSheetId="24" hidden="1">'Raw Data 01-31-2019'!$B$12</definedName>
    <definedName name="QB_ROW_69210" localSheetId="29" hidden="1">'Raw Data 01-31-2020'!$B$12</definedName>
    <definedName name="QB_ROW_69210" localSheetId="25" hidden="1">'Raw Data 04-30-2019'!$B$12</definedName>
    <definedName name="QB_ROW_69210" localSheetId="30" hidden="1">'Raw Data 04-30-2020'!$B$12</definedName>
    <definedName name="QB_ROW_69210" localSheetId="26" hidden="1">'Raw Data 07-31-2019'!$B$12</definedName>
    <definedName name="QB_ROW_69210" localSheetId="31" hidden="1">'Raw Data 07-31-2020'!$B$12</definedName>
    <definedName name="QB_ROW_69210" localSheetId="27" hidden="1">'Raw Data 10-31-2019'!$B$12</definedName>
    <definedName name="QB_ROW_69210" localSheetId="28" hidden="1">'Raw Data 10-31-2020'!$B$12</definedName>
    <definedName name="QB_ROW_70210" localSheetId="12" hidden="1">'Detail P&amp;L Analytic'!$B$8</definedName>
    <definedName name="QB_ROW_70210" localSheetId="14" hidden="1">'PY TB-18'!$B$11</definedName>
    <definedName name="QB_ROW_70210" localSheetId="17" hidden="1">'Q1 TB-19'!$B$11</definedName>
    <definedName name="QB_ROW_70210" localSheetId="20" hidden="1">'Q1 TB-20'!$B$11</definedName>
    <definedName name="QB_ROW_70210" localSheetId="18" hidden="1">'Q2 TB-19'!$B$11</definedName>
    <definedName name="QB_ROW_70210" localSheetId="21" hidden="1">'Q2 TB-20'!$B$11</definedName>
    <definedName name="QB_ROW_70210" localSheetId="19" hidden="1">'Q3 TB-19'!$B$11</definedName>
    <definedName name="QB_ROW_70210" localSheetId="22" hidden="1">'Q3 TB-20'!$B$11</definedName>
    <definedName name="QB_ROW_70210" localSheetId="15" hidden="1">'Q4 TB-19'!$B$11</definedName>
    <definedName name="QB_ROW_70210" localSheetId="16" hidden="1">'Q4 TB-20'!$B$11</definedName>
    <definedName name="QB_ROW_70210" localSheetId="24" hidden="1">'Raw Data 01-31-2019'!$B$11</definedName>
    <definedName name="QB_ROW_70210" localSheetId="29" hidden="1">'Raw Data 01-31-2020'!$B$11</definedName>
    <definedName name="QB_ROW_70210" localSheetId="25" hidden="1">'Raw Data 04-30-2019'!$B$11</definedName>
    <definedName name="QB_ROW_70210" localSheetId="30" hidden="1">'Raw Data 04-30-2020'!$B$11</definedName>
    <definedName name="QB_ROW_70210" localSheetId="26" hidden="1">'Raw Data 07-31-2019'!$B$11</definedName>
    <definedName name="QB_ROW_70210" localSheetId="31" hidden="1">'Raw Data 07-31-2020'!$B$11</definedName>
    <definedName name="QB_ROW_70210" localSheetId="27" hidden="1">'Raw Data 10-31-2019'!$B$11</definedName>
    <definedName name="QB_ROW_70210" localSheetId="28" hidden="1">'Raw Data 10-31-2020'!$B$11</definedName>
    <definedName name="QB_ROW_71210" localSheetId="12" hidden="1">'Detail P&amp;L Analytic'!$B$15</definedName>
    <definedName name="QB_ROW_71210" localSheetId="14" hidden="1">'PY TB-18'!$B$18</definedName>
    <definedName name="QB_ROW_71210" localSheetId="17" hidden="1">'Q1 TB-19'!$B$18</definedName>
    <definedName name="QB_ROW_71210" localSheetId="20" hidden="1">'Q1 TB-20'!$B$18</definedName>
    <definedName name="QB_ROW_71210" localSheetId="18" hidden="1">'Q2 TB-19'!$B$18</definedName>
    <definedName name="QB_ROW_71210" localSheetId="21" hidden="1">'Q2 TB-20'!$B$18</definedName>
    <definedName name="QB_ROW_71210" localSheetId="19" hidden="1">'Q3 TB-19'!$B$18</definedName>
    <definedName name="QB_ROW_71210" localSheetId="22" hidden="1">'Q3 TB-20'!$B$18</definedName>
    <definedName name="QB_ROW_71210" localSheetId="15" hidden="1">'Q4 TB-19'!$B$18</definedName>
    <definedName name="QB_ROW_71210" localSheetId="16" hidden="1">'Q4 TB-20'!$B$18</definedName>
    <definedName name="QB_ROW_71210" localSheetId="24" hidden="1">'Raw Data 01-31-2019'!$B$18</definedName>
    <definedName name="QB_ROW_71210" localSheetId="29" hidden="1">'Raw Data 01-31-2020'!$B$18</definedName>
    <definedName name="QB_ROW_71210" localSheetId="25" hidden="1">'Raw Data 04-30-2019'!$B$18</definedName>
    <definedName name="QB_ROW_71210" localSheetId="30" hidden="1">'Raw Data 04-30-2020'!$B$18</definedName>
    <definedName name="QB_ROW_71210" localSheetId="26" hidden="1">'Raw Data 07-31-2019'!$B$18</definedName>
    <definedName name="QB_ROW_71210" localSheetId="31" hidden="1">'Raw Data 07-31-2020'!$B$18</definedName>
    <definedName name="QB_ROW_71210" localSheetId="27" hidden="1">'Raw Data 10-31-2019'!$B$18</definedName>
    <definedName name="QB_ROW_71210" localSheetId="28" hidden="1">'Raw Data 10-31-2020'!$B$18</definedName>
    <definedName name="QB_ROW_7210" localSheetId="12" hidden="1">'Detail P&amp;L Analytic'!$B$152</definedName>
    <definedName name="QB_ROW_7210" localSheetId="14" hidden="1">'PY TB-18'!$B$162</definedName>
    <definedName name="QB_ROW_7210" localSheetId="17" hidden="1">'Q1 TB-19'!$B$162</definedName>
    <definedName name="QB_ROW_7210" localSheetId="20" hidden="1">'Q1 TB-20'!$B$162</definedName>
    <definedName name="QB_ROW_7210" localSheetId="18" hidden="1">'Q2 TB-19'!$B$162</definedName>
    <definedName name="QB_ROW_7210" localSheetId="21" hidden="1">'Q2 TB-20'!$B$162</definedName>
    <definedName name="QB_ROW_7210" localSheetId="19" hidden="1">'Q3 TB-19'!$B$162</definedName>
    <definedName name="QB_ROW_7210" localSheetId="22" hidden="1">'Q3 TB-20'!$B$162</definedName>
    <definedName name="QB_ROW_7210" localSheetId="15" hidden="1">'Q4 TB-19'!$B$162</definedName>
    <definedName name="QB_ROW_7210" localSheetId="16" hidden="1">'Q4 TB-20'!$B$162</definedName>
    <definedName name="QB_ROW_7210" localSheetId="24" hidden="1">'Raw Data 01-31-2019'!$B$156</definedName>
    <definedName name="QB_ROW_7210" localSheetId="29" hidden="1">'Raw Data 01-31-2020'!$B$156</definedName>
    <definedName name="QB_ROW_7210" localSheetId="25" hidden="1">'Raw Data 04-30-2019'!$B$156</definedName>
    <definedName name="QB_ROW_7210" localSheetId="30" hidden="1">'Raw Data 04-30-2020'!$B$156</definedName>
    <definedName name="QB_ROW_7210" localSheetId="26" hidden="1">'Raw Data 07-31-2019'!$B$156</definedName>
    <definedName name="QB_ROW_7210" localSheetId="31" hidden="1">'Raw Data 07-31-2020'!$B$156</definedName>
    <definedName name="QB_ROW_7210" localSheetId="27" hidden="1">'Raw Data 10-31-2019'!$B$157</definedName>
    <definedName name="QB_ROW_7210" localSheetId="28" hidden="1">'Raw Data 10-31-2020'!$B$158</definedName>
    <definedName name="QB_ROW_72210" localSheetId="12" hidden="1">'Detail P&amp;L Analytic'!$B$17</definedName>
    <definedName name="QB_ROW_72210" localSheetId="14" hidden="1">'PY TB-18'!$B$20</definedName>
    <definedName name="QB_ROW_72210" localSheetId="17" hidden="1">'Q1 TB-19'!$B$20</definedName>
    <definedName name="QB_ROW_72210" localSheetId="20" hidden="1">'Q1 TB-20'!$B$20</definedName>
    <definedName name="QB_ROW_72210" localSheetId="18" hidden="1">'Q2 TB-19'!$B$20</definedName>
    <definedName name="QB_ROW_72210" localSheetId="21" hidden="1">'Q2 TB-20'!$B$20</definedName>
    <definedName name="QB_ROW_72210" localSheetId="19" hidden="1">'Q3 TB-19'!$B$20</definedName>
    <definedName name="QB_ROW_72210" localSheetId="22" hidden="1">'Q3 TB-20'!$B$20</definedName>
    <definedName name="QB_ROW_72210" localSheetId="15" hidden="1">'Q4 TB-19'!$B$20</definedName>
    <definedName name="QB_ROW_72210" localSheetId="16" hidden="1">'Q4 TB-20'!$B$20</definedName>
    <definedName name="QB_ROW_72210" localSheetId="24" hidden="1">'Raw Data 01-31-2019'!$B$20</definedName>
    <definedName name="QB_ROW_72210" localSheetId="29" hidden="1">'Raw Data 01-31-2020'!$B$20</definedName>
    <definedName name="QB_ROW_72210" localSheetId="25" hidden="1">'Raw Data 04-30-2019'!$B$20</definedName>
    <definedName name="QB_ROW_72210" localSheetId="30" hidden="1">'Raw Data 04-30-2020'!$B$20</definedName>
    <definedName name="QB_ROW_72210" localSheetId="26" hidden="1">'Raw Data 07-31-2019'!$B$20</definedName>
    <definedName name="QB_ROW_72210" localSheetId="31" hidden="1">'Raw Data 07-31-2020'!$B$20</definedName>
    <definedName name="QB_ROW_72210" localSheetId="27" hidden="1">'Raw Data 10-31-2019'!$B$20</definedName>
    <definedName name="QB_ROW_72210" localSheetId="28" hidden="1">'Raw Data 10-31-2020'!$B$20</definedName>
    <definedName name="QB_ROW_73210" localSheetId="12" hidden="1">'Detail P&amp;L Analytic'!$B$20</definedName>
    <definedName name="QB_ROW_73210" localSheetId="14" hidden="1">'PY TB-18'!$B$23</definedName>
    <definedName name="QB_ROW_73210" localSheetId="17" hidden="1">'Q1 TB-19'!$B$23</definedName>
    <definedName name="QB_ROW_73210" localSheetId="20" hidden="1">'Q1 TB-20'!$B$23</definedName>
    <definedName name="QB_ROW_73210" localSheetId="18" hidden="1">'Q2 TB-19'!$B$23</definedName>
    <definedName name="QB_ROW_73210" localSheetId="21" hidden="1">'Q2 TB-20'!$B$23</definedName>
    <definedName name="QB_ROW_73210" localSheetId="19" hidden="1">'Q3 TB-19'!$B$23</definedName>
    <definedName name="QB_ROW_73210" localSheetId="22" hidden="1">'Q3 TB-20'!$B$23</definedName>
    <definedName name="QB_ROW_73210" localSheetId="15" hidden="1">'Q4 TB-19'!$B$23</definedName>
    <definedName name="QB_ROW_73210" localSheetId="16" hidden="1">'Q4 TB-20'!$B$23</definedName>
    <definedName name="QB_ROW_73210" localSheetId="24" hidden="1">'Raw Data 01-31-2019'!$B$23</definedName>
    <definedName name="QB_ROW_73210" localSheetId="29" hidden="1">'Raw Data 01-31-2020'!$B$23</definedName>
    <definedName name="QB_ROW_73210" localSheetId="25" hidden="1">'Raw Data 04-30-2019'!$B$23</definedName>
    <definedName name="QB_ROW_73210" localSheetId="30" hidden="1">'Raw Data 04-30-2020'!$B$23</definedName>
    <definedName name="QB_ROW_73210" localSheetId="26" hidden="1">'Raw Data 07-31-2019'!$B$23</definedName>
    <definedName name="QB_ROW_73210" localSheetId="31" hidden="1">'Raw Data 07-31-2020'!$B$23</definedName>
    <definedName name="QB_ROW_73210" localSheetId="27" hidden="1">'Raw Data 10-31-2019'!$B$23</definedName>
    <definedName name="QB_ROW_73210" localSheetId="28" hidden="1">'Raw Data 10-31-2020'!$B$23</definedName>
    <definedName name="QB_ROW_74210" localSheetId="12" hidden="1">'Detail P&amp;L Analytic'!$B$19</definedName>
    <definedName name="QB_ROW_74210" localSheetId="14" hidden="1">'PY TB-18'!$B$22</definedName>
    <definedName name="QB_ROW_74210" localSheetId="17" hidden="1">'Q1 TB-19'!$B$22</definedName>
    <definedName name="QB_ROW_74210" localSheetId="20" hidden="1">'Q1 TB-20'!$B$22</definedName>
    <definedName name="QB_ROW_74210" localSheetId="18" hidden="1">'Q2 TB-19'!$B$22</definedName>
    <definedName name="QB_ROW_74210" localSheetId="21" hidden="1">'Q2 TB-20'!$B$22</definedName>
    <definedName name="QB_ROW_74210" localSheetId="19" hidden="1">'Q3 TB-19'!$B$22</definedName>
    <definedName name="QB_ROW_74210" localSheetId="22" hidden="1">'Q3 TB-20'!$B$22</definedName>
    <definedName name="QB_ROW_74210" localSheetId="15" hidden="1">'Q4 TB-19'!$B$22</definedName>
    <definedName name="QB_ROW_74210" localSheetId="16" hidden="1">'Q4 TB-20'!$B$22</definedName>
    <definedName name="QB_ROW_74210" localSheetId="24" hidden="1">'Raw Data 01-31-2019'!$B$22</definedName>
    <definedName name="QB_ROW_74210" localSheetId="29" hidden="1">'Raw Data 01-31-2020'!$B$22</definedName>
    <definedName name="QB_ROW_74210" localSheetId="25" hidden="1">'Raw Data 04-30-2019'!$B$22</definedName>
    <definedName name="QB_ROW_74210" localSheetId="30" hidden="1">'Raw Data 04-30-2020'!$B$22</definedName>
    <definedName name="QB_ROW_74210" localSheetId="26" hidden="1">'Raw Data 07-31-2019'!$B$22</definedName>
    <definedName name="QB_ROW_74210" localSheetId="31" hidden="1">'Raw Data 07-31-2020'!$B$22</definedName>
    <definedName name="QB_ROW_74210" localSheetId="27" hidden="1">'Raw Data 10-31-2019'!$B$22</definedName>
    <definedName name="QB_ROW_74210" localSheetId="28" hidden="1">'Raw Data 10-31-2020'!$B$22</definedName>
    <definedName name="QB_ROW_75210" localSheetId="12" hidden="1">'Detail P&amp;L Analytic'!$B$18</definedName>
    <definedName name="QB_ROW_75210" localSheetId="14" hidden="1">'PY TB-18'!$B$21</definedName>
    <definedName name="QB_ROW_75210" localSheetId="17" hidden="1">'Q1 TB-19'!$B$21</definedName>
    <definedName name="QB_ROW_75210" localSheetId="20" hidden="1">'Q1 TB-20'!$B$21</definedName>
    <definedName name="QB_ROW_75210" localSheetId="18" hidden="1">'Q2 TB-19'!$B$21</definedName>
    <definedName name="QB_ROW_75210" localSheetId="21" hidden="1">'Q2 TB-20'!$B$21</definedName>
    <definedName name="QB_ROW_75210" localSheetId="19" hidden="1">'Q3 TB-19'!$B$21</definedName>
    <definedName name="QB_ROW_75210" localSheetId="22" hidden="1">'Q3 TB-20'!$B$21</definedName>
    <definedName name="QB_ROW_75210" localSheetId="15" hidden="1">'Q4 TB-19'!$B$21</definedName>
    <definedName name="QB_ROW_75210" localSheetId="16" hidden="1">'Q4 TB-20'!$B$21</definedName>
    <definedName name="QB_ROW_75210" localSheetId="24" hidden="1">'Raw Data 01-31-2019'!$B$21</definedName>
    <definedName name="QB_ROW_75210" localSheetId="29" hidden="1">'Raw Data 01-31-2020'!$B$21</definedName>
    <definedName name="QB_ROW_75210" localSheetId="25" hidden="1">'Raw Data 04-30-2019'!$B$21</definedName>
    <definedName name="QB_ROW_75210" localSheetId="30" hidden="1">'Raw Data 04-30-2020'!$B$21</definedName>
    <definedName name="QB_ROW_75210" localSheetId="26" hidden="1">'Raw Data 07-31-2019'!$B$21</definedName>
    <definedName name="QB_ROW_75210" localSheetId="31" hidden="1">'Raw Data 07-31-2020'!$B$21</definedName>
    <definedName name="QB_ROW_75210" localSheetId="27" hidden="1">'Raw Data 10-31-2019'!$B$21</definedName>
    <definedName name="QB_ROW_75210" localSheetId="28" hidden="1">'Raw Data 10-31-2020'!$B$21</definedName>
    <definedName name="QB_ROW_76210" localSheetId="12" hidden="1">'Detail P&amp;L Analytic'!$B$21</definedName>
    <definedName name="QB_ROW_76210" localSheetId="14" hidden="1">'PY TB-18'!$B$24</definedName>
    <definedName name="QB_ROW_76210" localSheetId="17" hidden="1">'Q1 TB-19'!$B$24</definedName>
    <definedName name="QB_ROW_76210" localSheetId="20" hidden="1">'Q1 TB-20'!$B$24</definedName>
    <definedName name="QB_ROW_76210" localSheetId="18" hidden="1">'Q2 TB-19'!$B$24</definedName>
    <definedName name="QB_ROW_76210" localSheetId="21" hidden="1">'Q2 TB-20'!$B$24</definedName>
    <definedName name="QB_ROW_76210" localSheetId="19" hidden="1">'Q3 TB-19'!$B$24</definedName>
    <definedName name="QB_ROW_76210" localSheetId="22" hidden="1">'Q3 TB-20'!$B$24</definedName>
    <definedName name="QB_ROW_76210" localSheetId="15" hidden="1">'Q4 TB-19'!$B$24</definedName>
    <definedName name="QB_ROW_76210" localSheetId="16" hidden="1">'Q4 TB-20'!$B$24</definedName>
    <definedName name="QB_ROW_76210" localSheetId="24" hidden="1">'Raw Data 01-31-2019'!$B$24</definedName>
    <definedName name="QB_ROW_76210" localSheetId="29" hidden="1">'Raw Data 01-31-2020'!$B$24</definedName>
    <definedName name="QB_ROW_76210" localSheetId="25" hidden="1">'Raw Data 04-30-2019'!$B$24</definedName>
    <definedName name="QB_ROW_76210" localSheetId="30" hidden="1">'Raw Data 04-30-2020'!$B$24</definedName>
    <definedName name="QB_ROW_76210" localSheetId="26" hidden="1">'Raw Data 07-31-2019'!$B$24</definedName>
    <definedName name="QB_ROW_76210" localSheetId="31" hidden="1">'Raw Data 07-31-2020'!$B$24</definedName>
    <definedName name="QB_ROW_76210" localSheetId="27" hidden="1">'Raw Data 10-31-2019'!$B$24</definedName>
    <definedName name="QB_ROW_76210" localSheetId="28" hidden="1">'Raw Data 10-31-2020'!$B$24</definedName>
    <definedName name="QB_ROW_77210" localSheetId="12" hidden="1">'Detail P&amp;L Analytic'!$B$41</definedName>
    <definedName name="QB_ROW_77210" localSheetId="14" hidden="1">'PY TB-18'!$B$46</definedName>
    <definedName name="QB_ROW_77210" localSheetId="17" hidden="1">'Q1 TB-19'!$B$46</definedName>
    <definedName name="QB_ROW_77210" localSheetId="20" hidden="1">'Q1 TB-20'!$B$46</definedName>
    <definedName name="QB_ROW_77210" localSheetId="18" hidden="1">'Q2 TB-19'!$B$46</definedName>
    <definedName name="QB_ROW_77210" localSheetId="21" hidden="1">'Q2 TB-20'!$B$46</definedName>
    <definedName name="QB_ROW_77210" localSheetId="19" hidden="1">'Q3 TB-19'!$B$46</definedName>
    <definedName name="QB_ROW_77210" localSheetId="22" hidden="1">'Q3 TB-20'!$B$46</definedName>
    <definedName name="QB_ROW_77210" localSheetId="15" hidden="1">'Q4 TB-19'!$B$46</definedName>
    <definedName name="QB_ROW_77210" localSheetId="16" hidden="1">'Q4 TB-20'!$B$46</definedName>
    <definedName name="QB_ROW_77210" localSheetId="24" hidden="1">'Raw Data 01-31-2019'!$B$44</definedName>
    <definedName name="QB_ROW_77210" localSheetId="29" hidden="1">'Raw Data 01-31-2020'!$B$44</definedName>
    <definedName name="QB_ROW_77210" localSheetId="25" hidden="1">'Raw Data 04-30-2019'!$B$44</definedName>
    <definedName name="QB_ROW_77210" localSheetId="30" hidden="1">'Raw Data 04-30-2020'!$B$44</definedName>
    <definedName name="QB_ROW_77210" localSheetId="26" hidden="1">'Raw Data 07-31-2019'!$B$44</definedName>
    <definedName name="QB_ROW_77210" localSheetId="31" hidden="1">'Raw Data 07-31-2020'!$B$44</definedName>
    <definedName name="QB_ROW_77210" localSheetId="27" hidden="1">'Raw Data 10-31-2019'!$B$44</definedName>
    <definedName name="QB_ROW_77210" localSheetId="28" hidden="1">'Raw Data 10-31-2020'!$B$44</definedName>
    <definedName name="QB_ROW_78210" localSheetId="12" hidden="1">'Detail P&amp;L Analytic'!$B$43</definedName>
    <definedName name="QB_ROW_78210" localSheetId="14" hidden="1">'PY TB-18'!$B$48</definedName>
    <definedName name="QB_ROW_78210" localSheetId="17" hidden="1">'Q1 TB-19'!$B$48</definedName>
    <definedName name="QB_ROW_78210" localSheetId="20" hidden="1">'Q1 TB-20'!$B$48</definedName>
    <definedName name="QB_ROW_78210" localSheetId="18" hidden="1">'Q2 TB-19'!$B$48</definedName>
    <definedName name="QB_ROW_78210" localSheetId="21" hidden="1">'Q2 TB-20'!$B$48</definedName>
    <definedName name="QB_ROW_78210" localSheetId="19" hidden="1">'Q3 TB-19'!$B$48</definedName>
    <definedName name="QB_ROW_78210" localSheetId="22" hidden="1">'Q3 TB-20'!$B$48</definedName>
    <definedName name="QB_ROW_78210" localSheetId="15" hidden="1">'Q4 TB-19'!$B$48</definedName>
    <definedName name="QB_ROW_78210" localSheetId="16" hidden="1">'Q4 TB-20'!$B$48</definedName>
    <definedName name="QB_ROW_78210" localSheetId="24" hidden="1">'Raw Data 01-31-2019'!$B$46</definedName>
    <definedName name="QB_ROW_78210" localSheetId="29" hidden="1">'Raw Data 01-31-2020'!$B$46</definedName>
    <definedName name="QB_ROW_78210" localSheetId="25" hidden="1">'Raw Data 04-30-2019'!$B$46</definedName>
    <definedName name="QB_ROW_78210" localSheetId="30" hidden="1">'Raw Data 04-30-2020'!$B$46</definedName>
    <definedName name="QB_ROW_78210" localSheetId="26" hidden="1">'Raw Data 07-31-2019'!$B$46</definedName>
    <definedName name="QB_ROW_78210" localSheetId="31" hidden="1">'Raw Data 07-31-2020'!$B$46</definedName>
    <definedName name="QB_ROW_78210" localSheetId="27" hidden="1">'Raw Data 10-31-2019'!$B$46</definedName>
    <definedName name="QB_ROW_78210" localSheetId="28" hidden="1">'Raw Data 10-31-2020'!$B$46</definedName>
    <definedName name="QB_ROW_79210" localSheetId="12" hidden="1">'Detail P&amp;L Analytic'!$B$42</definedName>
    <definedName name="QB_ROW_79210" localSheetId="14" hidden="1">'PY TB-18'!$B$47</definedName>
    <definedName name="QB_ROW_79210" localSheetId="17" hidden="1">'Q1 TB-19'!$B$47</definedName>
    <definedName name="QB_ROW_79210" localSheetId="20" hidden="1">'Q1 TB-20'!$B$47</definedName>
    <definedName name="QB_ROW_79210" localSheetId="18" hidden="1">'Q2 TB-19'!$B$47</definedName>
    <definedName name="QB_ROW_79210" localSheetId="21" hidden="1">'Q2 TB-20'!$B$47</definedName>
    <definedName name="QB_ROW_79210" localSheetId="19" hidden="1">'Q3 TB-19'!$B$47</definedName>
    <definedName name="QB_ROW_79210" localSheetId="22" hidden="1">'Q3 TB-20'!$B$47</definedName>
    <definedName name="QB_ROW_79210" localSheetId="15" hidden="1">'Q4 TB-19'!$B$47</definedName>
    <definedName name="QB_ROW_79210" localSheetId="16" hidden="1">'Q4 TB-20'!$B$47</definedName>
    <definedName name="QB_ROW_79210" localSheetId="24" hidden="1">'Raw Data 01-31-2019'!$B$45</definedName>
    <definedName name="QB_ROW_79210" localSheetId="29" hidden="1">'Raw Data 01-31-2020'!$B$45</definedName>
    <definedName name="QB_ROW_79210" localSheetId="25" hidden="1">'Raw Data 04-30-2019'!$B$45</definedName>
    <definedName name="QB_ROW_79210" localSheetId="30" hidden="1">'Raw Data 04-30-2020'!$B$45</definedName>
    <definedName name="QB_ROW_79210" localSheetId="26" hidden="1">'Raw Data 07-31-2019'!$B$45</definedName>
    <definedName name="QB_ROW_79210" localSheetId="31" hidden="1">'Raw Data 07-31-2020'!$B$45</definedName>
    <definedName name="QB_ROW_79210" localSheetId="27" hidden="1">'Raw Data 10-31-2019'!$B$45</definedName>
    <definedName name="QB_ROW_79210" localSheetId="28" hidden="1">'Raw Data 10-31-2020'!$B$45</definedName>
    <definedName name="QB_ROW_80210" localSheetId="12" hidden="1">'Detail P&amp;L Analytic'!$B$44</definedName>
    <definedName name="QB_ROW_80210" localSheetId="14" hidden="1">'PY TB-18'!$B$49</definedName>
    <definedName name="QB_ROW_80210" localSheetId="17" hidden="1">'Q1 TB-19'!$B$49</definedName>
    <definedName name="QB_ROW_80210" localSheetId="20" hidden="1">'Q1 TB-20'!$B$49</definedName>
    <definedName name="QB_ROW_80210" localSheetId="18" hidden="1">'Q2 TB-19'!$B$49</definedName>
    <definedName name="QB_ROW_80210" localSheetId="21" hidden="1">'Q2 TB-20'!$B$49</definedName>
    <definedName name="QB_ROW_80210" localSheetId="19" hidden="1">'Q3 TB-19'!$B$49</definedName>
    <definedName name="QB_ROW_80210" localSheetId="22" hidden="1">'Q3 TB-20'!$B$49</definedName>
    <definedName name="QB_ROW_80210" localSheetId="15" hidden="1">'Q4 TB-19'!$B$49</definedName>
    <definedName name="QB_ROW_80210" localSheetId="16" hidden="1">'Q4 TB-20'!$B$49</definedName>
    <definedName name="QB_ROW_80210" localSheetId="24" hidden="1">'Raw Data 01-31-2019'!$B$47</definedName>
    <definedName name="QB_ROW_80210" localSheetId="29" hidden="1">'Raw Data 01-31-2020'!$B$47</definedName>
    <definedName name="QB_ROW_80210" localSheetId="25" hidden="1">'Raw Data 04-30-2019'!$B$47</definedName>
    <definedName name="QB_ROW_80210" localSheetId="30" hidden="1">'Raw Data 04-30-2020'!$B$47</definedName>
    <definedName name="QB_ROW_80210" localSheetId="26" hidden="1">'Raw Data 07-31-2019'!$B$47</definedName>
    <definedName name="QB_ROW_80210" localSheetId="31" hidden="1">'Raw Data 07-31-2020'!$B$47</definedName>
    <definedName name="QB_ROW_80210" localSheetId="27" hidden="1">'Raw Data 10-31-2019'!$B$47</definedName>
    <definedName name="QB_ROW_80210" localSheetId="28" hidden="1">'Raw Data 10-31-2020'!$B$47</definedName>
    <definedName name="QB_ROW_81210" localSheetId="12" hidden="1">'Detail P&amp;L Analytic'!$B$32</definedName>
    <definedName name="QB_ROW_81210" localSheetId="14" hidden="1">'PY TB-18'!$B$36</definedName>
    <definedName name="QB_ROW_81210" localSheetId="17" hidden="1">'Q1 TB-19'!$B$36</definedName>
    <definedName name="QB_ROW_81210" localSheetId="20" hidden="1">'Q1 TB-20'!$B$36</definedName>
    <definedName name="QB_ROW_81210" localSheetId="18" hidden="1">'Q2 TB-19'!$B$36</definedName>
    <definedName name="QB_ROW_81210" localSheetId="21" hidden="1">'Q2 TB-20'!$B$36</definedName>
    <definedName name="QB_ROW_81210" localSheetId="19" hidden="1">'Q3 TB-19'!$B$35</definedName>
    <definedName name="QB_ROW_81210" localSheetId="22" hidden="1">'Q3 TB-20'!$B$35</definedName>
    <definedName name="QB_ROW_81210" localSheetId="15" hidden="1">'Q4 TB-19'!$B$36</definedName>
    <definedName name="QB_ROW_81210" localSheetId="16" hidden="1">'Q4 TB-20'!$B$36</definedName>
    <definedName name="QB_ROW_81210" localSheetId="24" hidden="1">'Raw Data 01-31-2019'!$B$35</definedName>
    <definedName name="QB_ROW_81210" localSheetId="29" hidden="1">'Raw Data 01-31-2020'!$B$35</definedName>
    <definedName name="QB_ROW_81210" localSheetId="25" hidden="1">'Raw Data 04-30-2019'!$B$35</definedName>
    <definedName name="QB_ROW_81210" localSheetId="30" hidden="1">'Raw Data 04-30-2020'!$B$35</definedName>
    <definedName name="QB_ROW_81210" localSheetId="26" hidden="1">'Raw Data 07-31-2019'!$B$35</definedName>
    <definedName name="QB_ROW_81210" localSheetId="31" hidden="1">'Raw Data 07-31-2020'!$B$35</definedName>
    <definedName name="QB_ROW_81210" localSheetId="27" hidden="1">'Raw Data 10-31-2019'!$B$35</definedName>
    <definedName name="QB_ROW_81210" localSheetId="28" hidden="1">'Raw Data 10-31-2020'!$B$35</definedName>
    <definedName name="QB_ROW_82210" localSheetId="12" hidden="1">'Detail P&amp;L Analytic'!$B$34</definedName>
    <definedName name="QB_ROW_82210" localSheetId="14" hidden="1">'PY TB-18'!$B$38</definedName>
    <definedName name="QB_ROW_82210" localSheetId="17" hidden="1">'Q1 TB-19'!$B$38</definedName>
    <definedName name="QB_ROW_82210" localSheetId="20" hidden="1">'Q1 TB-20'!$B$38</definedName>
    <definedName name="QB_ROW_82210" localSheetId="18" hidden="1">'Q2 TB-19'!$B$38</definedName>
    <definedName name="QB_ROW_82210" localSheetId="21" hidden="1">'Q2 TB-20'!$B$38</definedName>
    <definedName name="QB_ROW_82210" localSheetId="19" hidden="1">'Q3 TB-19'!$B$37</definedName>
    <definedName name="QB_ROW_82210" localSheetId="22" hidden="1">'Q3 TB-20'!$B$37</definedName>
    <definedName name="QB_ROW_82210" localSheetId="15" hidden="1">'Q4 TB-19'!$B$38</definedName>
    <definedName name="QB_ROW_82210" localSheetId="16" hidden="1">'Q4 TB-20'!$B$38</definedName>
    <definedName name="QB_ROW_82210" localSheetId="24" hidden="1">'Raw Data 01-31-2019'!$B$37</definedName>
    <definedName name="QB_ROW_82210" localSheetId="29" hidden="1">'Raw Data 01-31-2020'!$B$37</definedName>
    <definedName name="QB_ROW_82210" localSheetId="25" hidden="1">'Raw Data 04-30-2019'!$B$37</definedName>
    <definedName name="QB_ROW_82210" localSheetId="30" hidden="1">'Raw Data 04-30-2020'!$B$37</definedName>
    <definedName name="QB_ROW_82210" localSheetId="26" hidden="1">'Raw Data 07-31-2019'!$B$37</definedName>
    <definedName name="QB_ROW_82210" localSheetId="31" hidden="1">'Raw Data 07-31-2020'!$B$37</definedName>
    <definedName name="QB_ROW_82210" localSheetId="27" hidden="1">'Raw Data 10-31-2019'!$B$37</definedName>
    <definedName name="QB_ROW_82210" localSheetId="28" hidden="1">'Raw Data 10-31-2020'!$B$37</definedName>
    <definedName name="QB_ROW_83210" localSheetId="12" hidden="1">'Detail P&amp;L Analytic'!$B$33</definedName>
    <definedName name="QB_ROW_83210" localSheetId="14" hidden="1">'PY TB-18'!$B$37</definedName>
    <definedName name="QB_ROW_83210" localSheetId="17" hidden="1">'Q1 TB-19'!$B$37</definedName>
    <definedName name="QB_ROW_83210" localSheetId="20" hidden="1">'Q1 TB-20'!$B$37</definedName>
    <definedName name="QB_ROW_83210" localSheetId="18" hidden="1">'Q2 TB-19'!$B$37</definedName>
    <definedName name="QB_ROW_83210" localSheetId="21" hidden="1">'Q2 TB-20'!$B$37</definedName>
    <definedName name="QB_ROW_83210" localSheetId="19" hidden="1">'Q3 TB-19'!$B$36</definedName>
    <definedName name="QB_ROW_83210" localSheetId="22" hidden="1">'Q3 TB-20'!$B$36</definedName>
    <definedName name="QB_ROW_83210" localSheetId="15" hidden="1">'Q4 TB-19'!$B$37</definedName>
    <definedName name="QB_ROW_83210" localSheetId="16" hidden="1">'Q4 TB-20'!$B$37</definedName>
    <definedName name="QB_ROW_83210" localSheetId="24" hidden="1">'Raw Data 01-31-2019'!$B$36</definedName>
    <definedName name="QB_ROW_83210" localSheetId="29" hidden="1">'Raw Data 01-31-2020'!$B$36</definedName>
    <definedName name="QB_ROW_83210" localSheetId="25" hidden="1">'Raw Data 04-30-2019'!$B$36</definedName>
    <definedName name="QB_ROW_83210" localSheetId="30" hidden="1">'Raw Data 04-30-2020'!$B$36</definedName>
    <definedName name="QB_ROW_83210" localSheetId="26" hidden="1">'Raw Data 07-31-2019'!$B$36</definedName>
    <definedName name="QB_ROW_83210" localSheetId="31" hidden="1">'Raw Data 07-31-2020'!$B$36</definedName>
    <definedName name="QB_ROW_83210" localSheetId="27" hidden="1">'Raw Data 10-31-2019'!$B$36</definedName>
    <definedName name="QB_ROW_83210" localSheetId="28" hidden="1">'Raw Data 10-31-2020'!$B$36</definedName>
    <definedName name="QB_ROW_84210" localSheetId="12" hidden="1">'Detail P&amp;L Analytic'!$B$35</definedName>
    <definedName name="QB_ROW_84210" localSheetId="14" hidden="1">'PY TB-18'!$B$39</definedName>
    <definedName name="QB_ROW_84210" localSheetId="17" hidden="1">'Q1 TB-19'!$B$39</definedName>
    <definedName name="QB_ROW_84210" localSheetId="20" hidden="1">'Q1 TB-20'!$B$39</definedName>
    <definedName name="QB_ROW_84210" localSheetId="18" hidden="1">'Q2 TB-19'!$B$39</definedName>
    <definedName name="QB_ROW_84210" localSheetId="21" hidden="1">'Q2 TB-20'!$B$39</definedName>
    <definedName name="QB_ROW_84210" localSheetId="19" hidden="1">'Q3 TB-19'!$B$38</definedName>
    <definedName name="QB_ROW_84210" localSheetId="22" hidden="1">'Q3 TB-20'!$B$38</definedName>
    <definedName name="QB_ROW_84210" localSheetId="15" hidden="1">'Q4 TB-19'!$B$39</definedName>
    <definedName name="QB_ROW_84210" localSheetId="16" hidden="1">'Q4 TB-20'!$B$39</definedName>
    <definedName name="QB_ROW_84210" localSheetId="24" hidden="1">'Raw Data 01-31-2019'!$B$38</definedName>
    <definedName name="QB_ROW_84210" localSheetId="29" hidden="1">'Raw Data 01-31-2020'!$B$38</definedName>
    <definedName name="QB_ROW_84210" localSheetId="25" hidden="1">'Raw Data 04-30-2019'!$B$38</definedName>
    <definedName name="QB_ROW_84210" localSheetId="30" hidden="1">'Raw Data 04-30-2020'!$B$38</definedName>
    <definedName name="QB_ROW_84210" localSheetId="26" hidden="1">'Raw Data 07-31-2019'!$B$38</definedName>
    <definedName name="QB_ROW_84210" localSheetId="31" hidden="1">'Raw Data 07-31-2020'!$B$38</definedName>
    <definedName name="QB_ROW_84210" localSheetId="27" hidden="1">'Raw Data 10-31-2019'!$B$38</definedName>
    <definedName name="QB_ROW_84210" localSheetId="28" hidden="1">'Raw Data 10-31-2020'!$B$38</definedName>
    <definedName name="QB_ROW_85210" localSheetId="12" hidden="1">'Detail P&amp;L Analytic'!$B$36</definedName>
    <definedName name="QB_ROW_85210" localSheetId="14" hidden="1">'PY TB-18'!$B$40</definedName>
    <definedName name="QB_ROW_85210" localSheetId="17" hidden="1">'Q1 TB-19'!$B$40</definedName>
    <definedName name="QB_ROW_85210" localSheetId="20" hidden="1">'Q1 TB-20'!$B$40</definedName>
    <definedName name="QB_ROW_85210" localSheetId="18" hidden="1">'Q2 TB-19'!$B$40</definedName>
    <definedName name="QB_ROW_85210" localSheetId="21" hidden="1">'Q2 TB-20'!$B$40</definedName>
    <definedName name="QB_ROW_85210" localSheetId="19" hidden="1">'Q3 TB-19'!$B$39</definedName>
    <definedName name="QB_ROW_85210" localSheetId="22" hidden="1">'Q3 TB-20'!$B$39</definedName>
    <definedName name="QB_ROW_85210" localSheetId="15" hidden="1">'Q4 TB-19'!$B$40</definedName>
    <definedName name="QB_ROW_85210" localSheetId="16" hidden="1">'Q4 TB-20'!$B$40</definedName>
    <definedName name="QB_ROW_85210" localSheetId="24" hidden="1">'Raw Data 01-31-2019'!$B$39</definedName>
    <definedName name="QB_ROW_85210" localSheetId="29" hidden="1">'Raw Data 01-31-2020'!$B$39</definedName>
    <definedName name="QB_ROW_85210" localSheetId="25" hidden="1">'Raw Data 04-30-2019'!$B$39</definedName>
    <definedName name="QB_ROW_85210" localSheetId="30" hidden="1">'Raw Data 04-30-2020'!$B$39</definedName>
    <definedName name="QB_ROW_85210" localSheetId="26" hidden="1">'Raw Data 07-31-2019'!$B$39</definedName>
    <definedName name="QB_ROW_85210" localSheetId="31" hidden="1">'Raw Data 07-31-2020'!$B$39</definedName>
    <definedName name="QB_ROW_85210" localSheetId="27" hidden="1">'Raw Data 10-31-2019'!$B$39</definedName>
    <definedName name="QB_ROW_85210" localSheetId="28" hidden="1">'Raw Data 10-31-2020'!$B$39</definedName>
    <definedName name="QB_ROW_86210" localSheetId="12" hidden="1">'Detail P&amp;L Analytic'!$B$38</definedName>
    <definedName name="QB_ROW_86210" localSheetId="14" hidden="1">'PY TB-18'!$B$42</definedName>
    <definedName name="QB_ROW_86210" localSheetId="17" hidden="1">'Q1 TB-19'!$B$42</definedName>
    <definedName name="QB_ROW_86210" localSheetId="20" hidden="1">'Q1 TB-20'!$B$42</definedName>
    <definedName name="QB_ROW_86210" localSheetId="18" hidden="1">'Q2 TB-19'!$B$42</definedName>
    <definedName name="QB_ROW_86210" localSheetId="21" hidden="1">'Q2 TB-20'!$B$42</definedName>
    <definedName name="QB_ROW_86210" localSheetId="19" hidden="1">'Q3 TB-19'!$B$42</definedName>
    <definedName name="QB_ROW_86210" localSheetId="22" hidden="1">'Q3 TB-20'!$B$42</definedName>
    <definedName name="QB_ROW_86210" localSheetId="15" hidden="1">'Q4 TB-19'!$B$42</definedName>
    <definedName name="QB_ROW_86210" localSheetId="16" hidden="1">'Q4 TB-20'!$B$42</definedName>
    <definedName name="QB_ROW_86210" localSheetId="24" hidden="1">'Raw Data 01-31-2019'!$B$41</definedName>
    <definedName name="QB_ROW_86210" localSheetId="29" hidden="1">'Raw Data 01-31-2020'!$B$41</definedName>
    <definedName name="QB_ROW_86210" localSheetId="25" hidden="1">'Raw Data 04-30-2019'!$B$41</definedName>
    <definedName name="QB_ROW_86210" localSheetId="30" hidden="1">'Raw Data 04-30-2020'!$B$41</definedName>
    <definedName name="QB_ROW_86210" localSheetId="26" hidden="1">'Raw Data 07-31-2019'!$B$41</definedName>
    <definedName name="QB_ROW_86210" localSheetId="31" hidden="1">'Raw Data 07-31-2020'!$B$41</definedName>
    <definedName name="QB_ROW_86210" localSheetId="27" hidden="1">'Raw Data 10-31-2019'!$B$41</definedName>
    <definedName name="QB_ROW_86210" localSheetId="28" hidden="1">'Raw Data 10-31-2020'!$B$41</definedName>
    <definedName name="QB_ROW_87210" localSheetId="12" hidden="1">'Detail P&amp;L Analytic'!$B$30</definedName>
    <definedName name="QB_ROW_87210" localSheetId="14" hidden="1">'PY TB-18'!$B$34</definedName>
    <definedName name="QB_ROW_87210" localSheetId="17" hidden="1">'Q1 TB-19'!$B$34</definedName>
    <definedName name="QB_ROW_87210" localSheetId="20" hidden="1">'Q1 TB-20'!$B$34</definedName>
    <definedName name="QB_ROW_87210" localSheetId="18" hidden="1">'Q2 TB-19'!$B$34</definedName>
    <definedName name="QB_ROW_87210" localSheetId="21" hidden="1">'Q2 TB-20'!$B$34</definedName>
    <definedName name="QB_ROW_87210" localSheetId="19" hidden="1">'Q3 TB-19'!$B$33</definedName>
    <definedName name="QB_ROW_87210" localSheetId="22" hidden="1">'Q3 TB-20'!$B$33</definedName>
    <definedName name="QB_ROW_87210" localSheetId="15" hidden="1">'Q4 TB-19'!$B$34</definedName>
    <definedName name="QB_ROW_87210" localSheetId="16" hidden="1">'Q4 TB-20'!$B$34</definedName>
    <definedName name="QB_ROW_87210" localSheetId="24" hidden="1">'Raw Data 01-31-2019'!$B$33</definedName>
    <definedName name="QB_ROW_87210" localSheetId="29" hidden="1">'Raw Data 01-31-2020'!$B$33</definedName>
    <definedName name="QB_ROW_87210" localSheetId="25" hidden="1">'Raw Data 04-30-2019'!$B$33</definedName>
    <definedName name="QB_ROW_87210" localSheetId="30" hidden="1">'Raw Data 04-30-2020'!$B$33</definedName>
    <definedName name="QB_ROW_87210" localSheetId="26" hidden="1">'Raw Data 07-31-2019'!$B$33</definedName>
    <definedName name="QB_ROW_87210" localSheetId="31" hidden="1">'Raw Data 07-31-2020'!$B$33</definedName>
    <definedName name="QB_ROW_87210" localSheetId="27" hidden="1">'Raw Data 10-31-2019'!$B$33</definedName>
    <definedName name="QB_ROW_87210" localSheetId="28" hidden="1">'Raw Data 10-31-2020'!$B$33</definedName>
    <definedName name="QB_ROW_88210" localSheetId="12" hidden="1">'Detail P&amp;L Analytic'!$B$31</definedName>
    <definedName name="QB_ROW_88210" localSheetId="14" hidden="1">'PY TB-18'!$B$35</definedName>
    <definedName name="QB_ROW_88210" localSheetId="17" hidden="1">'Q1 TB-19'!$B$35</definedName>
    <definedName name="QB_ROW_88210" localSheetId="20" hidden="1">'Q1 TB-20'!$B$35</definedName>
    <definedName name="QB_ROW_88210" localSheetId="18" hidden="1">'Q2 TB-19'!$B$35</definedName>
    <definedName name="QB_ROW_88210" localSheetId="21" hidden="1">'Q2 TB-20'!$B$35</definedName>
    <definedName name="QB_ROW_88210" localSheetId="19" hidden="1">'Q3 TB-19'!$B$34</definedName>
    <definedName name="QB_ROW_88210" localSheetId="22" hidden="1">'Q3 TB-20'!$B$34</definedName>
    <definedName name="QB_ROW_88210" localSheetId="15" hidden="1">'Q4 TB-19'!$B$35</definedName>
    <definedName name="QB_ROW_88210" localSheetId="16" hidden="1">'Q4 TB-20'!$B$35</definedName>
    <definedName name="QB_ROW_88210" localSheetId="24" hidden="1">'Raw Data 01-31-2019'!$B$34</definedName>
    <definedName name="QB_ROW_88210" localSheetId="29" hidden="1">'Raw Data 01-31-2020'!$B$34</definedName>
    <definedName name="QB_ROW_88210" localSheetId="25" hidden="1">'Raw Data 04-30-2019'!$B$34</definedName>
    <definedName name="QB_ROW_88210" localSheetId="30" hidden="1">'Raw Data 04-30-2020'!$B$34</definedName>
    <definedName name="QB_ROW_88210" localSheetId="26" hidden="1">'Raw Data 07-31-2019'!$B$34</definedName>
    <definedName name="QB_ROW_88210" localSheetId="31" hidden="1">'Raw Data 07-31-2020'!$B$34</definedName>
    <definedName name="QB_ROW_88210" localSheetId="27" hidden="1">'Raw Data 10-31-2019'!$B$34</definedName>
    <definedName name="QB_ROW_88210" localSheetId="28" hidden="1">'Raw Data 10-31-2020'!$B$34</definedName>
    <definedName name="QB_ROW_89210" localSheetId="12" hidden="1">'Detail P&amp;L Analytic'!$B$28</definedName>
    <definedName name="QB_ROW_89210" localSheetId="14" hidden="1">'PY TB-18'!$B$32</definedName>
    <definedName name="QB_ROW_89210" localSheetId="17" hidden="1">'Q1 TB-19'!$B$32</definedName>
    <definedName name="QB_ROW_89210" localSheetId="20" hidden="1">'Q1 TB-20'!$B$32</definedName>
    <definedName name="QB_ROW_89210" localSheetId="18" hidden="1">'Q2 TB-19'!$B$32</definedName>
    <definedName name="QB_ROW_89210" localSheetId="21" hidden="1">'Q2 TB-20'!$B$32</definedName>
    <definedName name="QB_ROW_89210" localSheetId="19" hidden="1">'Q3 TB-19'!$B$31</definedName>
    <definedName name="QB_ROW_89210" localSheetId="22" hidden="1">'Q3 TB-20'!$B$31</definedName>
    <definedName name="QB_ROW_89210" localSheetId="15" hidden="1">'Q4 TB-19'!$B$32</definedName>
    <definedName name="QB_ROW_89210" localSheetId="16" hidden="1">'Q4 TB-20'!$B$32</definedName>
    <definedName name="QB_ROW_89210" localSheetId="24" hidden="1">'Raw Data 01-31-2019'!$B$31</definedName>
    <definedName name="QB_ROW_89210" localSheetId="29" hidden="1">'Raw Data 01-31-2020'!$B$31</definedName>
    <definedName name="QB_ROW_89210" localSheetId="25" hidden="1">'Raw Data 04-30-2019'!$B$31</definedName>
    <definedName name="QB_ROW_89210" localSheetId="30" hidden="1">'Raw Data 04-30-2020'!$B$31</definedName>
    <definedName name="QB_ROW_89210" localSheetId="26" hidden="1">'Raw Data 07-31-2019'!$B$31</definedName>
    <definedName name="QB_ROW_89210" localSheetId="31" hidden="1">'Raw Data 07-31-2020'!$B$31</definedName>
    <definedName name="QB_ROW_89210" localSheetId="27" hidden="1">'Raw Data 10-31-2019'!$B$31</definedName>
    <definedName name="QB_ROW_89210" localSheetId="28" hidden="1">'Raw Data 10-31-2020'!$B$31</definedName>
    <definedName name="QB_ROW_90210" localSheetId="12" hidden="1">'Detail P&amp;L Analytic'!$B$29</definedName>
    <definedName name="QB_ROW_90210" localSheetId="14" hidden="1">'PY TB-18'!$B$33</definedName>
    <definedName name="QB_ROW_90210" localSheetId="17" hidden="1">'Q1 TB-19'!$B$33</definedName>
    <definedName name="QB_ROW_90210" localSheetId="20" hidden="1">'Q1 TB-20'!$B$33</definedName>
    <definedName name="QB_ROW_90210" localSheetId="18" hidden="1">'Q2 TB-19'!$B$33</definedName>
    <definedName name="QB_ROW_90210" localSheetId="21" hidden="1">'Q2 TB-20'!$B$33</definedName>
    <definedName name="QB_ROW_90210" localSheetId="19" hidden="1">'Q3 TB-19'!$B$32</definedName>
    <definedName name="QB_ROW_90210" localSheetId="22" hidden="1">'Q3 TB-20'!$B$32</definedName>
    <definedName name="QB_ROW_90210" localSheetId="15" hidden="1">'Q4 TB-19'!$B$33</definedName>
    <definedName name="QB_ROW_90210" localSheetId="16" hidden="1">'Q4 TB-20'!$B$33</definedName>
    <definedName name="QB_ROW_90210" localSheetId="24" hidden="1">'Raw Data 01-31-2019'!$B$32</definedName>
    <definedName name="QB_ROW_90210" localSheetId="29" hidden="1">'Raw Data 01-31-2020'!$B$32</definedName>
    <definedName name="QB_ROW_90210" localSheetId="25" hidden="1">'Raw Data 04-30-2019'!$B$32</definedName>
    <definedName name="QB_ROW_90210" localSheetId="30" hidden="1">'Raw Data 04-30-2020'!$B$32</definedName>
    <definedName name="QB_ROW_90210" localSheetId="26" hidden="1">'Raw Data 07-31-2019'!$B$32</definedName>
    <definedName name="QB_ROW_90210" localSheetId="31" hidden="1">'Raw Data 07-31-2020'!$B$32</definedName>
    <definedName name="QB_ROW_90210" localSheetId="27" hidden="1">'Raw Data 10-31-2019'!$B$32</definedName>
    <definedName name="QB_ROW_90210" localSheetId="28" hidden="1">'Raw Data 10-31-2020'!$B$32</definedName>
    <definedName name="QB_ROW_91210" localSheetId="12" hidden="1">'Detail P&amp;L Analytic'!$B$39</definedName>
    <definedName name="QB_ROW_91210" localSheetId="14" hidden="1">'PY TB-18'!$B$43</definedName>
    <definedName name="QB_ROW_91210" localSheetId="17" hidden="1">'Q1 TB-19'!$B$43</definedName>
    <definedName name="QB_ROW_91210" localSheetId="20" hidden="1">'Q1 TB-20'!$B$43</definedName>
    <definedName name="QB_ROW_91210" localSheetId="18" hidden="1">'Q2 TB-19'!$B$43</definedName>
    <definedName name="QB_ROW_91210" localSheetId="21" hidden="1">'Q2 TB-20'!$B$43</definedName>
    <definedName name="QB_ROW_91210" localSheetId="19" hidden="1">'Q3 TB-19'!$B$43</definedName>
    <definedName name="QB_ROW_91210" localSheetId="22" hidden="1">'Q3 TB-20'!$B$43</definedName>
    <definedName name="QB_ROW_91210" localSheetId="15" hidden="1">'Q4 TB-19'!$B$43</definedName>
    <definedName name="QB_ROW_91210" localSheetId="16" hidden="1">'Q4 TB-20'!$B$43</definedName>
    <definedName name="QB_ROW_91210" localSheetId="24" hidden="1">'Raw Data 01-31-2019'!$B$42</definedName>
    <definedName name="QB_ROW_91210" localSheetId="29" hidden="1">'Raw Data 01-31-2020'!$B$42</definedName>
    <definedName name="QB_ROW_91210" localSheetId="25" hidden="1">'Raw Data 04-30-2019'!$B$42</definedName>
    <definedName name="QB_ROW_91210" localSheetId="30" hidden="1">'Raw Data 04-30-2020'!$B$42</definedName>
    <definedName name="QB_ROW_91210" localSheetId="26" hidden="1">'Raw Data 07-31-2019'!$B$42</definedName>
    <definedName name="QB_ROW_91210" localSheetId="31" hidden="1">'Raw Data 07-31-2020'!$B$42</definedName>
    <definedName name="QB_ROW_91210" localSheetId="27" hidden="1">'Raw Data 10-31-2019'!$B$42</definedName>
    <definedName name="QB_ROW_91210" localSheetId="28" hidden="1">'Raw Data 10-31-2020'!$B$42</definedName>
    <definedName name="QB_ROW_9210" localSheetId="12" hidden="1">'Detail P&amp;L Analytic'!$B$157</definedName>
    <definedName name="QB_ROW_9210" localSheetId="14" hidden="1">'PY TB-18'!$B$167</definedName>
    <definedName name="QB_ROW_9210" localSheetId="17" hidden="1">'Q1 TB-19'!$B$167</definedName>
    <definedName name="QB_ROW_9210" localSheetId="20" hidden="1">'Q1 TB-20'!$B$167</definedName>
    <definedName name="QB_ROW_9210" localSheetId="18" hidden="1">'Q2 TB-19'!$B$167</definedName>
    <definedName name="QB_ROW_9210" localSheetId="21" hidden="1">'Q2 TB-20'!$B$167</definedName>
    <definedName name="QB_ROW_9210" localSheetId="19" hidden="1">'Q3 TB-19'!$B$167</definedName>
    <definedName name="QB_ROW_9210" localSheetId="22" hidden="1">'Q3 TB-20'!$B$167</definedName>
    <definedName name="QB_ROW_9210" localSheetId="15" hidden="1">'Q4 TB-19'!$B$167</definedName>
    <definedName name="QB_ROW_9210" localSheetId="16" hidden="1">'Q4 TB-20'!$B$167</definedName>
    <definedName name="QB_ROW_9210" localSheetId="24" hidden="1">'Raw Data 01-31-2019'!$B$161</definedName>
    <definedName name="QB_ROW_9210" localSheetId="29" hidden="1">'Raw Data 01-31-2020'!$B$161</definedName>
    <definedName name="QB_ROW_9210" localSheetId="25" hidden="1">'Raw Data 04-30-2019'!$B$161</definedName>
    <definedName name="QB_ROW_9210" localSheetId="30" hidden="1">'Raw Data 04-30-2020'!$B$161</definedName>
    <definedName name="QB_ROW_9210" localSheetId="26" hidden="1">'Raw Data 07-31-2019'!$B$161</definedName>
    <definedName name="QB_ROW_9210" localSheetId="31" hidden="1">'Raw Data 07-31-2020'!$B$161</definedName>
    <definedName name="QB_ROW_9210" localSheetId="27" hidden="1">'Raw Data 10-31-2019'!$B$162</definedName>
    <definedName name="QB_ROW_9210" localSheetId="28" hidden="1">'Raw Data 10-31-2020'!$B$163</definedName>
    <definedName name="QB_ROW_92210" localSheetId="12" hidden="1">'Detail P&amp;L Analytic'!$B$40</definedName>
    <definedName name="QB_ROW_92210" localSheetId="14" hidden="1">'PY TB-18'!$B$45</definedName>
    <definedName name="QB_ROW_92210" localSheetId="17" hidden="1">'Q1 TB-19'!$B$45</definedName>
    <definedName name="QB_ROW_92210" localSheetId="20" hidden="1">'Q1 TB-20'!$B$45</definedName>
    <definedName name="QB_ROW_92210" localSheetId="18" hidden="1">'Q2 TB-19'!$B$45</definedName>
    <definedName name="QB_ROW_92210" localSheetId="21" hidden="1">'Q2 TB-20'!$B$45</definedName>
    <definedName name="QB_ROW_92210" localSheetId="19" hidden="1">'Q3 TB-19'!$B$45</definedName>
    <definedName name="QB_ROW_92210" localSheetId="22" hidden="1">'Q3 TB-20'!$B$45</definedName>
    <definedName name="QB_ROW_92210" localSheetId="15" hidden="1">'Q4 TB-19'!$B$45</definedName>
    <definedName name="QB_ROW_92210" localSheetId="16" hidden="1">'Q4 TB-20'!$B$45</definedName>
    <definedName name="QB_ROW_92210" localSheetId="24" hidden="1">'Raw Data 01-31-2019'!$B$43</definedName>
    <definedName name="QB_ROW_92210" localSheetId="29" hidden="1">'Raw Data 01-31-2020'!$B$43</definedName>
    <definedName name="QB_ROW_92210" localSheetId="25" hidden="1">'Raw Data 04-30-2019'!$B$43</definedName>
    <definedName name="QB_ROW_92210" localSheetId="30" hidden="1">'Raw Data 04-30-2020'!$B$43</definedName>
    <definedName name="QB_ROW_92210" localSheetId="26" hidden="1">'Raw Data 07-31-2019'!$B$43</definedName>
    <definedName name="QB_ROW_92210" localSheetId="31" hidden="1">'Raw Data 07-31-2020'!$B$43</definedName>
    <definedName name="QB_ROW_92210" localSheetId="27" hidden="1">'Raw Data 10-31-2019'!$B$43</definedName>
    <definedName name="QB_ROW_92210" localSheetId="28" hidden="1">'Raw Data 10-31-2020'!$B$43</definedName>
    <definedName name="QB_ROW_93210" localSheetId="12" hidden="1">'Detail P&amp;L Analytic'!$B$66</definedName>
    <definedName name="QB_ROW_93210" localSheetId="14" hidden="1">'PY TB-18'!$B$71</definedName>
    <definedName name="QB_ROW_93210" localSheetId="17" hidden="1">'Q1 TB-19'!$B$71</definedName>
    <definedName name="QB_ROW_93210" localSheetId="20" hidden="1">'Q1 TB-20'!$B$71</definedName>
    <definedName name="QB_ROW_93210" localSheetId="18" hidden="1">'Q2 TB-19'!$B$71</definedName>
    <definedName name="QB_ROW_93210" localSheetId="21" hidden="1">'Q2 TB-20'!$B$71</definedName>
    <definedName name="QB_ROW_93210" localSheetId="19" hidden="1">'Q3 TB-19'!$B$71</definedName>
    <definedName name="QB_ROW_93210" localSheetId="22" hidden="1">'Q3 TB-20'!$B$71</definedName>
    <definedName name="QB_ROW_93210" localSheetId="15" hidden="1">'Q4 TB-19'!$B$71</definedName>
    <definedName name="QB_ROW_93210" localSheetId="16" hidden="1">'Q4 TB-20'!$B$71</definedName>
    <definedName name="QB_ROW_93210" localSheetId="24" hidden="1">'Raw Data 01-31-2019'!$B$69</definedName>
    <definedName name="QB_ROW_93210" localSheetId="29" hidden="1">'Raw Data 01-31-2020'!$B$69</definedName>
    <definedName name="QB_ROW_93210" localSheetId="25" hidden="1">'Raw Data 04-30-2019'!$B$69</definedName>
    <definedName name="QB_ROW_93210" localSheetId="30" hidden="1">'Raw Data 04-30-2020'!$B$69</definedName>
    <definedName name="QB_ROW_93210" localSheetId="26" hidden="1">'Raw Data 07-31-2019'!$B$69</definedName>
    <definedName name="QB_ROW_93210" localSheetId="31" hidden="1">'Raw Data 07-31-2020'!$B$69</definedName>
    <definedName name="QB_ROW_93210" localSheetId="27" hidden="1">'Raw Data 10-31-2019'!$B$69</definedName>
    <definedName name="QB_ROW_93210" localSheetId="28" hidden="1">'Raw Data 10-31-2020'!$B$69</definedName>
    <definedName name="QB_ROW_94210" localSheetId="12" hidden="1">'Detail P&amp;L Analytic'!$B$67</definedName>
    <definedName name="QB_ROW_94210" localSheetId="14" hidden="1">'PY TB-18'!$B$72</definedName>
    <definedName name="QB_ROW_94210" localSheetId="17" hidden="1">'Q1 TB-19'!$B$72</definedName>
    <definedName name="QB_ROW_94210" localSheetId="20" hidden="1">'Q1 TB-20'!$B$72</definedName>
    <definedName name="QB_ROW_94210" localSheetId="18" hidden="1">'Q2 TB-19'!$B$72</definedName>
    <definedName name="QB_ROW_94210" localSheetId="21" hidden="1">'Q2 TB-20'!$B$72</definedName>
    <definedName name="QB_ROW_94210" localSheetId="19" hidden="1">'Q3 TB-19'!$B$72</definedName>
    <definedName name="QB_ROW_94210" localSheetId="22" hidden="1">'Q3 TB-20'!$B$72</definedName>
    <definedName name="QB_ROW_94210" localSheetId="15" hidden="1">'Q4 TB-19'!$B$72</definedName>
    <definedName name="QB_ROW_94210" localSheetId="16" hidden="1">'Q4 TB-20'!$B$72</definedName>
    <definedName name="QB_ROW_94210" localSheetId="24" hidden="1">'Raw Data 01-31-2019'!$B$70</definedName>
    <definedName name="QB_ROW_94210" localSheetId="29" hidden="1">'Raw Data 01-31-2020'!$B$70</definedName>
    <definedName name="QB_ROW_94210" localSheetId="25" hidden="1">'Raw Data 04-30-2019'!$B$70</definedName>
    <definedName name="QB_ROW_94210" localSheetId="30" hidden="1">'Raw Data 04-30-2020'!$B$70</definedName>
    <definedName name="QB_ROW_94210" localSheetId="26" hidden="1">'Raw Data 07-31-2019'!$B$70</definedName>
    <definedName name="QB_ROW_94210" localSheetId="31" hidden="1">'Raw Data 07-31-2020'!$B$70</definedName>
    <definedName name="QB_ROW_94210" localSheetId="27" hidden="1">'Raw Data 10-31-2019'!$B$70</definedName>
    <definedName name="QB_ROW_94210" localSheetId="28" hidden="1">'Raw Data 10-31-2020'!$B$70</definedName>
    <definedName name="QB_ROW_95210" localSheetId="12" hidden="1">'Detail P&amp;L Analytic'!$B$49</definedName>
    <definedName name="QB_ROW_95210" localSheetId="14" hidden="1">'PY TB-18'!$B$54</definedName>
    <definedName name="QB_ROW_95210" localSheetId="17" hidden="1">'Q1 TB-19'!$B$54</definedName>
    <definedName name="QB_ROW_95210" localSheetId="20" hidden="1">'Q1 TB-20'!$B$54</definedName>
    <definedName name="QB_ROW_95210" localSheetId="18" hidden="1">'Q2 TB-19'!$B$54</definedName>
    <definedName name="QB_ROW_95210" localSheetId="21" hidden="1">'Q2 TB-20'!$B$54</definedName>
    <definedName name="QB_ROW_95210" localSheetId="19" hidden="1">'Q3 TB-19'!$B$54</definedName>
    <definedName name="QB_ROW_95210" localSheetId="22" hidden="1">'Q3 TB-20'!$B$54</definedName>
    <definedName name="QB_ROW_95210" localSheetId="15" hidden="1">'Q4 TB-19'!$B$54</definedName>
    <definedName name="QB_ROW_95210" localSheetId="16" hidden="1">'Q4 TB-20'!$B$54</definedName>
    <definedName name="QB_ROW_95210" localSheetId="24" hidden="1">'Raw Data 01-31-2019'!$B$52</definedName>
    <definedName name="QB_ROW_95210" localSheetId="29" hidden="1">'Raw Data 01-31-2020'!$B$52</definedName>
    <definedName name="QB_ROW_95210" localSheetId="25" hidden="1">'Raw Data 04-30-2019'!$B$52</definedName>
    <definedName name="QB_ROW_95210" localSheetId="30" hidden="1">'Raw Data 04-30-2020'!$B$52</definedName>
    <definedName name="QB_ROW_95210" localSheetId="26" hidden="1">'Raw Data 07-31-2019'!$B$52</definedName>
    <definedName name="QB_ROW_95210" localSheetId="31" hidden="1">'Raw Data 07-31-2020'!$B$52</definedName>
    <definedName name="QB_ROW_95210" localSheetId="27" hidden="1">'Raw Data 10-31-2019'!$B$52</definedName>
    <definedName name="QB_ROW_95210" localSheetId="28" hidden="1">'Raw Data 10-31-2020'!$B$52</definedName>
    <definedName name="QB_ROW_96210" localSheetId="12" hidden="1">'Detail P&amp;L Analytic'!$B$94</definedName>
    <definedName name="QB_ROW_96210" localSheetId="14" hidden="1">'PY TB-18'!$B$101</definedName>
    <definedName name="QB_ROW_96210" localSheetId="17" hidden="1">'Q1 TB-19'!$B$101</definedName>
    <definedName name="QB_ROW_96210" localSheetId="20" hidden="1">'Q1 TB-20'!$B$101</definedName>
    <definedName name="QB_ROW_96210" localSheetId="18" hidden="1">'Q2 TB-19'!$B$101</definedName>
    <definedName name="QB_ROW_96210" localSheetId="21" hidden="1">'Q2 TB-20'!$B$101</definedName>
    <definedName name="QB_ROW_96210" localSheetId="19" hidden="1">'Q3 TB-19'!$B$101</definedName>
    <definedName name="QB_ROW_96210" localSheetId="22" hidden="1">'Q3 TB-20'!$B$101</definedName>
    <definedName name="QB_ROW_96210" localSheetId="15" hidden="1">'Q4 TB-19'!$B$101</definedName>
    <definedName name="QB_ROW_96210" localSheetId="16" hidden="1">'Q4 TB-20'!$B$101</definedName>
    <definedName name="QB_ROW_96210" localSheetId="24" hidden="1">'Raw Data 01-31-2019'!$B$97</definedName>
    <definedName name="QB_ROW_96210" localSheetId="29" hidden="1">'Raw Data 01-31-2020'!$B$97</definedName>
    <definedName name="QB_ROW_96210" localSheetId="25" hidden="1">'Raw Data 04-30-2019'!$B$97</definedName>
    <definedName name="QB_ROW_96210" localSheetId="30" hidden="1">'Raw Data 04-30-2020'!$B$97</definedName>
    <definedName name="QB_ROW_96210" localSheetId="26" hidden="1">'Raw Data 07-31-2019'!$B$97</definedName>
    <definedName name="QB_ROW_96210" localSheetId="31" hidden="1">'Raw Data 07-31-2020'!$B$97</definedName>
    <definedName name="QB_ROW_96210" localSheetId="27" hidden="1">'Raw Data 10-31-2019'!$B$97</definedName>
    <definedName name="QB_ROW_96210" localSheetId="28" hidden="1">'Raw Data 10-31-2020'!$B$98</definedName>
    <definedName name="QB_ROW_97210" localSheetId="12" hidden="1">'Detail P&amp;L Analytic'!$B$99</definedName>
    <definedName name="QB_ROW_97210" localSheetId="14" hidden="1">'PY TB-18'!$B$106</definedName>
    <definedName name="QB_ROW_97210" localSheetId="17" hidden="1">'Q1 TB-19'!$B$106</definedName>
    <definedName name="QB_ROW_97210" localSheetId="20" hidden="1">'Q1 TB-20'!$B$106</definedName>
    <definedName name="QB_ROW_97210" localSheetId="18" hidden="1">'Q2 TB-19'!$B$106</definedName>
    <definedName name="QB_ROW_97210" localSheetId="21" hidden="1">'Q2 TB-20'!$B$106</definedName>
    <definedName name="QB_ROW_97210" localSheetId="19" hidden="1">'Q3 TB-19'!$B$106</definedName>
    <definedName name="QB_ROW_97210" localSheetId="22" hidden="1">'Q3 TB-20'!$B$106</definedName>
    <definedName name="QB_ROW_97210" localSheetId="15" hidden="1">'Q4 TB-19'!$B$106</definedName>
    <definedName name="QB_ROW_97210" localSheetId="16" hidden="1">'Q4 TB-20'!$B$106</definedName>
    <definedName name="QB_ROW_97210" localSheetId="24" hidden="1">'Raw Data 01-31-2019'!$B$102</definedName>
    <definedName name="QB_ROW_97210" localSheetId="29" hidden="1">'Raw Data 01-31-2020'!$B$102</definedName>
    <definedName name="QB_ROW_97210" localSheetId="25" hidden="1">'Raw Data 04-30-2019'!$B$102</definedName>
    <definedName name="QB_ROW_97210" localSheetId="30" hidden="1">'Raw Data 04-30-2020'!$B$102</definedName>
    <definedName name="QB_ROW_97210" localSheetId="26" hidden="1">'Raw Data 07-31-2019'!$B$102</definedName>
    <definedName name="QB_ROW_97210" localSheetId="31" hidden="1">'Raw Data 07-31-2020'!$B$102</definedName>
    <definedName name="QB_ROW_97210" localSheetId="27" hidden="1">'Raw Data 10-31-2019'!$B$102</definedName>
    <definedName name="QB_ROW_97210" localSheetId="28" hidden="1">'Raw Data 10-31-2020'!$B$103</definedName>
    <definedName name="QB_ROW_98210" localSheetId="12" hidden="1">'Detail P&amp;L Analytic'!$B$97</definedName>
    <definedName name="QB_ROW_98210" localSheetId="14" hidden="1">'PY TB-18'!$B$104</definedName>
    <definedName name="QB_ROW_98210" localSheetId="17" hidden="1">'Q1 TB-19'!$B$104</definedName>
    <definedName name="QB_ROW_98210" localSheetId="20" hidden="1">'Q1 TB-20'!$B$104</definedName>
    <definedName name="QB_ROW_98210" localSheetId="18" hidden="1">'Q2 TB-19'!$B$104</definedName>
    <definedName name="QB_ROW_98210" localSheetId="21" hidden="1">'Q2 TB-20'!$B$104</definedName>
    <definedName name="QB_ROW_98210" localSheetId="19" hidden="1">'Q3 TB-19'!$B$104</definedName>
    <definedName name="QB_ROW_98210" localSheetId="22" hidden="1">'Q3 TB-20'!$B$104</definedName>
    <definedName name="QB_ROW_98210" localSheetId="15" hidden="1">'Q4 TB-19'!$B$104</definedName>
    <definedName name="QB_ROW_98210" localSheetId="16" hidden="1">'Q4 TB-20'!$B$104</definedName>
    <definedName name="QB_ROW_98210" localSheetId="24" hidden="1">'Raw Data 01-31-2019'!$B$100</definedName>
    <definedName name="QB_ROW_98210" localSheetId="29" hidden="1">'Raw Data 01-31-2020'!$B$100</definedName>
    <definedName name="QB_ROW_98210" localSheetId="25" hidden="1">'Raw Data 04-30-2019'!$B$100</definedName>
    <definedName name="QB_ROW_98210" localSheetId="30" hidden="1">'Raw Data 04-30-2020'!$B$100</definedName>
    <definedName name="QB_ROW_98210" localSheetId="26" hidden="1">'Raw Data 07-31-2019'!$B$100</definedName>
    <definedName name="QB_ROW_98210" localSheetId="31" hidden="1">'Raw Data 07-31-2020'!$B$100</definedName>
    <definedName name="QB_ROW_98210" localSheetId="27" hidden="1">'Raw Data 10-31-2019'!$B$100</definedName>
    <definedName name="QB_ROW_98210" localSheetId="28" hidden="1">'Raw Data 10-31-2020'!$B$101</definedName>
    <definedName name="QB_ROW_99210" localSheetId="12" hidden="1">'Detail P&amp;L Analytic'!$B$96</definedName>
    <definedName name="QB_ROW_99210" localSheetId="14" hidden="1">'PY TB-18'!$B$103</definedName>
    <definedName name="QB_ROW_99210" localSheetId="17" hidden="1">'Q1 TB-19'!$B$103</definedName>
    <definedName name="QB_ROW_99210" localSheetId="20" hidden="1">'Q1 TB-20'!$B$103</definedName>
    <definedName name="QB_ROW_99210" localSheetId="18" hidden="1">'Q2 TB-19'!$B$103</definedName>
    <definedName name="QB_ROW_99210" localSheetId="21" hidden="1">'Q2 TB-20'!$B$103</definedName>
    <definedName name="QB_ROW_99210" localSheetId="19" hidden="1">'Q3 TB-19'!$B$103</definedName>
    <definedName name="QB_ROW_99210" localSheetId="22" hidden="1">'Q3 TB-20'!$B$103</definedName>
    <definedName name="QB_ROW_99210" localSheetId="15" hidden="1">'Q4 TB-19'!$B$103</definedName>
    <definedName name="QB_ROW_99210" localSheetId="16" hidden="1">'Q4 TB-20'!$B$103</definedName>
    <definedName name="QB_ROW_99210" localSheetId="24" hidden="1">'Raw Data 01-31-2019'!$B$99</definedName>
    <definedName name="QB_ROW_99210" localSheetId="29" hidden="1">'Raw Data 01-31-2020'!$B$99</definedName>
    <definedName name="QB_ROW_99210" localSheetId="25" hidden="1">'Raw Data 04-30-2019'!$B$99</definedName>
    <definedName name="QB_ROW_99210" localSheetId="30" hidden="1">'Raw Data 04-30-2020'!$B$99</definedName>
    <definedName name="QB_ROW_99210" localSheetId="26" hidden="1">'Raw Data 07-31-2019'!$B$99</definedName>
    <definedName name="QB_ROW_99210" localSheetId="31" hidden="1">'Raw Data 07-31-2020'!$B$99</definedName>
    <definedName name="QB_ROW_99210" localSheetId="27" hidden="1">'Raw Data 10-31-2019'!$B$99</definedName>
    <definedName name="QB_ROW_99210" localSheetId="28" hidden="1">'Raw Data 10-31-2020'!$B$100</definedName>
    <definedName name="QBCANSUPPORTUPDATE" localSheetId="12">TRUE</definedName>
    <definedName name="QBCANSUPPORTUPDATE" localSheetId="14">TRUE</definedName>
    <definedName name="QBCANSUPPORTUPDATE" localSheetId="17">TRUE</definedName>
    <definedName name="QBCANSUPPORTUPDATE" localSheetId="20">TRUE</definedName>
    <definedName name="QBCANSUPPORTUPDATE" localSheetId="18">TRUE</definedName>
    <definedName name="QBCANSUPPORTUPDATE" localSheetId="21">TRUE</definedName>
    <definedName name="QBCANSUPPORTUPDATE" localSheetId="19">TRUE</definedName>
    <definedName name="QBCANSUPPORTUPDATE" localSheetId="22">TRUE</definedName>
    <definedName name="QBCANSUPPORTUPDATE" localSheetId="15">TRUE</definedName>
    <definedName name="QBCANSUPPORTUPDATE" localSheetId="16">TRUE</definedName>
    <definedName name="QBCANSUPPORTUPDATE" localSheetId="24">TRUE</definedName>
    <definedName name="QBCANSUPPORTUPDATE" localSheetId="29">TRUE</definedName>
    <definedName name="QBCANSUPPORTUPDATE" localSheetId="25">TRUE</definedName>
    <definedName name="QBCANSUPPORTUPDATE" localSheetId="30">TRUE</definedName>
    <definedName name="QBCANSUPPORTUPDATE" localSheetId="26">TRUE</definedName>
    <definedName name="QBCANSUPPORTUPDATE" localSheetId="31">TRUE</definedName>
    <definedName name="QBCANSUPPORTUPDATE" localSheetId="27">TRUE</definedName>
    <definedName name="QBCANSUPPORTUPDATE" localSheetId="28">TRUE</definedName>
    <definedName name="QBCOMPANYFILENAME" localSheetId="12">"C:\Users\John\Desktop\Vitro Diagnostics, Inc. QBW 7-24-13-1smA JE F-DESKTOP-GAOV4PK-DESKTOP-GAOV4PK-3 D QIII 2019.QBW"</definedName>
    <definedName name="QBCOMPANYFILENAME" localSheetId="14">"C:\Users\John\Desktop\Vitro Diagnostics, Inc. QBW 7-24-13-1smA JE F-DESKTOP-GAOV4PK-DESKTOP-GAOV4PK-3 D QIII 2019.QBW"</definedName>
    <definedName name="QBCOMPANYFILENAME" localSheetId="17">"C:\Users\John\Desktop\Vitro Diagnostics, Inc. QBW 7-24-13-1smA JE F-DESKTOP-GAOV4PK-DESKTOP-GAOV4PK-3 D QIII 2019.QBW"</definedName>
    <definedName name="QBCOMPANYFILENAME" localSheetId="20">"C:\Users\John\Desktop\Vitro Diagnostics, Inc. QBW 7-24-13-1smA JE F-DESKTOP-GAOV4PK-DESKTOP-GAOV4PK-3 D QIII 2019.QBW"</definedName>
    <definedName name="QBCOMPANYFILENAME" localSheetId="18">"C:\Users\John\Desktop\Vitro Diagnostics, Inc. QBW 7-24-13-1smA JE F-DESKTOP-GAOV4PK-DESKTOP-GAOV4PK-3 D QIII 2019.QBW"</definedName>
    <definedName name="QBCOMPANYFILENAME" localSheetId="21">"C:\Users\John\Desktop\Vitro Diagnostics, Inc. QBW 7-24-13-1smA JE F-DESKTOP-GAOV4PK-DESKTOP-GAOV4PK-3 D QIII 2019.QBW"</definedName>
    <definedName name="QBCOMPANYFILENAME" localSheetId="19">"C:\Users\John\Desktop\Vitro Diagnostics, Inc. QBW 7-24-13-1smA JE F-DESKTOP-GAOV4PK-DESKTOP-GAOV4PK-3 D QIII 2019.QBW"</definedName>
    <definedName name="QBCOMPANYFILENAME" localSheetId="22">"C:\Users\John\Desktop\Vitro Diagnostics, Inc. QBW 7-24-13-1smA JE F-DESKTOP-GAOV4PK-DESKTOP-GAOV4PK-3 D QIII 2019.QBW"</definedName>
    <definedName name="QBCOMPANYFILENAME" localSheetId="15">"C:\Users\John\Desktop\Vitro Diagnostics, Inc. QBW 7-24-13-1smA JE F-DESKTOP-GAOV4PK-DESKTOP-GAOV4PK-3 D QIII 2019.QBW"</definedName>
    <definedName name="QBCOMPANYFILENAME" localSheetId="16">"C:\Users\John\Desktop\Vitro Diagnostics, Inc. QBW 7-24-13-1smA JE F-DESKTOP-GAOV4PK-DESKTOP-GAOV4PK-3 D QIII 2019.QBW"</definedName>
    <definedName name="QBCOMPANYFILENAME" localSheetId="24">"C:\Users\John\Desktop\Vitro Diagnostics, Inc. QBW 7-24-13-1smA JE F-DESKTOP-GAOV4PK-DESKTOP-GAOV4PK-3 D QIII 2019.QBW"</definedName>
    <definedName name="QBCOMPANYFILENAME" localSheetId="29">"C:\Users\John\Desktop\Vitro Diagnostics, Inc. QBW 7-24-13-1smA JE F-DESKTOP-GAOV4PK-DESKTOP-GAOV4PK-3 D QIII 2019.QBW"</definedName>
    <definedName name="QBCOMPANYFILENAME" localSheetId="25">"C:\Users\John\Desktop\Vitro Diagnostics, Inc. QBW 7-24-13-1smA JE F-DESKTOP-GAOV4PK-DESKTOP-GAOV4PK-3 D QIII 2019.QBW"</definedName>
    <definedName name="QBCOMPANYFILENAME" localSheetId="30">"C:\Users\John\Desktop\Vitro Diagnostics, Inc. QBW 7-24-13-1smA JE F-DESKTOP-GAOV4PK-DESKTOP-GAOV4PK-3 D QIII 2019.QBW"</definedName>
    <definedName name="QBCOMPANYFILENAME" localSheetId="26">"C:\Users\John\Desktop\Vitro Diagnostics, Inc. QBW 7-24-13-1smA JE F-DESKTOP-GAOV4PK-DESKTOP-GAOV4PK-3 D QIII 2019.QBW"</definedName>
    <definedName name="QBCOMPANYFILENAME" localSheetId="31">"C:\Users\John\Desktop\Vitro Diagnostics, Inc. QBW 7-24-13-1smA JE F-DESKTOP-GAOV4PK-DESKTOP-GAOV4PK-3 D QIII 2019.QBW"</definedName>
    <definedName name="QBCOMPANYFILENAME" localSheetId="27">"C:\Users\John\Desktop\Vitro Diagnostics, Inc. QBW 7-24-13-1smA JE F-DESKTOP-GAOV4PK-DESKTOP-GAOV4PK-3 D QIII 2019.QBW"</definedName>
    <definedName name="QBCOMPANYFILENAME" localSheetId="28">"C:\Users\John\Desktop\Vitro Diagnostics, Inc. QBW 7-24-13-1smA JE F-DESKTOP-GAOV4PK-DESKTOP-GAOV4PK-3 D QIII 2019.QBW"</definedName>
    <definedName name="QBENDDATE" localSheetId="12">20191031</definedName>
    <definedName name="QBENDDATE" localSheetId="14">20191031</definedName>
    <definedName name="QBENDDATE" localSheetId="17">20191031</definedName>
    <definedName name="QBENDDATE" localSheetId="20">20191031</definedName>
    <definedName name="QBENDDATE" localSheetId="18">20191031</definedName>
    <definedName name="QBENDDATE" localSheetId="21">20191031</definedName>
    <definedName name="QBENDDATE" localSheetId="19">20191031</definedName>
    <definedName name="QBENDDATE" localSheetId="22">20191031</definedName>
    <definedName name="QBENDDATE" localSheetId="15">20191031</definedName>
    <definedName name="QBENDDATE" localSheetId="16">20191031</definedName>
    <definedName name="QBENDDATE" localSheetId="24">20191031</definedName>
    <definedName name="QBENDDATE" localSheetId="29">20191031</definedName>
    <definedName name="QBENDDATE" localSheetId="25">20191031</definedName>
    <definedName name="QBENDDATE" localSheetId="30">20191031</definedName>
    <definedName name="QBENDDATE" localSheetId="26">20191031</definedName>
    <definedName name="QBENDDATE" localSheetId="31">20191031</definedName>
    <definedName name="QBENDDATE" localSheetId="27">20191031</definedName>
    <definedName name="QBENDDATE" localSheetId="28">20191031</definedName>
    <definedName name="QBHEADERSONSCREEN" localSheetId="12">FALSE</definedName>
    <definedName name="QBHEADERSONSCREEN" localSheetId="14">FALSE</definedName>
    <definedName name="QBHEADERSONSCREEN" localSheetId="17">FALSE</definedName>
    <definedName name="QBHEADERSONSCREEN" localSheetId="20">FALSE</definedName>
    <definedName name="QBHEADERSONSCREEN" localSheetId="18">FALSE</definedName>
    <definedName name="QBHEADERSONSCREEN" localSheetId="21">FALSE</definedName>
    <definedName name="QBHEADERSONSCREEN" localSheetId="19">FALSE</definedName>
    <definedName name="QBHEADERSONSCREEN" localSheetId="22">FALSE</definedName>
    <definedName name="QBHEADERSONSCREEN" localSheetId="15">FALSE</definedName>
    <definedName name="QBHEADERSONSCREEN" localSheetId="16">FALSE</definedName>
    <definedName name="QBHEADERSONSCREEN" localSheetId="24">FALSE</definedName>
    <definedName name="QBHEADERSONSCREEN" localSheetId="29">FALSE</definedName>
    <definedName name="QBHEADERSONSCREEN" localSheetId="25">FALSE</definedName>
    <definedName name="QBHEADERSONSCREEN" localSheetId="30">FALSE</definedName>
    <definedName name="QBHEADERSONSCREEN" localSheetId="26">FALSE</definedName>
    <definedName name="QBHEADERSONSCREEN" localSheetId="31">FALSE</definedName>
    <definedName name="QBHEADERSONSCREEN" localSheetId="27">FALSE</definedName>
    <definedName name="QBHEADERSONSCREEN" localSheetId="28">FALSE</definedName>
    <definedName name="QBMETADATASIZE" localSheetId="12">5914</definedName>
    <definedName name="QBMETADATASIZE" localSheetId="14">5914</definedName>
    <definedName name="QBMETADATASIZE" localSheetId="17">5914</definedName>
    <definedName name="QBMETADATASIZE" localSheetId="20">5914</definedName>
    <definedName name="QBMETADATASIZE" localSheetId="18">5914</definedName>
    <definedName name="QBMETADATASIZE" localSheetId="21">5914</definedName>
    <definedName name="QBMETADATASIZE" localSheetId="19">5914</definedName>
    <definedName name="QBMETADATASIZE" localSheetId="22">5914</definedName>
    <definedName name="QBMETADATASIZE" localSheetId="15">5914</definedName>
    <definedName name="QBMETADATASIZE" localSheetId="16">5914</definedName>
    <definedName name="QBMETADATASIZE" localSheetId="24">5914</definedName>
    <definedName name="QBMETADATASIZE" localSheetId="29">5914</definedName>
    <definedName name="QBMETADATASIZE" localSheetId="25">5914</definedName>
    <definedName name="QBMETADATASIZE" localSheetId="30">5914</definedName>
    <definedName name="QBMETADATASIZE" localSheetId="26">5914</definedName>
    <definedName name="QBMETADATASIZE" localSheetId="31">5914</definedName>
    <definedName name="QBMETADATASIZE" localSheetId="27">5914</definedName>
    <definedName name="QBMETADATASIZE" localSheetId="28">5914</definedName>
    <definedName name="QBPRESERVECOLOR" localSheetId="12">TRUE</definedName>
    <definedName name="QBPRESERVECOLOR" localSheetId="14">TRUE</definedName>
    <definedName name="QBPRESERVECOLOR" localSheetId="17">TRUE</definedName>
    <definedName name="QBPRESERVECOLOR" localSheetId="20">TRUE</definedName>
    <definedName name="QBPRESERVECOLOR" localSheetId="18">TRUE</definedName>
    <definedName name="QBPRESERVECOLOR" localSheetId="21">TRUE</definedName>
    <definedName name="QBPRESERVECOLOR" localSheetId="19">TRUE</definedName>
    <definedName name="QBPRESERVECOLOR" localSheetId="22">TRUE</definedName>
    <definedName name="QBPRESERVECOLOR" localSheetId="15">TRUE</definedName>
    <definedName name="QBPRESERVECOLOR" localSheetId="16">TRUE</definedName>
    <definedName name="QBPRESERVECOLOR" localSheetId="24">TRUE</definedName>
    <definedName name="QBPRESERVECOLOR" localSheetId="29">TRUE</definedName>
    <definedName name="QBPRESERVECOLOR" localSheetId="25">TRUE</definedName>
    <definedName name="QBPRESERVECOLOR" localSheetId="30">TRUE</definedName>
    <definedName name="QBPRESERVECOLOR" localSheetId="26">TRUE</definedName>
    <definedName name="QBPRESERVECOLOR" localSheetId="31">TRUE</definedName>
    <definedName name="QBPRESERVECOLOR" localSheetId="27">TRUE</definedName>
    <definedName name="QBPRESERVECOLOR" localSheetId="28">TRUE</definedName>
    <definedName name="QBPRESERVEFONT" localSheetId="12">TRUE</definedName>
    <definedName name="QBPRESERVEFONT" localSheetId="14">TRUE</definedName>
    <definedName name="QBPRESERVEFONT" localSheetId="17">TRUE</definedName>
    <definedName name="QBPRESERVEFONT" localSheetId="20">TRUE</definedName>
    <definedName name="QBPRESERVEFONT" localSheetId="18">TRUE</definedName>
    <definedName name="QBPRESERVEFONT" localSheetId="21">TRUE</definedName>
    <definedName name="QBPRESERVEFONT" localSheetId="19">TRUE</definedName>
    <definedName name="QBPRESERVEFONT" localSheetId="22">TRUE</definedName>
    <definedName name="QBPRESERVEFONT" localSheetId="15">TRUE</definedName>
    <definedName name="QBPRESERVEFONT" localSheetId="16">TRUE</definedName>
    <definedName name="QBPRESERVEFONT" localSheetId="24">TRUE</definedName>
    <definedName name="QBPRESERVEFONT" localSheetId="29">TRUE</definedName>
    <definedName name="QBPRESERVEFONT" localSheetId="25">TRUE</definedName>
    <definedName name="QBPRESERVEFONT" localSheetId="30">TRUE</definedName>
    <definedName name="QBPRESERVEFONT" localSheetId="26">TRUE</definedName>
    <definedName name="QBPRESERVEFONT" localSheetId="31">TRUE</definedName>
    <definedName name="QBPRESERVEFONT" localSheetId="27">TRUE</definedName>
    <definedName name="QBPRESERVEFONT" localSheetId="28">TRUE</definedName>
    <definedName name="QBPRESERVEROWHEIGHT" localSheetId="12">TRUE</definedName>
    <definedName name="QBPRESERVEROWHEIGHT" localSheetId="14">TRUE</definedName>
    <definedName name="QBPRESERVEROWHEIGHT" localSheetId="17">TRUE</definedName>
    <definedName name="QBPRESERVEROWHEIGHT" localSheetId="20">TRUE</definedName>
    <definedName name="QBPRESERVEROWHEIGHT" localSheetId="18">TRUE</definedName>
    <definedName name="QBPRESERVEROWHEIGHT" localSheetId="21">TRUE</definedName>
    <definedName name="QBPRESERVEROWHEIGHT" localSheetId="19">TRUE</definedName>
    <definedName name="QBPRESERVEROWHEIGHT" localSheetId="22">TRUE</definedName>
    <definedName name="QBPRESERVEROWHEIGHT" localSheetId="15">TRUE</definedName>
    <definedName name="QBPRESERVEROWHEIGHT" localSheetId="16">TRUE</definedName>
    <definedName name="QBPRESERVEROWHEIGHT" localSheetId="24">TRUE</definedName>
    <definedName name="QBPRESERVEROWHEIGHT" localSheetId="29">TRUE</definedName>
    <definedName name="QBPRESERVEROWHEIGHT" localSheetId="25">TRUE</definedName>
    <definedName name="QBPRESERVEROWHEIGHT" localSheetId="30">TRUE</definedName>
    <definedName name="QBPRESERVEROWHEIGHT" localSheetId="26">TRUE</definedName>
    <definedName name="QBPRESERVEROWHEIGHT" localSheetId="31">TRUE</definedName>
    <definedName name="QBPRESERVEROWHEIGHT" localSheetId="27">TRUE</definedName>
    <definedName name="QBPRESERVEROWHEIGHT" localSheetId="28">TRUE</definedName>
    <definedName name="QBPRESERVESPACE" localSheetId="12">TRUE</definedName>
    <definedName name="QBPRESERVESPACE" localSheetId="14">TRUE</definedName>
    <definedName name="QBPRESERVESPACE" localSheetId="17">TRUE</definedName>
    <definedName name="QBPRESERVESPACE" localSheetId="20">TRUE</definedName>
    <definedName name="QBPRESERVESPACE" localSheetId="18">TRUE</definedName>
    <definedName name="QBPRESERVESPACE" localSheetId="21">TRUE</definedName>
    <definedName name="QBPRESERVESPACE" localSheetId="19">TRUE</definedName>
    <definedName name="QBPRESERVESPACE" localSheetId="22">TRUE</definedName>
    <definedName name="QBPRESERVESPACE" localSheetId="15">TRUE</definedName>
    <definedName name="QBPRESERVESPACE" localSheetId="16">TRUE</definedName>
    <definedName name="QBPRESERVESPACE" localSheetId="24">TRUE</definedName>
    <definedName name="QBPRESERVESPACE" localSheetId="29">TRUE</definedName>
    <definedName name="QBPRESERVESPACE" localSheetId="25">TRUE</definedName>
    <definedName name="QBPRESERVESPACE" localSheetId="30">TRUE</definedName>
    <definedName name="QBPRESERVESPACE" localSheetId="26">TRUE</definedName>
    <definedName name="QBPRESERVESPACE" localSheetId="31">TRUE</definedName>
    <definedName name="QBPRESERVESPACE" localSheetId="27">TRUE</definedName>
    <definedName name="QBPRESERVESPACE" localSheetId="28">TRUE</definedName>
    <definedName name="QBREPORTCOLAXIS" localSheetId="12">0</definedName>
    <definedName name="QBREPORTCOLAXIS" localSheetId="14">0</definedName>
    <definedName name="QBREPORTCOLAXIS" localSheetId="17">0</definedName>
    <definedName name="QBREPORTCOLAXIS" localSheetId="20">0</definedName>
    <definedName name="QBREPORTCOLAXIS" localSheetId="18">0</definedName>
    <definedName name="QBREPORTCOLAXIS" localSheetId="21">0</definedName>
    <definedName name="QBREPORTCOLAXIS" localSheetId="19">0</definedName>
    <definedName name="QBREPORTCOLAXIS" localSheetId="22">0</definedName>
    <definedName name="QBREPORTCOLAXIS" localSheetId="15">0</definedName>
    <definedName name="QBREPORTCOLAXIS" localSheetId="16">0</definedName>
    <definedName name="QBREPORTCOLAXIS" localSheetId="24">0</definedName>
    <definedName name="QBREPORTCOLAXIS" localSheetId="29">0</definedName>
    <definedName name="QBREPORTCOLAXIS" localSheetId="25">0</definedName>
    <definedName name="QBREPORTCOLAXIS" localSheetId="30">0</definedName>
    <definedName name="QBREPORTCOLAXIS" localSheetId="26">0</definedName>
    <definedName name="QBREPORTCOLAXIS" localSheetId="31">0</definedName>
    <definedName name="QBREPORTCOLAXIS" localSheetId="27">0</definedName>
    <definedName name="QBREPORTCOLAXIS" localSheetId="28">0</definedName>
    <definedName name="QBREPORTCOMPANYID" localSheetId="12">"0bccf27934fe42a99beb9ab3545fc117"</definedName>
    <definedName name="QBREPORTCOMPANYID" localSheetId="14">"0bccf27934fe42a99beb9ab3545fc117"</definedName>
    <definedName name="QBREPORTCOMPANYID" localSheetId="17">"0bccf27934fe42a99beb9ab3545fc117"</definedName>
    <definedName name="QBREPORTCOMPANYID" localSheetId="20">"0bccf27934fe42a99beb9ab3545fc117"</definedName>
    <definedName name="QBREPORTCOMPANYID" localSheetId="18">"0bccf27934fe42a99beb9ab3545fc117"</definedName>
    <definedName name="QBREPORTCOMPANYID" localSheetId="21">"0bccf27934fe42a99beb9ab3545fc117"</definedName>
    <definedName name="QBREPORTCOMPANYID" localSheetId="19">"0bccf27934fe42a99beb9ab3545fc117"</definedName>
    <definedName name="QBREPORTCOMPANYID" localSheetId="22">"0bccf27934fe42a99beb9ab3545fc117"</definedName>
    <definedName name="QBREPORTCOMPANYID" localSheetId="15">"0bccf27934fe42a99beb9ab3545fc117"</definedName>
    <definedName name="QBREPORTCOMPANYID" localSheetId="16">"0bccf27934fe42a99beb9ab3545fc117"</definedName>
    <definedName name="QBREPORTCOMPANYID" localSheetId="24">"0bccf27934fe42a99beb9ab3545fc117"</definedName>
    <definedName name="QBREPORTCOMPANYID" localSheetId="29">"0bccf27934fe42a99beb9ab3545fc117"</definedName>
    <definedName name="QBREPORTCOMPANYID" localSheetId="25">"0bccf27934fe42a99beb9ab3545fc117"</definedName>
    <definedName name="QBREPORTCOMPANYID" localSheetId="30">"0bccf27934fe42a99beb9ab3545fc117"</definedName>
    <definedName name="QBREPORTCOMPANYID" localSheetId="26">"0bccf27934fe42a99beb9ab3545fc117"</definedName>
    <definedName name="QBREPORTCOMPANYID" localSheetId="31">"0bccf27934fe42a99beb9ab3545fc117"</definedName>
    <definedName name="QBREPORTCOMPANYID" localSheetId="27">"0bccf27934fe42a99beb9ab3545fc117"</definedName>
    <definedName name="QBREPORTCOMPANYID" localSheetId="28">"0bccf27934fe42a99beb9ab3545fc117"</definedName>
    <definedName name="QBREPORTCOMPARECOL_ANNUALBUDGET" localSheetId="12">FALSE</definedName>
    <definedName name="QBREPORTCOMPARECOL_ANNUALBUDGET" localSheetId="14">FALSE</definedName>
    <definedName name="QBREPORTCOMPARECOL_ANNUALBUDGET" localSheetId="17">FALSE</definedName>
    <definedName name="QBREPORTCOMPARECOL_ANNUALBUDGET" localSheetId="20">FALSE</definedName>
    <definedName name="QBREPORTCOMPARECOL_ANNUALBUDGET" localSheetId="18">FALSE</definedName>
    <definedName name="QBREPORTCOMPARECOL_ANNUALBUDGET" localSheetId="21">FALSE</definedName>
    <definedName name="QBREPORTCOMPARECOL_ANNUALBUDGET" localSheetId="19">FALSE</definedName>
    <definedName name="QBREPORTCOMPARECOL_ANNUALBUDGET" localSheetId="22">FALSE</definedName>
    <definedName name="QBREPORTCOMPARECOL_ANNUALBUDGET" localSheetId="15">FALSE</definedName>
    <definedName name="QBREPORTCOMPARECOL_ANNUALBUDGET" localSheetId="16">FALSE</definedName>
    <definedName name="QBREPORTCOMPARECOL_ANNUALBUDGET" localSheetId="24">FALSE</definedName>
    <definedName name="QBREPORTCOMPARECOL_ANNUALBUDGET" localSheetId="29">FALSE</definedName>
    <definedName name="QBREPORTCOMPARECOL_ANNUALBUDGET" localSheetId="25">FALSE</definedName>
    <definedName name="QBREPORTCOMPARECOL_ANNUALBUDGET" localSheetId="30">FALSE</definedName>
    <definedName name="QBREPORTCOMPARECOL_ANNUALBUDGET" localSheetId="26">FALSE</definedName>
    <definedName name="QBREPORTCOMPARECOL_ANNUALBUDGET" localSheetId="31">FALSE</definedName>
    <definedName name="QBREPORTCOMPARECOL_ANNUALBUDGET" localSheetId="27">FALSE</definedName>
    <definedName name="QBREPORTCOMPARECOL_ANNUALBUDGET" localSheetId="28">FALSE</definedName>
    <definedName name="QBREPORTCOMPARECOL_AVGCOGS" localSheetId="12">FALSE</definedName>
    <definedName name="QBREPORTCOMPARECOL_AVGCOGS" localSheetId="14">FALSE</definedName>
    <definedName name="QBREPORTCOMPARECOL_AVGCOGS" localSheetId="17">FALSE</definedName>
    <definedName name="QBREPORTCOMPARECOL_AVGCOGS" localSheetId="20">FALSE</definedName>
    <definedName name="QBREPORTCOMPARECOL_AVGCOGS" localSheetId="18">FALSE</definedName>
    <definedName name="QBREPORTCOMPARECOL_AVGCOGS" localSheetId="21">FALSE</definedName>
    <definedName name="QBREPORTCOMPARECOL_AVGCOGS" localSheetId="19">FALSE</definedName>
    <definedName name="QBREPORTCOMPARECOL_AVGCOGS" localSheetId="22">FALSE</definedName>
    <definedName name="QBREPORTCOMPARECOL_AVGCOGS" localSheetId="15">FALSE</definedName>
    <definedName name="QBREPORTCOMPARECOL_AVGCOGS" localSheetId="16">FALSE</definedName>
    <definedName name="QBREPORTCOMPARECOL_AVGCOGS" localSheetId="24">FALSE</definedName>
    <definedName name="QBREPORTCOMPARECOL_AVGCOGS" localSheetId="29">FALSE</definedName>
    <definedName name="QBREPORTCOMPARECOL_AVGCOGS" localSheetId="25">FALSE</definedName>
    <definedName name="QBREPORTCOMPARECOL_AVGCOGS" localSheetId="30">FALSE</definedName>
    <definedName name="QBREPORTCOMPARECOL_AVGCOGS" localSheetId="26">FALSE</definedName>
    <definedName name="QBREPORTCOMPARECOL_AVGCOGS" localSheetId="31">FALSE</definedName>
    <definedName name="QBREPORTCOMPARECOL_AVGCOGS" localSheetId="27">FALSE</definedName>
    <definedName name="QBREPORTCOMPARECOL_AVGCOGS" localSheetId="28">FALSE</definedName>
    <definedName name="QBREPORTCOMPARECOL_AVGPRICE" localSheetId="12">FALSE</definedName>
    <definedName name="QBREPORTCOMPARECOL_AVGPRICE" localSheetId="14">FALSE</definedName>
    <definedName name="QBREPORTCOMPARECOL_AVGPRICE" localSheetId="17">FALSE</definedName>
    <definedName name="QBREPORTCOMPARECOL_AVGPRICE" localSheetId="20">FALSE</definedName>
    <definedName name="QBREPORTCOMPARECOL_AVGPRICE" localSheetId="18">FALSE</definedName>
    <definedName name="QBREPORTCOMPARECOL_AVGPRICE" localSheetId="21">FALSE</definedName>
    <definedName name="QBREPORTCOMPARECOL_AVGPRICE" localSheetId="19">FALSE</definedName>
    <definedName name="QBREPORTCOMPARECOL_AVGPRICE" localSheetId="22">FALSE</definedName>
    <definedName name="QBREPORTCOMPARECOL_AVGPRICE" localSheetId="15">FALSE</definedName>
    <definedName name="QBREPORTCOMPARECOL_AVGPRICE" localSheetId="16">FALSE</definedName>
    <definedName name="QBREPORTCOMPARECOL_AVGPRICE" localSheetId="24">FALSE</definedName>
    <definedName name="QBREPORTCOMPARECOL_AVGPRICE" localSheetId="29">FALSE</definedName>
    <definedName name="QBREPORTCOMPARECOL_AVGPRICE" localSheetId="25">FALSE</definedName>
    <definedName name="QBREPORTCOMPARECOL_AVGPRICE" localSheetId="30">FALSE</definedName>
    <definedName name="QBREPORTCOMPARECOL_AVGPRICE" localSheetId="26">FALSE</definedName>
    <definedName name="QBREPORTCOMPARECOL_AVGPRICE" localSheetId="31">FALSE</definedName>
    <definedName name="QBREPORTCOMPARECOL_AVGPRICE" localSheetId="27">FALSE</definedName>
    <definedName name="QBREPORTCOMPARECOL_AVGPRICE" localSheetId="28">FALSE</definedName>
    <definedName name="QBREPORTCOMPARECOL_BUDDIFF" localSheetId="12">FALSE</definedName>
    <definedName name="QBREPORTCOMPARECOL_BUDDIFF" localSheetId="14">FALSE</definedName>
    <definedName name="QBREPORTCOMPARECOL_BUDDIFF" localSheetId="17">FALSE</definedName>
    <definedName name="QBREPORTCOMPARECOL_BUDDIFF" localSheetId="20">FALSE</definedName>
    <definedName name="QBREPORTCOMPARECOL_BUDDIFF" localSheetId="18">FALSE</definedName>
    <definedName name="QBREPORTCOMPARECOL_BUDDIFF" localSheetId="21">FALSE</definedName>
    <definedName name="QBREPORTCOMPARECOL_BUDDIFF" localSheetId="19">FALSE</definedName>
    <definedName name="QBREPORTCOMPARECOL_BUDDIFF" localSheetId="22">FALSE</definedName>
    <definedName name="QBREPORTCOMPARECOL_BUDDIFF" localSheetId="15">FALSE</definedName>
    <definedName name="QBREPORTCOMPARECOL_BUDDIFF" localSheetId="16">FALSE</definedName>
    <definedName name="QBREPORTCOMPARECOL_BUDDIFF" localSheetId="24">FALSE</definedName>
    <definedName name="QBREPORTCOMPARECOL_BUDDIFF" localSheetId="29">FALSE</definedName>
    <definedName name="QBREPORTCOMPARECOL_BUDDIFF" localSheetId="25">FALSE</definedName>
    <definedName name="QBREPORTCOMPARECOL_BUDDIFF" localSheetId="30">FALSE</definedName>
    <definedName name="QBREPORTCOMPARECOL_BUDDIFF" localSheetId="26">FALSE</definedName>
    <definedName name="QBREPORTCOMPARECOL_BUDDIFF" localSheetId="31">FALSE</definedName>
    <definedName name="QBREPORTCOMPARECOL_BUDDIFF" localSheetId="27">FALSE</definedName>
    <definedName name="QBREPORTCOMPARECOL_BUDDIFF" localSheetId="28">FALSE</definedName>
    <definedName name="QBREPORTCOMPARECOL_BUDGET" localSheetId="12">FALSE</definedName>
    <definedName name="QBREPORTCOMPARECOL_BUDGET" localSheetId="14">FALSE</definedName>
    <definedName name="QBREPORTCOMPARECOL_BUDGET" localSheetId="17">FALSE</definedName>
    <definedName name="QBREPORTCOMPARECOL_BUDGET" localSheetId="20">FALSE</definedName>
    <definedName name="QBREPORTCOMPARECOL_BUDGET" localSheetId="18">FALSE</definedName>
    <definedName name="QBREPORTCOMPARECOL_BUDGET" localSheetId="21">FALSE</definedName>
    <definedName name="QBREPORTCOMPARECOL_BUDGET" localSheetId="19">FALSE</definedName>
    <definedName name="QBREPORTCOMPARECOL_BUDGET" localSheetId="22">FALSE</definedName>
    <definedName name="QBREPORTCOMPARECOL_BUDGET" localSheetId="15">FALSE</definedName>
    <definedName name="QBREPORTCOMPARECOL_BUDGET" localSheetId="16">FALSE</definedName>
    <definedName name="QBREPORTCOMPARECOL_BUDGET" localSheetId="24">FALSE</definedName>
    <definedName name="QBREPORTCOMPARECOL_BUDGET" localSheetId="29">FALSE</definedName>
    <definedName name="QBREPORTCOMPARECOL_BUDGET" localSheetId="25">FALSE</definedName>
    <definedName name="QBREPORTCOMPARECOL_BUDGET" localSheetId="30">FALSE</definedName>
    <definedName name="QBREPORTCOMPARECOL_BUDGET" localSheetId="26">FALSE</definedName>
    <definedName name="QBREPORTCOMPARECOL_BUDGET" localSheetId="31">FALSE</definedName>
    <definedName name="QBREPORTCOMPARECOL_BUDGET" localSheetId="27">FALSE</definedName>
    <definedName name="QBREPORTCOMPARECOL_BUDGET" localSheetId="28">FALSE</definedName>
    <definedName name="QBREPORTCOMPARECOL_BUDPCT" localSheetId="12">FALSE</definedName>
    <definedName name="QBREPORTCOMPARECOL_BUDPCT" localSheetId="14">FALSE</definedName>
    <definedName name="QBREPORTCOMPARECOL_BUDPCT" localSheetId="17">FALSE</definedName>
    <definedName name="QBREPORTCOMPARECOL_BUDPCT" localSheetId="20">FALSE</definedName>
    <definedName name="QBREPORTCOMPARECOL_BUDPCT" localSheetId="18">FALSE</definedName>
    <definedName name="QBREPORTCOMPARECOL_BUDPCT" localSheetId="21">FALSE</definedName>
    <definedName name="QBREPORTCOMPARECOL_BUDPCT" localSheetId="19">FALSE</definedName>
    <definedName name="QBREPORTCOMPARECOL_BUDPCT" localSheetId="22">FALSE</definedName>
    <definedName name="QBREPORTCOMPARECOL_BUDPCT" localSheetId="15">FALSE</definedName>
    <definedName name="QBREPORTCOMPARECOL_BUDPCT" localSheetId="16">FALSE</definedName>
    <definedName name="QBREPORTCOMPARECOL_BUDPCT" localSheetId="24">FALSE</definedName>
    <definedName name="QBREPORTCOMPARECOL_BUDPCT" localSheetId="29">FALSE</definedName>
    <definedName name="QBREPORTCOMPARECOL_BUDPCT" localSheetId="25">FALSE</definedName>
    <definedName name="QBREPORTCOMPARECOL_BUDPCT" localSheetId="30">FALSE</definedName>
    <definedName name="QBREPORTCOMPARECOL_BUDPCT" localSheetId="26">FALSE</definedName>
    <definedName name="QBREPORTCOMPARECOL_BUDPCT" localSheetId="31">FALSE</definedName>
    <definedName name="QBREPORTCOMPARECOL_BUDPCT" localSheetId="27">FALSE</definedName>
    <definedName name="QBREPORTCOMPARECOL_BUDPCT" localSheetId="28">FALSE</definedName>
    <definedName name="QBREPORTCOMPARECOL_COGS" localSheetId="12">FALSE</definedName>
    <definedName name="QBREPORTCOMPARECOL_COGS" localSheetId="14">FALSE</definedName>
    <definedName name="QBREPORTCOMPARECOL_COGS" localSheetId="17">FALSE</definedName>
    <definedName name="QBREPORTCOMPARECOL_COGS" localSheetId="20">FALSE</definedName>
    <definedName name="QBREPORTCOMPARECOL_COGS" localSheetId="18">FALSE</definedName>
    <definedName name="QBREPORTCOMPARECOL_COGS" localSheetId="21">FALSE</definedName>
    <definedName name="QBREPORTCOMPARECOL_COGS" localSheetId="19">FALSE</definedName>
    <definedName name="QBREPORTCOMPARECOL_COGS" localSheetId="22">FALSE</definedName>
    <definedName name="QBREPORTCOMPARECOL_COGS" localSheetId="15">FALSE</definedName>
    <definedName name="QBREPORTCOMPARECOL_COGS" localSheetId="16">FALSE</definedName>
    <definedName name="QBREPORTCOMPARECOL_COGS" localSheetId="24">FALSE</definedName>
    <definedName name="QBREPORTCOMPARECOL_COGS" localSheetId="29">FALSE</definedName>
    <definedName name="QBREPORTCOMPARECOL_COGS" localSheetId="25">FALSE</definedName>
    <definedName name="QBREPORTCOMPARECOL_COGS" localSheetId="30">FALSE</definedName>
    <definedName name="QBREPORTCOMPARECOL_COGS" localSheetId="26">FALSE</definedName>
    <definedName name="QBREPORTCOMPARECOL_COGS" localSheetId="31">FALSE</definedName>
    <definedName name="QBREPORTCOMPARECOL_COGS" localSheetId="27">FALSE</definedName>
    <definedName name="QBREPORTCOMPARECOL_COGS" localSheetId="28">FALSE</definedName>
    <definedName name="QBREPORTCOMPARECOL_EXCLUDEAMOUNT" localSheetId="12">FALSE</definedName>
    <definedName name="QBREPORTCOMPARECOL_EXCLUDEAMOUNT" localSheetId="14">FALSE</definedName>
    <definedName name="QBREPORTCOMPARECOL_EXCLUDEAMOUNT" localSheetId="17">FALSE</definedName>
    <definedName name="QBREPORTCOMPARECOL_EXCLUDEAMOUNT" localSheetId="20">FALSE</definedName>
    <definedName name="QBREPORTCOMPARECOL_EXCLUDEAMOUNT" localSheetId="18">FALSE</definedName>
    <definedName name="QBREPORTCOMPARECOL_EXCLUDEAMOUNT" localSheetId="21">FALSE</definedName>
    <definedName name="QBREPORTCOMPARECOL_EXCLUDEAMOUNT" localSheetId="19">FALSE</definedName>
    <definedName name="QBREPORTCOMPARECOL_EXCLUDEAMOUNT" localSheetId="22">FALSE</definedName>
    <definedName name="QBREPORTCOMPARECOL_EXCLUDEAMOUNT" localSheetId="15">FALSE</definedName>
    <definedName name="QBREPORTCOMPARECOL_EXCLUDEAMOUNT" localSheetId="16">FALSE</definedName>
    <definedName name="QBREPORTCOMPARECOL_EXCLUDEAMOUNT" localSheetId="24">FALSE</definedName>
    <definedName name="QBREPORTCOMPARECOL_EXCLUDEAMOUNT" localSheetId="29">FALSE</definedName>
    <definedName name="QBREPORTCOMPARECOL_EXCLUDEAMOUNT" localSheetId="25">FALSE</definedName>
    <definedName name="QBREPORTCOMPARECOL_EXCLUDEAMOUNT" localSheetId="30">FALSE</definedName>
    <definedName name="QBREPORTCOMPARECOL_EXCLUDEAMOUNT" localSheetId="26">FALSE</definedName>
    <definedName name="QBREPORTCOMPARECOL_EXCLUDEAMOUNT" localSheetId="31">FALSE</definedName>
    <definedName name="QBREPORTCOMPARECOL_EXCLUDEAMOUNT" localSheetId="27">FALSE</definedName>
    <definedName name="QBREPORTCOMPARECOL_EXCLUDEAMOUNT" localSheetId="28">FALSE</definedName>
    <definedName name="QBREPORTCOMPARECOL_EXCLUDECURPERIOD" localSheetId="12">FALSE</definedName>
    <definedName name="QBREPORTCOMPARECOL_EXCLUDECURPERIOD" localSheetId="14">FALSE</definedName>
    <definedName name="QBREPORTCOMPARECOL_EXCLUDECURPERIOD" localSheetId="17">FALSE</definedName>
    <definedName name="QBREPORTCOMPARECOL_EXCLUDECURPERIOD" localSheetId="20">FALSE</definedName>
    <definedName name="QBREPORTCOMPARECOL_EXCLUDECURPERIOD" localSheetId="18">FALSE</definedName>
    <definedName name="QBREPORTCOMPARECOL_EXCLUDECURPERIOD" localSheetId="21">FALSE</definedName>
    <definedName name="QBREPORTCOMPARECOL_EXCLUDECURPERIOD" localSheetId="19">FALSE</definedName>
    <definedName name="QBREPORTCOMPARECOL_EXCLUDECURPERIOD" localSheetId="22">FALSE</definedName>
    <definedName name="QBREPORTCOMPARECOL_EXCLUDECURPERIOD" localSheetId="15">FALSE</definedName>
    <definedName name="QBREPORTCOMPARECOL_EXCLUDECURPERIOD" localSheetId="16">FALSE</definedName>
    <definedName name="QBREPORTCOMPARECOL_EXCLUDECURPERIOD" localSheetId="24">FALSE</definedName>
    <definedName name="QBREPORTCOMPARECOL_EXCLUDECURPERIOD" localSheetId="29">FALSE</definedName>
    <definedName name="QBREPORTCOMPARECOL_EXCLUDECURPERIOD" localSheetId="25">FALSE</definedName>
    <definedName name="QBREPORTCOMPARECOL_EXCLUDECURPERIOD" localSheetId="30">FALSE</definedName>
    <definedName name="QBREPORTCOMPARECOL_EXCLUDECURPERIOD" localSheetId="26">FALSE</definedName>
    <definedName name="QBREPORTCOMPARECOL_EXCLUDECURPERIOD" localSheetId="31">FALSE</definedName>
    <definedName name="QBREPORTCOMPARECOL_EXCLUDECURPERIOD" localSheetId="27">FALSE</definedName>
    <definedName name="QBREPORTCOMPARECOL_EXCLUDECURPERIOD" localSheetId="28">FALSE</definedName>
    <definedName name="QBREPORTCOMPARECOL_FORECAST" localSheetId="12">FALSE</definedName>
    <definedName name="QBREPORTCOMPARECOL_FORECAST" localSheetId="14">FALSE</definedName>
    <definedName name="QBREPORTCOMPARECOL_FORECAST" localSheetId="17">FALSE</definedName>
    <definedName name="QBREPORTCOMPARECOL_FORECAST" localSheetId="20">FALSE</definedName>
    <definedName name="QBREPORTCOMPARECOL_FORECAST" localSheetId="18">FALSE</definedName>
    <definedName name="QBREPORTCOMPARECOL_FORECAST" localSheetId="21">FALSE</definedName>
    <definedName name="QBREPORTCOMPARECOL_FORECAST" localSheetId="19">FALSE</definedName>
    <definedName name="QBREPORTCOMPARECOL_FORECAST" localSheetId="22">FALSE</definedName>
    <definedName name="QBREPORTCOMPARECOL_FORECAST" localSheetId="15">FALSE</definedName>
    <definedName name="QBREPORTCOMPARECOL_FORECAST" localSheetId="16">FALSE</definedName>
    <definedName name="QBREPORTCOMPARECOL_FORECAST" localSheetId="24">FALSE</definedName>
    <definedName name="QBREPORTCOMPARECOL_FORECAST" localSheetId="29">FALSE</definedName>
    <definedName name="QBREPORTCOMPARECOL_FORECAST" localSheetId="25">FALSE</definedName>
    <definedName name="QBREPORTCOMPARECOL_FORECAST" localSheetId="30">FALSE</definedName>
    <definedName name="QBREPORTCOMPARECOL_FORECAST" localSheetId="26">FALSE</definedName>
    <definedName name="QBREPORTCOMPARECOL_FORECAST" localSheetId="31">FALSE</definedName>
    <definedName name="QBREPORTCOMPARECOL_FORECAST" localSheetId="27">FALSE</definedName>
    <definedName name="QBREPORTCOMPARECOL_FORECAST" localSheetId="28">FALSE</definedName>
    <definedName name="QBREPORTCOMPARECOL_GROSSMARGIN" localSheetId="12">FALSE</definedName>
    <definedName name="QBREPORTCOMPARECOL_GROSSMARGIN" localSheetId="14">FALSE</definedName>
    <definedName name="QBREPORTCOMPARECOL_GROSSMARGIN" localSheetId="17">FALSE</definedName>
    <definedName name="QBREPORTCOMPARECOL_GROSSMARGIN" localSheetId="20">FALSE</definedName>
    <definedName name="QBREPORTCOMPARECOL_GROSSMARGIN" localSheetId="18">FALSE</definedName>
    <definedName name="QBREPORTCOMPARECOL_GROSSMARGIN" localSheetId="21">FALSE</definedName>
    <definedName name="QBREPORTCOMPARECOL_GROSSMARGIN" localSheetId="19">FALSE</definedName>
    <definedName name="QBREPORTCOMPARECOL_GROSSMARGIN" localSheetId="22">FALSE</definedName>
    <definedName name="QBREPORTCOMPARECOL_GROSSMARGIN" localSheetId="15">FALSE</definedName>
    <definedName name="QBREPORTCOMPARECOL_GROSSMARGIN" localSheetId="16">FALSE</definedName>
    <definedName name="QBREPORTCOMPARECOL_GROSSMARGIN" localSheetId="24">FALSE</definedName>
    <definedName name="QBREPORTCOMPARECOL_GROSSMARGIN" localSheetId="29">FALSE</definedName>
    <definedName name="QBREPORTCOMPARECOL_GROSSMARGIN" localSheetId="25">FALSE</definedName>
    <definedName name="QBREPORTCOMPARECOL_GROSSMARGIN" localSheetId="30">FALSE</definedName>
    <definedName name="QBREPORTCOMPARECOL_GROSSMARGIN" localSheetId="26">FALSE</definedName>
    <definedName name="QBREPORTCOMPARECOL_GROSSMARGIN" localSheetId="31">FALSE</definedName>
    <definedName name="QBREPORTCOMPARECOL_GROSSMARGIN" localSheetId="27">FALSE</definedName>
    <definedName name="QBREPORTCOMPARECOL_GROSSMARGIN" localSheetId="28">FALSE</definedName>
    <definedName name="QBREPORTCOMPARECOL_GROSSMARGINPCT" localSheetId="12">FALSE</definedName>
    <definedName name="QBREPORTCOMPARECOL_GROSSMARGINPCT" localSheetId="14">FALSE</definedName>
    <definedName name="QBREPORTCOMPARECOL_GROSSMARGINPCT" localSheetId="17">FALSE</definedName>
    <definedName name="QBREPORTCOMPARECOL_GROSSMARGINPCT" localSheetId="20">FALSE</definedName>
    <definedName name="QBREPORTCOMPARECOL_GROSSMARGINPCT" localSheetId="18">FALSE</definedName>
    <definedName name="QBREPORTCOMPARECOL_GROSSMARGINPCT" localSheetId="21">FALSE</definedName>
    <definedName name="QBREPORTCOMPARECOL_GROSSMARGINPCT" localSheetId="19">FALSE</definedName>
    <definedName name="QBREPORTCOMPARECOL_GROSSMARGINPCT" localSheetId="22">FALSE</definedName>
    <definedName name="QBREPORTCOMPARECOL_GROSSMARGINPCT" localSheetId="15">FALSE</definedName>
    <definedName name="QBREPORTCOMPARECOL_GROSSMARGINPCT" localSheetId="16">FALSE</definedName>
    <definedName name="QBREPORTCOMPARECOL_GROSSMARGINPCT" localSheetId="24">FALSE</definedName>
    <definedName name="QBREPORTCOMPARECOL_GROSSMARGINPCT" localSheetId="29">FALSE</definedName>
    <definedName name="QBREPORTCOMPARECOL_GROSSMARGINPCT" localSheetId="25">FALSE</definedName>
    <definedName name="QBREPORTCOMPARECOL_GROSSMARGINPCT" localSheetId="30">FALSE</definedName>
    <definedName name="QBREPORTCOMPARECOL_GROSSMARGINPCT" localSheetId="26">FALSE</definedName>
    <definedName name="QBREPORTCOMPARECOL_GROSSMARGINPCT" localSheetId="31">FALSE</definedName>
    <definedName name="QBREPORTCOMPARECOL_GROSSMARGINPCT" localSheetId="27">FALSE</definedName>
    <definedName name="QBREPORTCOMPARECOL_GROSSMARGINPCT" localSheetId="28">FALSE</definedName>
    <definedName name="QBREPORTCOMPARECOL_HOURS" localSheetId="12">FALSE</definedName>
    <definedName name="QBREPORTCOMPARECOL_HOURS" localSheetId="14">FALSE</definedName>
    <definedName name="QBREPORTCOMPARECOL_HOURS" localSheetId="17">FALSE</definedName>
    <definedName name="QBREPORTCOMPARECOL_HOURS" localSheetId="20">FALSE</definedName>
    <definedName name="QBREPORTCOMPARECOL_HOURS" localSheetId="18">FALSE</definedName>
    <definedName name="QBREPORTCOMPARECOL_HOURS" localSheetId="21">FALSE</definedName>
    <definedName name="QBREPORTCOMPARECOL_HOURS" localSheetId="19">FALSE</definedName>
    <definedName name="QBREPORTCOMPARECOL_HOURS" localSheetId="22">FALSE</definedName>
    <definedName name="QBREPORTCOMPARECOL_HOURS" localSheetId="15">FALSE</definedName>
    <definedName name="QBREPORTCOMPARECOL_HOURS" localSheetId="16">FALSE</definedName>
    <definedName name="QBREPORTCOMPARECOL_HOURS" localSheetId="24">FALSE</definedName>
    <definedName name="QBREPORTCOMPARECOL_HOURS" localSheetId="29">FALSE</definedName>
    <definedName name="QBREPORTCOMPARECOL_HOURS" localSheetId="25">FALSE</definedName>
    <definedName name="QBREPORTCOMPARECOL_HOURS" localSheetId="30">FALSE</definedName>
    <definedName name="QBREPORTCOMPARECOL_HOURS" localSheetId="26">FALSE</definedName>
    <definedName name="QBREPORTCOMPARECOL_HOURS" localSheetId="31">FALSE</definedName>
    <definedName name="QBREPORTCOMPARECOL_HOURS" localSheetId="27">FALSE</definedName>
    <definedName name="QBREPORTCOMPARECOL_HOURS" localSheetId="28">FALSE</definedName>
    <definedName name="QBREPORTCOMPARECOL_PCTCOL" localSheetId="12">FALSE</definedName>
    <definedName name="QBREPORTCOMPARECOL_PCTCOL" localSheetId="14">FALSE</definedName>
    <definedName name="QBREPORTCOMPARECOL_PCTCOL" localSheetId="17">FALSE</definedName>
    <definedName name="QBREPORTCOMPARECOL_PCTCOL" localSheetId="20">FALSE</definedName>
    <definedName name="QBREPORTCOMPARECOL_PCTCOL" localSheetId="18">FALSE</definedName>
    <definedName name="QBREPORTCOMPARECOL_PCTCOL" localSheetId="21">FALSE</definedName>
    <definedName name="QBREPORTCOMPARECOL_PCTCOL" localSheetId="19">FALSE</definedName>
    <definedName name="QBREPORTCOMPARECOL_PCTCOL" localSheetId="22">FALSE</definedName>
    <definedName name="QBREPORTCOMPARECOL_PCTCOL" localSheetId="15">FALSE</definedName>
    <definedName name="QBREPORTCOMPARECOL_PCTCOL" localSheetId="16">FALSE</definedName>
    <definedName name="QBREPORTCOMPARECOL_PCTCOL" localSheetId="24">FALSE</definedName>
    <definedName name="QBREPORTCOMPARECOL_PCTCOL" localSheetId="29">FALSE</definedName>
    <definedName name="QBREPORTCOMPARECOL_PCTCOL" localSheetId="25">FALSE</definedName>
    <definedName name="QBREPORTCOMPARECOL_PCTCOL" localSheetId="30">FALSE</definedName>
    <definedName name="QBREPORTCOMPARECOL_PCTCOL" localSheetId="26">FALSE</definedName>
    <definedName name="QBREPORTCOMPARECOL_PCTCOL" localSheetId="31">FALSE</definedName>
    <definedName name="QBREPORTCOMPARECOL_PCTCOL" localSheetId="27">FALSE</definedName>
    <definedName name="QBREPORTCOMPARECOL_PCTCOL" localSheetId="28">FALSE</definedName>
    <definedName name="QBREPORTCOMPARECOL_PCTEXPENSE" localSheetId="12">FALSE</definedName>
    <definedName name="QBREPORTCOMPARECOL_PCTEXPENSE" localSheetId="14">FALSE</definedName>
    <definedName name="QBREPORTCOMPARECOL_PCTEXPENSE" localSheetId="17">FALSE</definedName>
    <definedName name="QBREPORTCOMPARECOL_PCTEXPENSE" localSheetId="20">FALSE</definedName>
    <definedName name="QBREPORTCOMPARECOL_PCTEXPENSE" localSheetId="18">FALSE</definedName>
    <definedName name="QBREPORTCOMPARECOL_PCTEXPENSE" localSheetId="21">FALSE</definedName>
    <definedName name="QBREPORTCOMPARECOL_PCTEXPENSE" localSheetId="19">FALSE</definedName>
    <definedName name="QBREPORTCOMPARECOL_PCTEXPENSE" localSheetId="22">FALSE</definedName>
    <definedName name="QBREPORTCOMPARECOL_PCTEXPENSE" localSheetId="15">FALSE</definedName>
    <definedName name="QBREPORTCOMPARECOL_PCTEXPENSE" localSheetId="16">FALSE</definedName>
    <definedName name="QBREPORTCOMPARECOL_PCTEXPENSE" localSheetId="24">FALSE</definedName>
    <definedName name="QBREPORTCOMPARECOL_PCTEXPENSE" localSheetId="29">FALSE</definedName>
    <definedName name="QBREPORTCOMPARECOL_PCTEXPENSE" localSheetId="25">FALSE</definedName>
    <definedName name="QBREPORTCOMPARECOL_PCTEXPENSE" localSheetId="30">FALSE</definedName>
    <definedName name="QBREPORTCOMPARECOL_PCTEXPENSE" localSheetId="26">FALSE</definedName>
    <definedName name="QBREPORTCOMPARECOL_PCTEXPENSE" localSheetId="31">FALSE</definedName>
    <definedName name="QBREPORTCOMPARECOL_PCTEXPENSE" localSheetId="27">FALSE</definedName>
    <definedName name="QBREPORTCOMPARECOL_PCTEXPENSE" localSheetId="28">FALSE</definedName>
    <definedName name="QBREPORTCOMPARECOL_PCTINCOME" localSheetId="12">FALSE</definedName>
    <definedName name="QBREPORTCOMPARECOL_PCTINCOME" localSheetId="14">FALSE</definedName>
    <definedName name="QBREPORTCOMPARECOL_PCTINCOME" localSheetId="17">FALSE</definedName>
    <definedName name="QBREPORTCOMPARECOL_PCTINCOME" localSheetId="20">FALSE</definedName>
    <definedName name="QBREPORTCOMPARECOL_PCTINCOME" localSheetId="18">FALSE</definedName>
    <definedName name="QBREPORTCOMPARECOL_PCTINCOME" localSheetId="21">FALSE</definedName>
    <definedName name="QBREPORTCOMPARECOL_PCTINCOME" localSheetId="19">FALSE</definedName>
    <definedName name="QBREPORTCOMPARECOL_PCTINCOME" localSheetId="22">FALSE</definedName>
    <definedName name="QBREPORTCOMPARECOL_PCTINCOME" localSheetId="15">FALSE</definedName>
    <definedName name="QBREPORTCOMPARECOL_PCTINCOME" localSheetId="16">FALSE</definedName>
    <definedName name="QBREPORTCOMPARECOL_PCTINCOME" localSheetId="24">FALSE</definedName>
    <definedName name="QBREPORTCOMPARECOL_PCTINCOME" localSheetId="29">FALSE</definedName>
    <definedName name="QBREPORTCOMPARECOL_PCTINCOME" localSheetId="25">FALSE</definedName>
    <definedName name="QBREPORTCOMPARECOL_PCTINCOME" localSheetId="30">FALSE</definedName>
    <definedName name="QBREPORTCOMPARECOL_PCTINCOME" localSheetId="26">FALSE</definedName>
    <definedName name="QBREPORTCOMPARECOL_PCTINCOME" localSheetId="31">FALSE</definedName>
    <definedName name="QBREPORTCOMPARECOL_PCTINCOME" localSheetId="27">FALSE</definedName>
    <definedName name="QBREPORTCOMPARECOL_PCTINCOME" localSheetId="28">FALSE</definedName>
    <definedName name="QBREPORTCOMPARECOL_PCTOFSALES" localSheetId="12">FALSE</definedName>
    <definedName name="QBREPORTCOMPARECOL_PCTOFSALES" localSheetId="14">FALSE</definedName>
    <definedName name="QBREPORTCOMPARECOL_PCTOFSALES" localSheetId="17">FALSE</definedName>
    <definedName name="QBREPORTCOMPARECOL_PCTOFSALES" localSheetId="20">FALSE</definedName>
    <definedName name="QBREPORTCOMPARECOL_PCTOFSALES" localSheetId="18">FALSE</definedName>
    <definedName name="QBREPORTCOMPARECOL_PCTOFSALES" localSheetId="21">FALSE</definedName>
    <definedName name="QBREPORTCOMPARECOL_PCTOFSALES" localSheetId="19">FALSE</definedName>
    <definedName name="QBREPORTCOMPARECOL_PCTOFSALES" localSheetId="22">FALSE</definedName>
    <definedName name="QBREPORTCOMPARECOL_PCTOFSALES" localSheetId="15">FALSE</definedName>
    <definedName name="QBREPORTCOMPARECOL_PCTOFSALES" localSheetId="16">FALSE</definedName>
    <definedName name="QBREPORTCOMPARECOL_PCTOFSALES" localSheetId="24">FALSE</definedName>
    <definedName name="QBREPORTCOMPARECOL_PCTOFSALES" localSheetId="29">FALSE</definedName>
    <definedName name="QBREPORTCOMPARECOL_PCTOFSALES" localSheetId="25">FALSE</definedName>
    <definedName name="QBREPORTCOMPARECOL_PCTOFSALES" localSheetId="30">FALSE</definedName>
    <definedName name="QBREPORTCOMPARECOL_PCTOFSALES" localSheetId="26">FALSE</definedName>
    <definedName name="QBREPORTCOMPARECOL_PCTOFSALES" localSheetId="31">FALSE</definedName>
    <definedName name="QBREPORTCOMPARECOL_PCTOFSALES" localSheetId="27">FALSE</definedName>
    <definedName name="QBREPORTCOMPARECOL_PCTOFSALES" localSheetId="28">FALSE</definedName>
    <definedName name="QBREPORTCOMPARECOL_PCTROW" localSheetId="12">FALSE</definedName>
    <definedName name="QBREPORTCOMPARECOL_PCTROW" localSheetId="14">FALSE</definedName>
    <definedName name="QBREPORTCOMPARECOL_PCTROW" localSheetId="17">FALSE</definedName>
    <definedName name="QBREPORTCOMPARECOL_PCTROW" localSheetId="20">FALSE</definedName>
    <definedName name="QBREPORTCOMPARECOL_PCTROW" localSheetId="18">FALSE</definedName>
    <definedName name="QBREPORTCOMPARECOL_PCTROW" localSheetId="21">FALSE</definedName>
    <definedName name="QBREPORTCOMPARECOL_PCTROW" localSheetId="19">FALSE</definedName>
    <definedName name="QBREPORTCOMPARECOL_PCTROW" localSheetId="22">FALSE</definedName>
    <definedName name="QBREPORTCOMPARECOL_PCTROW" localSheetId="15">FALSE</definedName>
    <definedName name="QBREPORTCOMPARECOL_PCTROW" localSheetId="16">FALSE</definedName>
    <definedName name="QBREPORTCOMPARECOL_PCTROW" localSheetId="24">FALSE</definedName>
    <definedName name="QBREPORTCOMPARECOL_PCTROW" localSheetId="29">FALSE</definedName>
    <definedName name="QBREPORTCOMPARECOL_PCTROW" localSheetId="25">FALSE</definedName>
    <definedName name="QBREPORTCOMPARECOL_PCTROW" localSheetId="30">FALSE</definedName>
    <definedName name="QBREPORTCOMPARECOL_PCTROW" localSheetId="26">FALSE</definedName>
    <definedName name="QBREPORTCOMPARECOL_PCTROW" localSheetId="31">FALSE</definedName>
    <definedName name="QBREPORTCOMPARECOL_PCTROW" localSheetId="27">FALSE</definedName>
    <definedName name="QBREPORTCOMPARECOL_PCTROW" localSheetId="28">FALSE</definedName>
    <definedName name="QBREPORTCOMPARECOL_PPDIFF" localSheetId="12">FALSE</definedName>
    <definedName name="QBREPORTCOMPARECOL_PPDIFF" localSheetId="14">FALSE</definedName>
    <definedName name="QBREPORTCOMPARECOL_PPDIFF" localSheetId="17">FALSE</definedName>
    <definedName name="QBREPORTCOMPARECOL_PPDIFF" localSheetId="20">FALSE</definedName>
    <definedName name="QBREPORTCOMPARECOL_PPDIFF" localSheetId="18">FALSE</definedName>
    <definedName name="QBREPORTCOMPARECOL_PPDIFF" localSheetId="21">FALSE</definedName>
    <definedName name="QBREPORTCOMPARECOL_PPDIFF" localSheetId="19">FALSE</definedName>
    <definedName name="QBREPORTCOMPARECOL_PPDIFF" localSheetId="22">FALSE</definedName>
    <definedName name="QBREPORTCOMPARECOL_PPDIFF" localSheetId="15">FALSE</definedName>
    <definedName name="QBREPORTCOMPARECOL_PPDIFF" localSheetId="16">FALSE</definedName>
    <definedName name="QBREPORTCOMPARECOL_PPDIFF" localSheetId="24">FALSE</definedName>
    <definedName name="QBREPORTCOMPARECOL_PPDIFF" localSheetId="29">FALSE</definedName>
    <definedName name="QBREPORTCOMPARECOL_PPDIFF" localSheetId="25">FALSE</definedName>
    <definedName name="QBREPORTCOMPARECOL_PPDIFF" localSheetId="30">FALSE</definedName>
    <definedName name="QBREPORTCOMPARECOL_PPDIFF" localSheetId="26">FALSE</definedName>
    <definedName name="QBREPORTCOMPARECOL_PPDIFF" localSheetId="31">FALSE</definedName>
    <definedName name="QBREPORTCOMPARECOL_PPDIFF" localSheetId="27">FALSE</definedName>
    <definedName name="QBREPORTCOMPARECOL_PPDIFF" localSheetId="28">FALSE</definedName>
    <definedName name="QBREPORTCOMPARECOL_PPPCT" localSheetId="12">FALSE</definedName>
    <definedName name="QBREPORTCOMPARECOL_PPPCT" localSheetId="14">FALSE</definedName>
    <definedName name="QBREPORTCOMPARECOL_PPPCT" localSheetId="17">FALSE</definedName>
    <definedName name="QBREPORTCOMPARECOL_PPPCT" localSheetId="20">FALSE</definedName>
    <definedName name="QBREPORTCOMPARECOL_PPPCT" localSheetId="18">FALSE</definedName>
    <definedName name="QBREPORTCOMPARECOL_PPPCT" localSheetId="21">FALSE</definedName>
    <definedName name="QBREPORTCOMPARECOL_PPPCT" localSheetId="19">FALSE</definedName>
    <definedName name="QBREPORTCOMPARECOL_PPPCT" localSheetId="22">FALSE</definedName>
    <definedName name="QBREPORTCOMPARECOL_PPPCT" localSheetId="15">FALSE</definedName>
    <definedName name="QBREPORTCOMPARECOL_PPPCT" localSheetId="16">FALSE</definedName>
    <definedName name="QBREPORTCOMPARECOL_PPPCT" localSheetId="24">FALSE</definedName>
    <definedName name="QBREPORTCOMPARECOL_PPPCT" localSheetId="29">FALSE</definedName>
    <definedName name="QBREPORTCOMPARECOL_PPPCT" localSheetId="25">FALSE</definedName>
    <definedName name="QBREPORTCOMPARECOL_PPPCT" localSheetId="30">FALSE</definedName>
    <definedName name="QBREPORTCOMPARECOL_PPPCT" localSheetId="26">FALSE</definedName>
    <definedName name="QBREPORTCOMPARECOL_PPPCT" localSheetId="31">FALSE</definedName>
    <definedName name="QBREPORTCOMPARECOL_PPPCT" localSheetId="27">FALSE</definedName>
    <definedName name="QBREPORTCOMPARECOL_PPPCT" localSheetId="28">FALSE</definedName>
    <definedName name="QBREPORTCOMPARECOL_PREVPERIOD" localSheetId="12">FALSE</definedName>
    <definedName name="QBREPORTCOMPARECOL_PREVPERIOD" localSheetId="14">FALSE</definedName>
    <definedName name="QBREPORTCOMPARECOL_PREVPERIOD" localSheetId="17">FALSE</definedName>
    <definedName name="QBREPORTCOMPARECOL_PREVPERIOD" localSheetId="20">FALSE</definedName>
    <definedName name="QBREPORTCOMPARECOL_PREVPERIOD" localSheetId="18">FALSE</definedName>
    <definedName name="QBREPORTCOMPARECOL_PREVPERIOD" localSheetId="21">FALSE</definedName>
    <definedName name="QBREPORTCOMPARECOL_PREVPERIOD" localSheetId="19">FALSE</definedName>
    <definedName name="QBREPORTCOMPARECOL_PREVPERIOD" localSheetId="22">FALSE</definedName>
    <definedName name="QBREPORTCOMPARECOL_PREVPERIOD" localSheetId="15">FALSE</definedName>
    <definedName name="QBREPORTCOMPARECOL_PREVPERIOD" localSheetId="16">FALSE</definedName>
    <definedName name="QBREPORTCOMPARECOL_PREVPERIOD" localSheetId="24">FALSE</definedName>
    <definedName name="QBREPORTCOMPARECOL_PREVPERIOD" localSheetId="29">FALSE</definedName>
    <definedName name="QBREPORTCOMPARECOL_PREVPERIOD" localSheetId="25">FALSE</definedName>
    <definedName name="QBREPORTCOMPARECOL_PREVPERIOD" localSheetId="30">FALSE</definedName>
    <definedName name="QBREPORTCOMPARECOL_PREVPERIOD" localSheetId="26">FALSE</definedName>
    <definedName name="QBREPORTCOMPARECOL_PREVPERIOD" localSheetId="31">FALSE</definedName>
    <definedName name="QBREPORTCOMPARECOL_PREVPERIOD" localSheetId="27">FALSE</definedName>
    <definedName name="QBREPORTCOMPARECOL_PREVPERIOD" localSheetId="28">FALSE</definedName>
    <definedName name="QBREPORTCOMPARECOL_PREVYEAR" localSheetId="12">FALSE</definedName>
    <definedName name="QBREPORTCOMPARECOL_PREVYEAR" localSheetId="14">FALSE</definedName>
    <definedName name="QBREPORTCOMPARECOL_PREVYEAR" localSheetId="17">FALSE</definedName>
    <definedName name="QBREPORTCOMPARECOL_PREVYEAR" localSheetId="20">FALSE</definedName>
    <definedName name="QBREPORTCOMPARECOL_PREVYEAR" localSheetId="18">FALSE</definedName>
    <definedName name="QBREPORTCOMPARECOL_PREVYEAR" localSheetId="21">FALSE</definedName>
    <definedName name="QBREPORTCOMPARECOL_PREVYEAR" localSheetId="19">FALSE</definedName>
    <definedName name="QBREPORTCOMPARECOL_PREVYEAR" localSheetId="22">FALSE</definedName>
    <definedName name="QBREPORTCOMPARECOL_PREVYEAR" localSheetId="15">FALSE</definedName>
    <definedName name="QBREPORTCOMPARECOL_PREVYEAR" localSheetId="16">FALSE</definedName>
    <definedName name="QBREPORTCOMPARECOL_PREVYEAR" localSheetId="24">FALSE</definedName>
    <definedName name="QBREPORTCOMPARECOL_PREVYEAR" localSheetId="29">FALSE</definedName>
    <definedName name="QBREPORTCOMPARECOL_PREVYEAR" localSheetId="25">FALSE</definedName>
    <definedName name="QBREPORTCOMPARECOL_PREVYEAR" localSheetId="30">FALSE</definedName>
    <definedName name="QBREPORTCOMPARECOL_PREVYEAR" localSheetId="26">FALSE</definedName>
    <definedName name="QBREPORTCOMPARECOL_PREVYEAR" localSheetId="31">FALSE</definedName>
    <definedName name="QBREPORTCOMPARECOL_PREVYEAR" localSheetId="27">FALSE</definedName>
    <definedName name="QBREPORTCOMPARECOL_PREVYEAR" localSheetId="28">FALSE</definedName>
    <definedName name="QBREPORTCOMPARECOL_PYDIFF" localSheetId="12">FALSE</definedName>
    <definedName name="QBREPORTCOMPARECOL_PYDIFF" localSheetId="14">FALSE</definedName>
    <definedName name="QBREPORTCOMPARECOL_PYDIFF" localSheetId="17">FALSE</definedName>
    <definedName name="QBREPORTCOMPARECOL_PYDIFF" localSheetId="20">FALSE</definedName>
    <definedName name="QBREPORTCOMPARECOL_PYDIFF" localSheetId="18">FALSE</definedName>
    <definedName name="QBREPORTCOMPARECOL_PYDIFF" localSheetId="21">FALSE</definedName>
    <definedName name="QBREPORTCOMPARECOL_PYDIFF" localSheetId="19">FALSE</definedName>
    <definedName name="QBREPORTCOMPARECOL_PYDIFF" localSheetId="22">FALSE</definedName>
    <definedName name="QBREPORTCOMPARECOL_PYDIFF" localSheetId="15">FALSE</definedName>
    <definedName name="QBREPORTCOMPARECOL_PYDIFF" localSheetId="16">FALSE</definedName>
    <definedName name="QBREPORTCOMPARECOL_PYDIFF" localSheetId="24">FALSE</definedName>
    <definedName name="QBREPORTCOMPARECOL_PYDIFF" localSheetId="29">FALSE</definedName>
    <definedName name="QBREPORTCOMPARECOL_PYDIFF" localSheetId="25">FALSE</definedName>
    <definedName name="QBREPORTCOMPARECOL_PYDIFF" localSheetId="30">FALSE</definedName>
    <definedName name="QBREPORTCOMPARECOL_PYDIFF" localSheetId="26">FALSE</definedName>
    <definedName name="QBREPORTCOMPARECOL_PYDIFF" localSheetId="31">FALSE</definedName>
    <definedName name="QBREPORTCOMPARECOL_PYDIFF" localSheetId="27">FALSE</definedName>
    <definedName name="QBREPORTCOMPARECOL_PYDIFF" localSheetId="28">FALSE</definedName>
    <definedName name="QBREPORTCOMPARECOL_PYPCT" localSheetId="12">FALSE</definedName>
    <definedName name="QBREPORTCOMPARECOL_PYPCT" localSheetId="14">FALSE</definedName>
    <definedName name="QBREPORTCOMPARECOL_PYPCT" localSheetId="17">FALSE</definedName>
    <definedName name="QBREPORTCOMPARECOL_PYPCT" localSheetId="20">FALSE</definedName>
    <definedName name="QBREPORTCOMPARECOL_PYPCT" localSheetId="18">FALSE</definedName>
    <definedName name="QBREPORTCOMPARECOL_PYPCT" localSheetId="21">FALSE</definedName>
    <definedName name="QBREPORTCOMPARECOL_PYPCT" localSheetId="19">FALSE</definedName>
    <definedName name="QBREPORTCOMPARECOL_PYPCT" localSheetId="22">FALSE</definedName>
    <definedName name="QBREPORTCOMPARECOL_PYPCT" localSheetId="15">FALSE</definedName>
    <definedName name="QBREPORTCOMPARECOL_PYPCT" localSheetId="16">FALSE</definedName>
    <definedName name="QBREPORTCOMPARECOL_PYPCT" localSheetId="24">FALSE</definedName>
    <definedName name="QBREPORTCOMPARECOL_PYPCT" localSheetId="29">FALSE</definedName>
    <definedName name="QBREPORTCOMPARECOL_PYPCT" localSheetId="25">FALSE</definedName>
    <definedName name="QBREPORTCOMPARECOL_PYPCT" localSheetId="30">FALSE</definedName>
    <definedName name="QBREPORTCOMPARECOL_PYPCT" localSheetId="26">FALSE</definedName>
    <definedName name="QBREPORTCOMPARECOL_PYPCT" localSheetId="31">FALSE</definedName>
    <definedName name="QBREPORTCOMPARECOL_PYPCT" localSheetId="27">FALSE</definedName>
    <definedName name="QBREPORTCOMPARECOL_PYPCT" localSheetId="28">FALSE</definedName>
    <definedName name="QBREPORTCOMPARECOL_QTY" localSheetId="12">FALSE</definedName>
    <definedName name="QBREPORTCOMPARECOL_QTY" localSheetId="14">FALSE</definedName>
    <definedName name="QBREPORTCOMPARECOL_QTY" localSheetId="17">FALSE</definedName>
    <definedName name="QBREPORTCOMPARECOL_QTY" localSheetId="20">FALSE</definedName>
    <definedName name="QBREPORTCOMPARECOL_QTY" localSheetId="18">FALSE</definedName>
    <definedName name="QBREPORTCOMPARECOL_QTY" localSheetId="21">FALSE</definedName>
    <definedName name="QBREPORTCOMPARECOL_QTY" localSheetId="19">FALSE</definedName>
    <definedName name="QBREPORTCOMPARECOL_QTY" localSheetId="22">FALSE</definedName>
    <definedName name="QBREPORTCOMPARECOL_QTY" localSheetId="15">FALSE</definedName>
    <definedName name="QBREPORTCOMPARECOL_QTY" localSheetId="16">FALSE</definedName>
    <definedName name="QBREPORTCOMPARECOL_QTY" localSheetId="24">FALSE</definedName>
    <definedName name="QBREPORTCOMPARECOL_QTY" localSheetId="29">FALSE</definedName>
    <definedName name="QBREPORTCOMPARECOL_QTY" localSheetId="25">FALSE</definedName>
    <definedName name="QBREPORTCOMPARECOL_QTY" localSheetId="30">FALSE</definedName>
    <definedName name="QBREPORTCOMPARECOL_QTY" localSheetId="26">FALSE</definedName>
    <definedName name="QBREPORTCOMPARECOL_QTY" localSheetId="31">FALSE</definedName>
    <definedName name="QBREPORTCOMPARECOL_QTY" localSheetId="27">FALSE</definedName>
    <definedName name="QBREPORTCOMPARECOL_QTY" localSheetId="28">FALSE</definedName>
    <definedName name="QBREPORTCOMPARECOL_RATE" localSheetId="12">FALSE</definedName>
    <definedName name="QBREPORTCOMPARECOL_RATE" localSheetId="14">FALSE</definedName>
    <definedName name="QBREPORTCOMPARECOL_RATE" localSheetId="17">FALSE</definedName>
    <definedName name="QBREPORTCOMPARECOL_RATE" localSheetId="20">FALSE</definedName>
    <definedName name="QBREPORTCOMPARECOL_RATE" localSheetId="18">FALSE</definedName>
    <definedName name="QBREPORTCOMPARECOL_RATE" localSheetId="21">FALSE</definedName>
    <definedName name="QBREPORTCOMPARECOL_RATE" localSheetId="19">FALSE</definedName>
    <definedName name="QBREPORTCOMPARECOL_RATE" localSheetId="22">FALSE</definedName>
    <definedName name="QBREPORTCOMPARECOL_RATE" localSheetId="15">FALSE</definedName>
    <definedName name="QBREPORTCOMPARECOL_RATE" localSheetId="16">FALSE</definedName>
    <definedName name="QBREPORTCOMPARECOL_RATE" localSheetId="24">FALSE</definedName>
    <definedName name="QBREPORTCOMPARECOL_RATE" localSheetId="29">FALSE</definedName>
    <definedName name="QBREPORTCOMPARECOL_RATE" localSheetId="25">FALSE</definedName>
    <definedName name="QBREPORTCOMPARECOL_RATE" localSheetId="30">FALSE</definedName>
    <definedName name="QBREPORTCOMPARECOL_RATE" localSheetId="26">FALSE</definedName>
    <definedName name="QBREPORTCOMPARECOL_RATE" localSheetId="31">FALSE</definedName>
    <definedName name="QBREPORTCOMPARECOL_RATE" localSheetId="27">FALSE</definedName>
    <definedName name="QBREPORTCOMPARECOL_RATE" localSheetId="28">FALSE</definedName>
    <definedName name="QBREPORTCOMPARECOL_TRIPBILLEDMILES" localSheetId="12">FALSE</definedName>
    <definedName name="QBREPORTCOMPARECOL_TRIPBILLEDMILES" localSheetId="14">FALSE</definedName>
    <definedName name="QBREPORTCOMPARECOL_TRIPBILLEDMILES" localSheetId="17">FALSE</definedName>
    <definedName name="QBREPORTCOMPARECOL_TRIPBILLEDMILES" localSheetId="20">FALSE</definedName>
    <definedName name="QBREPORTCOMPARECOL_TRIPBILLEDMILES" localSheetId="18">FALSE</definedName>
    <definedName name="QBREPORTCOMPARECOL_TRIPBILLEDMILES" localSheetId="21">FALSE</definedName>
    <definedName name="QBREPORTCOMPARECOL_TRIPBILLEDMILES" localSheetId="19">FALSE</definedName>
    <definedName name="QBREPORTCOMPARECOL_TRIPBILLEDMILES" localSheetId="22">FALSE</definedName>
    <definedName name="QBREPORTCOMPARECOL_TRIPBILLEDMILES" localSheetId="15">FALSE</definedName>
    <definedName name="QBREPORTCOMPARECOL_TRIPBILLEDMILES" localSheetId="16">FALSE</definedName>
    <definedName name="QBREPORTCOMPARECOL_TRIPBILLEDMILES" localSheetId="24">FALSE</definedName>
    <definedName name="QBREPORTCOMPARECOL_TRIPBILLEDMILES" localSheetId="29">FALSE</definedName>
    <definedName name="QBREPORTCOMPARECOL_TRIPBILLEDMILES" localSheetId="25">FALSE</definedName>
    <definedName name="QBREPORTCOMPARECOL_TRIPBILLEDMILES" localSheetId="30">FALSE</definedName>
    <definedName name="QBREPORTCOMPARECOL_TRIPBILLEDMILES" localSheetId="26">FALSE</definedName>
    <definedName name="QBREPORTCOMPARECOL_TRIPBILLEDMILES" localSheetId="31">FALSE</definedName>
    <definedName name="QBREPORTCOMPARECOL_TRIPBILLEDMILES" localSheetId="27">FALSE</definedName>
    <definedName name="QBREPORTCOMPARECOL_TRIPBILLEDMILES" localSheetId="28">FALSE</definedName>
    <definedName name="QBREPORTCOMPARECOL_TRIPBILLINGAMOUNT" localSheetId="12">FALSE</definedName>
    <definedName name="QBREPORTCOMPARECOL_TRIPBILLINGAMOUNT" localSheetId="14">FALSE</definedName>
    <definedName name="QBREPORTCOMPARECOL_TRIPBILLINGAMOUNT" localSheetId="17">FALSE</definedName>
    <definedName name="QBREPORTCOMPARECOL_TRIPBILLINGAMOUNT" localSheetId="20">FALSE</definedName>
    <definedName name="QBREPORTCOMPARECOL_TRIPBILLINGAMOUNT" localSheetId="18">FALSE</definedName>
    <definedName name="QBREPORTCOMPARECOL_TRIPBILLINGAMOUNT" localSheetId="21">FALSE</definedName>
    <definedName name="QBREPORTCOMPARECOL_TRIPBILLINGAMOUNT" localSheetId="19">FALSE</definedName>
    <definedName name="QBREPORTCOMPARECOL_TRIPBILLINGAMOUNT" localSheetId="22">FALSE</definedName>
    <definedName name="QBREPORTCOMPARECOL_TRIPBILLINGAMOUNT" localSheetId="15">FALSE</definedName>
    <definedName name="QBREPORTCOMPARECOL_TRIPBILLINGAMOUNT" localSheetId="16">FALSE</definedName>
    <definedName name="QBREPORTCOMPARECOL_TRIPBILLINGAMOUNT" localSheetId="24">FALSE</definedName>
    <definedName name="QBREPORTCOMPARECOL_TRIPBILLINGAMOUNT" localSheetId="29">FALSE</definedName>
    <definedName name="QBREPORTCOMPARECOL_TRIPBILLINGAMOUNT" localSheetId="25">FALSE</definedName>
    <definedName name="QBREPORTCOMPARECOL_TRIPBILLINGAMOUNT" localSheetId="30">FALSE</definedName>
    <definedName name="QBREPORTCOMPARECOL_TRIPBILLINGAMOUNT" localSheetId="26">FALSE</definedName>
    <definedName name="QBREPORTCOMPARECOL_TRIPBILLINGAMOUNT" localSheetId="31">FALSE</definedName>
    <definedName name="QBREPORTCOMPARECOL_TRIPBILLINGAMOUNT" localSheetId="27">FALSE</definedName>
    <definedName name="QBREPORTCOMPARECOL_TRIPBILLINGAMOUNT" localSheetId="28">FALSE</definedName>
    <definedName name="QBREPORTCOMPARECOL_TRIPMILES" localSheetId="12">FALSE</definedName>
    <definedName name="QBREPORTCOMPARECOL_TRIPMILES" localSheetId="14">FALSE</definedName>
    <definedName name="QBREPORTCOMPARECOL_TRIPMILES" localSheetId="17">FALSE</definedName>
    <definedName name="QBREPORTCOMPARECOL_TRIPMILES" localSheetId="20">FALSE</definedName>
    <definedName name="QBREPORTCOMPARECOL_TRIPMILES" localSheetId="18">FALSE</definedName>
    <definedName name="QBREPORTCOMPARECOL_TRIPMILES" localSheetId="21">FALSE</definedName>
    <definedName name="QBREPORTCOMPARECOL_TRIPMILES" localSheetId="19">FALSE</definedName>
    <definedName name="QBREPORTCOMPARECOL_TRIPMILES" localSheetId="22">FALSE</definedName>
    <definedName name="QBREPORTCOMPARECOL_TRIPMILES" localSheetId="15">FALSE</definedName>
    <definedName name="QBREPORTCOMPARECOL_TRIPMILES" localSheetId="16">FALSE</definedName>
    <definedName name="QBREPORTCOMPARECOL_TRIPMILES" localSheetId="24">FALSE</definedName>
    <definedName name="QBREPORTCOMPARECOL_TRIPMILES" localSheetId="29">FALSE</definedName>
    <definedName name="QBREPORTCOMPARECOL_TRIPMILES" localSheetId="25">FALSE</definedName>
    <definedName name="QBREPORTCOMPARECOL_TRIPMILES" localSheetId="30">FALSE</definedName>
    <definedName name="QBREPORTCOMPARECOL_TRIPMILES" localSheetId="26">FALSE</definedName>
    <definedName name="QBREPORTCOMPARECOL_TRIPMILES" localSheetId="31">FALSE</definedName>
    <definedName name="QBREPORTCOMPARECOL_TRIPMILES" localSheetId="27">FALSE</definedName>
    <definedName name="QBREPORTCOMPARECOL_TRIPMILES" localSheetId="28">FALSE</definedName>
    <definedName name="QBREPORTCOMPARECOL_TRIPNOTBILLABLEMILES" localSheetId="12">FALSE</definedName>
    <definedName name="QBREPORTCOMPARECOL_TRIPNOTBILLABLEMILES" localSheetId="14">FALSE</definedName>
    <definedName name="QBREPORTCOMPARECOL_TRIPNOTBILLABLEMILES" localSheetId="17">FALSE</definedName>
    <definedName name="QBREPORTCOMPARECOL_TRIPNOTBILLABLEMILES" localSheetId="20">FALSE</definedName>
    <definedName name="QBREPORTCOMPARECOL_TRIPNOTBILLABLEMILES" localSheetId="18">FALSE</definedName>
    <definedName name="QBREPORTCOMPARECOL_TRIPNOTBILLABLEMILES" localSheetId="21">FALSE</definedName>
    <definedName name="QBREPORTCOMPARECOL_TRIPNOTBILLABLEMILES" localSheetId="19">FALSE</definedName>
    <definedName name="QBREPORTCOMPARECOL_TRIPNOTBILLABLEMILES" localSheetId="22">FALSE</definedName>
    <definedName name="QBREPORTCOMPARECOL_TRIPNOTBILLABLEMILES" localSheetId="15">FALSE</definedName>
    <definedName name="QBREPORTCOMPARECOL_TRIPNOTBILLABLEMILES" localSheetId="16">FALSE</definedName>
    <definedName name="QBREPORTCOMPARECOL_TRIPNOTBILLABLEMILES" localSheetId="24">FALSE</definedName>
    <definedName name="QBREPORTCOMPARECOL_TRIPNOTBILLABLEMILES" localSheetId="29">FALSE</definedName>
    <definedName name="QBREPORTCOMPARECOL_TRIPNOTBILLABLEMILES" localSheetId="25">FALSE</definedName>
    <definedName name="QBREPORTCOMPARECOL_TRIPNOTBILLABLEMILES" localSheetId="30">FALSE</definedName>
    <definedName name="QBREPORTCOMPARECOL_TRIPNOTBILLABLEMILES" localSheetId="26">FALSE</definedName>
    <definedName name="QBREPORTCOMPARECOL_TRIPNOTBILLABLEMILES" localSheetId="31">FALSE</definedName>
    <definedName name="QBREPORTCOMPARECOL_TRIPNOTBILLABLEMILES" localSheetId="27">FALSE</definedName>
    <definedName name="QBREPORTCOMPARECOL_TRIPNOTBILLABLEMILES" localSheetId="28">FALSE</definedName>
    <definedName name="QBREPORTCOMPARECOL_TRIPTAXDEDUCTIBLEAMOUNT" localSheetId="12">FALSE</definedName>
    <definedName name="QBREPORTCOMPARECOL_TRIPTAXDEDUCTIBLEAMOUNT" localSheetId="14">FALSE</definedName>
    <definedName name="QBREPORTCOMPARECOL_TRIPTAXDEDUCTIBLEAMOUNT" localSheetId="17">FALSE</definedName>
    <definedName name="QBREPORTCOMPARECOL_TRIPTAXDEDUCTIBLEAMOUNT" localSheetId="20">FALSE</definedName>
    <definedName name="QBREPORTCOMPARECOL_TRIPTAXDEDUCTIBLEAMOUNT" localSheetId="18">FALSE</definedName>
    <definedName name="QBREPORTCOMPARECOL_TRIPTAXDEDUCTIBLEAMOUNT" localSheetId="21">FALSE</definedName>
    <definedName name="QBREPORTCOMPARECOL_TRIPTAXDEDUCTIBLEAMOUNT" localSheetId="19">FALSE</definedName>
    <definedName name="QBREPORTCOMPARECOL_TRIPTAXDEDUCTIBLEAMOUNT" localSheetId="22">FALSE</definedName>
    <definedName name="QBREPORTCOMPARECOL_TRIPTAXDEDUCTIBLEAMOUNT" localSheetId="15">FALSE</definedName>
    <definedName name="QBREPORTCOMPARECOL_TRIPTAXDEDUCTIBLEAMOUNT" localSheetId="16">FALSE</definedName>
    <definedName name="QBREPORTCOMPARECOL_TRIPTAXDEDUCTIBLEAMOUNT" localSheetId="24">FALSE</definedName>
    <definedName name="QBREPORTCOMPARECOL_TRIPTAXDEDUCTIBLEAMOUNT" localSheetId="29">FALSE</definedName>
    <definedName name="QBREPORTCOMPARECOL_TRIPTAXDEDUCTIBLEAMOUNT" localSheetId="25">FALSE</definedName>
    <definedName name="QBREPORTCOMPARECOL_TRIPTAXDEDUCTIBLEAMOUNT" localSheetId="30">FALSE</definedName>
    <definedName name="QBREPORTCOMPARECOL_TRIPTAXDEDUCTIBLEAMOUNT" localSheetId="26">FALSE</definedName>
    <definedName name="QBREPORTCOMPARECOL_TRIPTAXDEDUCTIBLEAMOUNT" localSheetId="31">FALSE</definedName>
    <definedName name="QBREPORTCOMPARECOL_TRIPTAXDEDUCTIBLEAMOUNT" localSheetId="27">FALSE</definedName>
    <definedName name="QBREPORTCOMPARECOL_TRIPTAXDEDUCTIBLEAMOUNT" localSheetId="28">FALSE</definedName>
    <definedName name="QBREPORTCOMPARECOL_TRIPUNBILLEDMILES" localSheetId="12">FALSE</definedName>
    <definedName name="QBREPORTCOMPARECOL_TRIPUNBILLEDMILES" localSheetId="14">FALSE</definedName>
    <definedName name="QBREPORTCOMPARECOL_TRIPUNBILLEDMILES" localSheetId="17">FALSE</definedName>
    <definedName name="QBREPORTCOMPARECOL_TRIPUNBILLEDMILES" localSheetId="20">FALSE</definedName>
    <definedName name="QBREPORTCOMPARECOL_TRIPUNBILLEDMILES" localSheetId="18">FALSE</definedName>
    <definedName name="QBREPORTCOMPARECOL_TRIPUNBILLEDMILES" localSheetId="21">FALSE</definedName>
    <definedName name="QBREPORTCOMPARECOL_TRIPUNBILLEDMILES" localSheetId="19">FALSE</definedName>
    <definedName name="QBREPORTCOMPARECOL_TRIPUNBILLEDMILES" localSheetId="22">FALSE</definedName>
    <definedName name="QBREPORTCOMPARECOL_TRIPUNBILLEDMILES" localSheetId="15">FALSE</definedName>
    <definedName name="QBREPORTCOMPARECOL_TRIPUNBILLEDMILES" localSheetId="16">FALSE</definedName>
    <definedName name="QBREPORTCOMPARECOL_TRIPUNBILLEDMILES" localSheetId="24">FALSE</definedName>
    <definedName name="QBREPORTCOMPARECOL_TRIPUNBILLEDMILES" localSheetId="29">FALSE</definedName>
    <definedName name="QBREPORTCOMPARECOL_TRIPUNBILLEDMILES" localSheetId="25">FALSE</definedName>
    <definedName name="QBREPORTCOMPARECOL_TRIPUNBILLEDMILES" localSheetId="30">FALSE</definedName>
    <definedName name="QBREPORTCOMPARECOL_TRIPUNBILLEDMILES" localSheetId="26">FALSE</definedName>
    <definedName name="QBREPORTCOMPARECOL_TRIPUNBILLEDMILES" localSheetId="31">FALSE</definedName>
    <definedName name="QBREPORTCOMPARECOL_TRIPUNBILLEDMILES" localSheetId="27">FALSE</definedName>
    <definedName name="QBREPORTCOMPARECOL_TRIPUNBILLEDMILES" localSheetId="28">FALSE</definedName>
    <definedName name="QBREPORTCOMPARECOL_YTD" localSheetId="12">FALSE</definedName>
    <definedName name="QBREPORTCOMPARECOL_YTD" localSheetId="14">FALSE</definedName>
    <definedName name="QBREPORTCOMPARECOL_YTD" localSheetId="17">FALSE</definedName>
    <definedName name="QBREPORTCOMPARECOL_YTD" localSheetId="20">FALSE</definedName>
    <definedName name="QBREPORTCOMPARECOL_YTD" localSheetId="18">FALSE</definedName>
    <definedName name="QBREPORTCOMPARECOL_YTD" localSheetId="21">FALSE</definedName>
    <definedName name="QBREPORTCOMPARECOL_YTD" localSheetId="19">FALSE</definedName>
    <definedName name="QBREPORTCOMPARECOL_YTD" localSheetId="22">FALSE</definedName>
    <definedName name="QBREPORTCOMPARECOL_YTD" localSheetId="15">FALSE</definedName>
    <definedName name="QBREPORTCOMPARECOL_YTD" localSheetId="16">FALSE</definedName>
    <definedName name="QBREPORTCOMPARECOL_YTD" localSheetId="24">FALSE</definedName>
    <definedName name="QBREPORTCOMPARECOL_YTD" localSheetId="29">FALSE</definedName>
    <definedName name="QBREPORTCOMPARECOL_YTD" localSheetId="25">FALSE</definedName>
    <definedName name="QBREPORTCOMPARECOL_YTD" localSheetId="30">FALSE</definedName>
    <definedName name="QBREPORTCOMPARECOL_YTD" localSheetId="26">FALSE</definedName>
    <definedName name="QBREPORTCOMPARECOL_YTD" localSheetId="31">FALSE</definedName>
    <definedName name="QBREPORTCOMPARECOL_YTD" localSheetId="27">FALSE</definedName>
    <definedName name="QBREPORTCOMPARECOL_YTD" localSheetId="28">FALSE</definedName>
    <definedName name="QBREPORTCOMPARECOL_YTDBUDGET" localSheetId="12">FALSE</definedName>
    <definedName name="QBREPORTCOMPARECOL_YTDBUDGET" localSheetId="14">FALSE</definedName>
    <definedName name="QBREPORTCOMPARECOL_YTDBUDGET" localSheetId="17">FALSE</definedName>
    <definedName name="QBREPORTCOMPARECOL_YTDBUDGET" localSheetId="20">FALSE</definedName>
    <definedName name="QBREPORTCOMPARECOL_YTDBUDGET" localSheetId="18">FALSE</definedName>
    <definedName name="QBREPORTCOMPARECOL_YTDBUDGET" localSheetId="21">FALSE</definedName>
    <definedName name="QBREPORTCOMPARECOL_YTDBUDGET" localSheetId="19">FALSE</definedName>
    <definedName name="QBREPORTCOMPARECOL_YTDBUDGET" localSheetId="22">FALSE</definedName>
    <definedName name="QBREPORTCOMPARECOL_YTDBUDGET" localSheetId="15">FALSE</definedName>
    <definedName name="QBREPORTCOMPARECOL_YTDBUDGET" localSheetId="16">FALSE</definedName>
    <definedName name="QBREPORTCOMPARECOL_YTDBUDGET" localSheetId="24">FALSE</definedName>
    <definedName name="QBREPORTCOMPARECOL_YTDBUDGET" localSheetId="29">FALSE</definedName>
    <definedName name="QBREPORTCOMPARECOL_YTDBUDGET" localSheetId="25">FALSE</definedName>
    <definedName name="QBREPORTCOMPARECOL_YTDBUDGET" localSheetId="30">FALSE</definedName>
    <definedName name="QBREPORTCOMPARECOL_YTDBUDGET" localSheetId="26">FALSE</definedName>
    <definedName name="QBREPORTCOMPARECOL_YTDBUDGET" localSheetId="31">FALSE</definedName>
    <definedName name="QBREPORTCOMPARECOL_YTDBUDGET" localSheetId="27">FALSE</definedName>
    <definedName name="QBREPORTCOMPARECOL_YTDBUDGET" localSheetId="28">FALSE</definedName>
    <definedName name="QBREPORTCOMPARECOL_YTDPCT" localSheetId="12">FALSE</definedName>
    <definedName name="QBREPORTCOMPARECOL_YTDPCT" localSheetId="14">FALSE</definedName>
    <definedName name="QBREPORTCOMPARECOL_YTDPCT" localSheetId="17">FALSE</definedName>
    <definedName name="QBREPORTCOMPARECOL_YTDPCT" localSheetId="20">FALSE</definedName>
    <definedName name="QBREPORTCOMPARECOL_YTDPCT" localSheetId="18">FALSE</definedName>
    <definedName name="QBREPORTCOMPARECOL_YTDPCT" localSheetId="21">FALSE</definedName>
    <definedName name="QBREPORTCOMPARECOL_YTDPCT" localSheetId="19">FALSE</definedName>
    <definedName name="QBREPORTCOMPARECOL_YTDPCT" localSheetId="22">FALSE</definedName>
    <definedName name="QBREPORTCOMPARECOL_YTDPCT" localSheetId="15">FALSE</definedName>
    <definedName name="QBREPORTCOMPARECOL_YTDPCT" localSheetId="16">FALSE</definedName>
    <definedName name="QBREPORTCOMPARECOL_YTDPCT" localSheetId="24">FALSE</definedName>
    <definedName name="QBREPORTCOMPARECOL_YTDPCT" localSheetId="29">FALSE</definedName>
    <definedName name="QBREPORTCOMPARECOL_YTDPCT" localSheetId="25">FALSE</definedName>
    <definedName name="QBREPORTCOMPARECOL_YTDPCT" localSheetId="30">FALSE</definedName>
    <definedName name="QBREPORTCOMPARECOL_YTDPCT" localSheetId="26">FALSE</definedName>
    <definedName name="QBREPORTCOMPARECOL_YTDPCT" localSheetId="31">FALSE</definedName>
    <definedName name="QBREPORTCOMPARECOL_YTDPCT" localSheetId="27">FALSE</definedName>
    <definedName name="QBREPORTCOMPARECOL_YTDPCT" localSheetId="28">FALSE</definedName>
    <definedName name="QBREPORTROWAXIS" localSheetId="12">12</definedName>
    <definedName name="QBREPORTROWAXIS" localSheetId="14">12</definedName>
    <definedName name="QBREPORTROWAXIS" localSheetId="17">12</definedName>
    <definedName name="QBREPORTROWAXIS" localSheetId="20">12</definedName>
    <definedName name="QBREPORTROWAXIS" localSheetId="18">12</definedName>
    <definedName name="QBREPORTROWAXIS" localSheetId="21">12</definedName>
    <definedName name="QBREPORTROWAXIS" localSheetId="19">12</definedName>
    <definedName name="QBREPORTROWAXIS" localSheetId="22">12</definedName>
    <definedName name="QBREPORTROWAXIS" localSheetId="15">12</definedName>
    <definedName name="QBREPORTROWAXIS" localSheetId="16">12</definedName>
    <definedName name="QBREPORTROWAXIS" localSheetId="24">12</definedName>
    <definedName name="QBREPORTROWAXIS" localSheetId="29">12</definedName>
    <definedName name="QBREPORTROWAXIS" localSheetId="25">12</definedName>
    <definedName name="QBREPORTROWAXIS" localSheetId="30">12</definedName>
    <definedName name="QBREPORTROWAXIS" localSheetId="26">12</definedName>
    <definedName name="QBREPORTROWAXIS" localSheetId="31">12</definedName>
    <definedName name="QBREPORTROWAXIS" localSheetId="27">12</definedName>
    <definedName name="QBREPORTROWAXIS" localSheetId="28">12</definedName>
    <definedName name="QBREPORTSUBCOLAXIS" localSheetId="12">23</definedName>
    <definedName name="QBREPORTSUBCOLAXIS" localSheetId="14">23</definedName>
    <definedName name="QBREPORTSUBCOLAXIS" localSheetId="17">23</definedName>
    <definedName name="QBREPORTSUBCOLAXIS" localSheetId="20">23</definedName>
    <definedName name="QBREPORTSUBCOLAXIS" localSheetId="18">23</definedName>
    <definedName name="QBREPORTSUBCOLAXIS" localSheetId="21">23</definedName>
    <definedName name="QBREPORTSUBCOLAXIS" localSheetId="19">23</definedName>
    <definedName name="QBREPORTSUBCOLAXIS" localSheetId="22">23</definedName>
    <definedName name="QBREPORTSUBCOLAXIS" localSheetId="15">23</definedName>
    <definedName name="QBREPORTSUBCOLAXIS" localSheetId="16">23</definedName>
    <definedName name="QBREPORTSUBCOLAXIS" localSheetId="24">23</definedName>
    <definedName name="QBREPORTSUBCOLAXIS" localSheetId="29">23</definedName>
    <definedName name="QBREPORTSUBCOLAXIS" localSheetId="25">23</definedName>
    <definedName name="QBREPORTSUBCOLAXIS" localSheetId="30">23</definedName>
    <definedName name="QBREPORTSUBCOLAXIS" localSheetId="26">23</definedName>
    <definedName name="QBREPORTSUBCOLAXIS" localSheetId="31">23</definedName>
    <definedName name="QBREPORTSUBCOLAXIS" localSheetId="27">23</definedName>
    <definedName name="QBREPORTSUBCOLAXIS" localSheetId="28">23</definedName>
    <definedName name="QBREPORTTYPE" localSheetId="12">27</definedName>
    <definedName name="QBREPORTTYPE" localSheetId="14">27</definedName>
    <definedName name="QBREPORTTYPE" localSheetId="17">27</definedName>
    <definedName name="QBREPORTTYPE" localSheetId="20">27</definedName>
    <definedName name="QBREPORTTYPE" localSheetId="18">27</definedName>
    <definedName name="QBREPORTTYPE" localSheetId="21">27</definedName>
    <definedName name="QBREPORTTYPE" localSheetId="19">27</definedName>
    <definedName name="QBREPORTTYPE" localSheetId="22">27</definedName>
    <definedName name="QBREPORTTYPE" localSheetId="15">27</definedName>
    <definedName name="QBREPORTTYPE" localSheetId="16">27</definedName>
    <definedName name="QBREPORTTYPE" localSheetId="24">27</definedName>
    <definedName name="QBREPORTTYPE" localSheetId="29">27</definedName>
    <definedName name="QBREPORTTYPE" localSheetId="25">27</definedName>
    <definedName name="QBREPORTTYPE" localSheetId="30">27</definedName>
    <definedName name="QBREPORTTYPE" localSheetId="26">27</definedName>
    <definedName name="QBREPORTTYPE" localSheetId="31">27</definedName>
    <definedName name="QBREPORTTYPE" localSheetId="27">27</definedName>
    <definedName name="QBREPORTTYPE" localSheetId="28">27</definedName>
    <definedName name="QBROWHEADERS" localSheetId="12">2</definedName>
    <definedName name="QBROWHEADERS" localSheetId="14">2</definedName>
    <definedName name="QBROWHEADERS" localSheetId="17">2</definedName>
    <definedName name="QBROWHEADERS" localSheetId="20">2</definedName>
    <definedName name="QBROWHEADERS" localSheetId="18">2</definedName>
    <definedName name="QBROWHEADERS" localSheetId="21">2</definedName>
    <definedName name="QBROWHEADERS" localSheetId="19">2</definedName>
    <definedName name="QBROWHEADERS" localSheetId="22">2</definedName>
    <definedName name="QBROWHEADERS" localSheetId="15">2</definedName>
    <definedName name="QBROWHEADERS" localSheetId="16">2</definedName>
    <definedName name="QBROWHEADERS" localSheetId="24">2</definedName>
    <definedName name="QBROWHEADERS" localSheetId="29">2</definedName>
    <definedName name="QBROWHEADERS" localSheetId="25">2</definedName>
    <definedName name="QBROWHEADERS" localSheetId="30">2</definedName>
    <definedName name="QBROWHEADERS" localSheetId="26">2</definedName>
    <definedName name="QBROWHEADERS" localSheetId="31">2</definedName>
    <definedName name="QBROWHEADERS" localSheetId="27">2</definedName>
    <definedName name="QBROWHEADERS" localSheetId="28">2</definedName>
    <definedName name="QBSTARTDATE" localSheetId="12">20191031</definedName>
    <definedName name="QBSTARTDATE" localSheetId="14">20191031</definedName>
    <definedName name="QBSTARTDATE" localSheetId="17">20191031</definedName>
    <definedName name="QBSTARTDATE" localSheetId="20">20191031</definedName>
    <definedName name="QBSTARTDATE" localSheetId="18">20191031</definedName>
    <definedName name="QBSTARTDATE" localSheetId="21">20191031</definedName>
    <definedName name="QBSTARTDATE" localSheetId="19">20191031</definedName>
    <definedName name="QBSTARTDATE" localSheetId="22">20191031</definedName>
    <definedName name="QBSTARTDATE" localSheetId="15">20191031</definedName>
    <definedName name="QBSTARTDATE" localSheetId="16">20191031</definedName>
    <definedName name="QBSTARTDATE" localSheetId="24">20191031</definedName>
    <definedName name="QBSTARTDATE" localSheetId="29">20191031</definedName>
    <definedName name="QBSTARTDATE" localSheetId="25">20191031</definedName>
    <definedName name="QBSTARTDATE" localSheetId="30">20191031</definedName>
    <definedName name="QBSTARTDATE" localSheetId="26">20191031</definedName>
    <definedName name="QBSTARTDATE" localSheetId="31">20191031</definedName>
    <definedName name="QBSTARTDATE" localSheetId="27">20191031</definedName>
    <definedName name="QBSTARTDATE" localSheetId="28">20191031</definedName>
    <definedName name="RFRF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2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2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FRF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2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2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UJUJ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38" l="1"/>
  <c r="F15" i="38"/>
  <c r="H23" i="46" l="1"/>
  <c r="I43" i="45" l="1"/>
  <c r="I25" i="45" l="1"/>
  <c r="G25" i="45"/>
  <c r="I14" i="45"/>
  <c r="G14" i="45"/>
  <c r="I13" i="45"/>
  <c r="G13" i="45"/>
  <c r="Z29" i="25"/>
  <c r="M17" i="25"/>
  <c r="G16" i="25"/>
  <c r="E29" i="25"/>
  <c r="E17" i="25"/>
  <c r="E16" i="25"/>
  <c r="Z29" i="39"/>
  <c r="M17" i="39"/>
  <c r="G16" i="39"/>
  <c r="E29" i="39"/>
  <c r="E17" i="39"/>
  <c r="E16" i="39"/>
  <c r="K47" i="18" l="1"/>
  <c r="K34" i="18"/>
  <c r="K32" i="18"/>
  <c r="K31" i="18"/>
  <c r="K30" i="18"/>
  <c r="K28" i="18"/>
  <c r="K8" i="38"/>
  <c r="H9" i="38"/>
  <c r="F9" i="38"/>
  <c r="E9" i="38"/>
  <c r="D9" i="38"/>
  <c r="C9" i="38"/>
  <c r="K9" i="38" l="1"/>
  <c r="H25" i="46" l="1"/>
  <c r="F39" i="38"/>
  <c r="H39" i="38"/>
  <c r="M4" i="24"/>
  <c r="J4" i="24"/>
  <c r="G4" i="24"/>
  <c r="D4" i="24"/>
  <c r="N9" i="24"/>
  <c r="N8" i="24"/>
  <c r="N24" i="24"/>
  <c r="N23" i="24"/>
  <c r="N7" i="24"/>
  <c r="N6" i="24"/>
  <c r="K25" i="46" l="1"/>
  <c r="H37" i="18" l="1"/>
  <c r="X6" i="25" s="1"/>
  <c r="F37" i="18"/>
  <c r="X7" i="25" s="1"/>
  <c r="D37" i="18"/>
  <c r="X7" i="39" s="1"/>
  <c r="H36" i="18"/>
  <c r="W6" i="25" s="1"/>
  <c r="F36" i="18"/>
  <c r="W7" i="25" s="1"/>
  <c r="D36" i="18"/>
  <c r="W7" i="39" s="1"/>
  <c r="W6" i="39" l="1"/>
  <c r="X6" i="39"/>
  <c r="F47" i="18"/>
  <c r="D47" i="18"/>
  <c r="F34" i="18"/>
  <c r="D34" i="18"/>
  <c r="R49" i="18" l="1"/>
  <c r="Q49" i="18"/>
  <c r="P49" i="18"/>
  <c r="O49" i="18"/>
  <c r="N49" i="18"/>
  <c r="M49" i="18"/>
  <c r="H49" i="18"/>
  <c r="AD6" i="25" s="1"/>
  <c r="F49" i="18"/>
  <c r="D49" i="18"/>
  <c r="AD7" i="39" s="1"/>
  <c r="O48" i="18"/>
  <c r="N48" i="18"/>
  <c r="M48" i="18"/>
  <c r="H48" i="18"/>
  <c r="AC6" i="25" s="1"/>
  <c r="F48" i="18"/>
  <c r="D48" i="18"/>
  <c r="AC7" i="39" s="1"/>
  <c r="K49" i="18" l="1"/>
  <c r="AD6" i="39"/>
  <c r="AD8" i="39" s="1"/>
  <c r="AD57" i="39" s="1"/>
  <c r="AD7" i="25"/>
  <c r="AD8" i="25"/>
  <c r="AD56" i="25" s="1"/>
  <c r="AC7" i="25"/>
  <c r="AC8" i="25" s="1"/>
  <c r="K48" i="18"/>
  <c r="AC6" i="39"/>
  <c r="AC8" i="39" s="1"/>
  <c r="H7" i="38"/>
  <c r="H10" i="38" s="1"/>
  <c r="AC32" i="25" l="1"/>
  <c r="AC56" i="25"/>
  <c r="AC32" i="39"/>
  <c r="AC57" i="39" s="1"/>
  <c r="AB7" i="39"/>
  <c r="AB6" i="39"/>
  <c r="V7" i="39"/>
  <c r="V6" i="39"/>
  <c r="AB8" i="39" l="1"/>
  <c r="V8" i="39"/>
  <c r="V32" i="39" s="1"/>
  <c r="E32" i="39" s="1"/>
  <c r="G28" i="45" s="1"/>
  <c r="AB18" i="39" l="1"/>
  <c r="AB57" i="39" s="1"/>
  <c r="V57" i="39"/>
  <c r="E49" i="25" l="1"/>
  <c r="AB7" i="25"/>
  <c r="AB6" i="25"/>
  <c r="V7" i="25"/>
  <c r="V6" i="25"/>
  <c r="AB8" i="25" l="1"/>
  <c r="AB18" i="25" s="1"/>
  <c r="V8" i="25"/>
  <c r="V32" i="25" s="1"/>
  <c r="E32" i="25" s="1"/>
  <c r="I28" i="45" s="1"/>
  <c r="H46" i="18"/>
  <c r="F46" i="18"/>
  <c r="K46" i="18" l="1"/>
  <c r="AB56" i="25"/>
  <c r="V56" i="25"/>
  <c r="F33" i="18"/>
  <c r="H33" i="18"/>
  <c r="K33" i="18" l="1"/>
  <c r="C126" i="33"/>
  <c r="D76" i="33"/>
  <c r="AI52" i="39" l="1"/>
  <c r="F135" i="33" l="1"/>
  <c r="D11" i="33"/>
  <c r="F132" i="17"/>
  <c r="D75" i="33" l="1"/>
  <c r="D88" i="33"/>
  <c r="D75" i="17"/>
  <c r="D87" i="17"/>
  <c r="J8" i="46" l="1"/>
  <c r="D66" i="33" l="1"/>
  <c r="C123" i="17"/>
  <c r="D66" i="17"/>
  <c r="C173" i="23"/>
  <c r="C174" i="23"/>
  <c r="D72" i="23"/>
  <c r="D63" i="23"/>
  <c r="C17" i="33" l="1"/>
  <c r="C132" i="33"/>
  <c r="C131" i="33"/>
  <c r="C130" i="33"/>
  <c r="J200" i="14" l="1"/>
  <c r="O29" i="18" l="1"/>
  <c r="M29" i="18"/>
  <c r="O46" i="18"/>
  <c r="N46" i="18"/>
  <c r="M46" i="18"/>
  <c r="F178" i="32"/>
  <c r="D178" i="32"/>
  <c r="A178" i="32"/>
  <c r="C177" i="32"/>
  <c r="F177" i="32" s="1"/>
  <c r="A177" i="32"/>
  <c r="F176" i="32"/>
  <c r="C176" i="32"/>
  <c r="A176" i="32"/>
  <c r="C175" i="32"/>
  <c r="F175" i="32" s="1"/>
  <c r="A175" i="32"/>
  <c r="F174" i="32"/>
  <c r="C174" i="32"/>
  <c r="A174" i="32"/>
  <c r="C173" i="32"/>
  <c r="F173" i="32" s="1"/>
  <c r="A173" i="32"/>
  <c r="C172" i="32"/>
  <c r="F172" i="32" s="1"/>
  <c r="A172" i="32"/>
  <c r="C171" i="32"/>
  <c r="F171" i="32" s="1"/>
  <c r="A171" i="32"/>
  <c r="F170" i="32"/>
  <c r="C170" i="32"/>
  <c r="A170" i="32"/>
  <c r="C169" i="32"/>
  <c r="F169" i="32" s="1"/>
  <c r="A169" i="32"/>
  <c r="F168" i="32"/>
  <c r="C168" i="32"/>
  <c r="A168" i="32"/>
  <c r="C167" i="32"/>
  <c r="F167" i="32" s="1"/>
  <c r="A167" i="32"/>
  <c r="F166" i="32"/>
  <c r="C166" i="32"/>
  <c r="A166" i="32"/>
  <c r="C165" i="32"/>
  <c r="F165" i="32" s="1"/>
  <c r="A165" i="32"/>
  <c r="D164" i="32"/>
  <c r="F164" i="32" s="1"/>
  <c r="A164" i="32"/>
  <c r="C163" i="32"/>
  <c r="F163" i="32" s="1"/>
  <c r="A163" i="32"/>
  <c r="F162" i="32"/>
  <c r="C162" i="32"/>
  <c r="A162" i="32"/>
  <c r="C161" i="32"/>
  <c r="F161" i="32" s="1"/>
  <c r="A161" i="32"/>
  <c r="F160" i="32"/>
  <c r="C160" i="32"/>
  <c r="A160" i="32"/>
  <c r="C159" i="32"/>
  <c r="F159" i="32" s="1"/>
  <c r="A159" i="32"/>
  <c r="F158" i="32"/>
  <c r="C158" i="32"/>
  <c r="A158" i="32"/>
  <c r="C157" i="32"/>
  <c r="F157" i="32" s="1"/>
  <c r="A157" i="32"/>
  <c r="C156" i="32"/>
  <c r="F156" i="32" s="1"/>
  <c r="A156" i="32"/>
  <c r="C155" i="32"/>
  <c r="F155" i="32" s="1"/>
  <c r="A155" i="32"/>
  <c r="F154" i="32"/>
  <c r="C154" i="32"/>
  <c r="A154" i="32"/>
  <c r="C153" i="32"/>
  <c r="F153" i="32" s="1"/>
  <c r="A153" i="32"/>
  <c r="F152" i="32"/>
  <c r="C152" i="32"/>
  <c r="A152" i="32"/>
  <c r="C151" i="32"/>
  <c r="F151" i="32" s="1"/>
  <c r="A151" i="32"/>
  <c r="F150" i="32"/>
  <c r="C150" i="32"/>
  <c r="A150" i="32"/>
  <c r="C149" i="32"/>
  <c r="F149" i="32" s="1"/>
  <c r="A149" i="32"/>
  <c r="C148" i="32"/>
  <c r="F148" i="32" s="1"/>
  <c r="A148" i="32"/>
  <c r="C147" i="32"/>
  <c r="F147" i="32" s="1"/>
  <c r="A147" i="32"/>
  <c r="F146" i="32"/>
  <c r="C146" i="32"/>
  <c r="A146" i="32"/>
  <c r="C145" i="32"/>
  <c r="F145" i="32" s="1"/>
  <c r="A145" i="32"/>
  <c r="F144" i="32"/>
  <c r="C144" i="32"/>
  <c r="A144" i="32"/>
  <c r="C143" i="32"/>
  <c r="F143" i="32" s="1"/>
  <c r="A143" i="32"/>
  <c r="F142" i="32"/>
  <c r="C142" i="32"/>
  <c r="A142" i="32"/>
  <c r="C141" i="32"/>
  <c r="F141" i="32" s="1"/>
  <c r="A141" i="32"/>
  <c r="C140" i="32"/>
  <c r="F140" i="32" s="1"/>
  <c r="A140" i="32"/>
  <c r="C139" i="32"/>
  <c r="F139" i="32" s="1"/>
  <c r="A139" i="32"/>
  <c r="F138" i="32"/>
  <c r="C138" i="32"/>
  <c r="A138" i="32"/>
  <c r="C137" i="32"/>
  <c r="F137" i="32" s="1"/>
  <c r="A137" i="32"/>
  <c r="F136" i="32"/>
  <c r="C136" i="32"/>
  <c r="A136" i="32"/>
  <c r="C135" i="32"/>
  <c r="F135" i="32" s="1"/>
  <c r="A135" i="32"/>
  <c r="F134" i="32"/>
  <c r="C134" i="32"/>
  <c r="A134" i="32"/>
  <c r="C133" i="32"/>
  <c r="F133" i="32" s="1"/>
  <c r="A133" i="32"/>
  <c r="C132" i="32"/>
  <c r="F132" i="32" s="1"/>
  <c r="A132" i="32"/>
  <c r="C131" i="32"/>
  <c r="F131" i="32" s="1"/>
  <c r="A131" i="32"/>
  <c r="F130" i="32"/>
  <c r="C130" i="32"/>
  <c r="A130" i="32"/>
  <c r="C129" i="32"/>
  <c r="F129" i="32" s="1"/>
  <c r="A129" i="32"/>
  <c r="F128" i="32"/>
  <c r="C128" i="32"/>
  <c r="A128" i="32"/>
  <c r="D127" i="32"/>
  <c r="F127" i="32" s="1"/>
  <c r="A127" i="32"/>
  <c r="F126" i="32"/>
  <c r="D126" i="32"/>
  <c r="A126" i="32"/>
  <c r="C125" i="32"/>
  <c r="F125" i="32" s="1"/>
  <c r="A125" i="32"/>
  <c r="D124" i="32"/>
  <c r="F124" i="32" s="1"/>
  <c r="A124" i="32"/>
  <c r="C123" i="32"/>
  <c r="F123" i="32" s="1"/>
  <c r="A123" i="32"/>
  <c r="F122" i="32"/>
  <c r="D122" i="32"/>
  <c r="A122" i="32"/>
  <c r="D121" i="32"/>
  <c r="F121" i="32" s="1"/>
  <c r="A121" i="32"/>
  <c r="F120" i="32"/>
  <c r="D120" i="32"/>
  <c r="A120" i="32"/>
  <c r="D119" i="32"/>
  <c r="F119" i="32" s="1"/>
  <c r="A119" i="32"/>
  <c r="F118" i="32"/>
  <c r="D118" i="32"/>
  <c r="A118" i="32"/>
  <c r="D117" i="32"/>
  <c r="F117" i="32" s="1"/>
  <c r="A117" i="32"/>
  <c r="D116" i="32"/>
  <c r="F116" i="32" s="1"/>
  <c r="A116" i="32"/>
  <c r="C115" i="32"/>
  <c r="F115" i="32" s="1"/>
  <c r="A115" i="32"/>
  <c r="F114" i="32"/>
  <c r="D114" i="32"/>
  <c r="A114" i="32"/>
  <c r="D113" i="32"/>
  <c r="F113" i="32" s="1"/>
  <c r="A113" i="32"/>
  <c r="F112" i="32"/>
  <c r="D112" i="32"/>
  <c r="A112" i="32"/>
  <c r="D111" i="32"/>
  <c r="F111" i="32" s="1"/>
  <c r="A111" i="32"/>
  <c r="F110" i="32"/>
  <c r="D110" i="32"/>
  <c r="A110" i="32"/>
  <c r="D109" i="32"/>
  <c r="F109" i="32" s="1"/>
  <c r="A109" i="32"/>
  <c r="D108" i="32"/>
  <c r="F108" i="32" s="1"/>
  <c r="A108" i="32"/>
  <c r="D107" i="32"/>
  <c r="F107" i="32" s="1"/>
  <c r="A107" i="32"/>
  <c r="F106" i="32"/>
  <c r="D106" i="32"/>
  <c r="A106" i="32"/>
  <c r="D105" i="32"/>
  <c r="F105" i="32" s="1"/>
  <c r="A105" i="32"/>
  <c r="F104" i="32"/>
  <c r="D104" i="32"/>
  <c r="A104" i="32"/>
  <c r="D103" i="32"/>
  <c r="F103" i="32" s="1"/>
  <c r="A103" i="32"/>
  <c r="F102" i="32"/>
  <c r="D102" i="32"/>
  <c r="A102" i="32"/>
  <c r="D101" i="32"/>
  <c r="F101" i="32" s="1"/>
  <c r="A101" i="32"/>
  <c r="D100" i="32"/>
  <c r="F100" i="32" s="1"/>
  <c r="A100" i="32"/>
  <c r="D99" i="32"/>
  <c r="F99" i="32" s="1"/>
  <c r="A99" i="32"/>
  <c r="F98" i="32"/>
  <c r="D98" i="32"/>
  <c r="A98" i="32"/>
  <c r="D97" i="32"/>
  <c r="F97" i="32" s="1"/>
  <c r="A97" i="32"/>
  <c r="F96" i="32"/>
  <c r="D96" i="32"/>
  <c r="A96" i="32"/>
  <c r="D95" i="32"/>
  <c r="F95" i="32" s="1"/>
  <c r="A95" i="32"/>
  <c r="F94" i="32"/>
  <c r="D94" i="32"/>
  <c r="A94" i="32"/>
  <c r="D93" i="32"/>
  <c r="F93" i="32" s="1"/>
  <c r="A93" i="32"/>
  <c r="D92" i="32"/>
  <c r="F92" i="32" s="1"/>
  <c r="A92" i="32"/>
  <c r="D91" i="32"/>
  <c r="F91" i="32" s="1"/>
  <c r="A91" i="32"/>
  <c r="F90" i="32"/>
  <c r="D90" i="32"/>
  <c r="A90" i="32"/>
  <c r="D89" i="32"/>
  <c r="F89" i="32" s="1"/>
  <c r="A89" i="32"/>
  <c r="F88" i="32"/>
  <c r="D88" i="32"/>
  <c r="A88" i="32"/>
  <c r="D87" i="32"/>
  <c r="F87" i="32" s="1"/>
  <c r="A87" i="32"/>
  <c r="F86" i="32"/>
  <c r="D86" i="32"/>
  <c r="A86" i="32"/>
  <c r="D85" i="32"/>
  <c r="F85" i="32" s="1"/>
  <c r="A85" i="32"/>
  <c r="D84" i="32"/>
  <c r="F84" i="32" s="1"/>
  <c r="A84" i="32"/>
  <c r="D83" i="32"/>
  <c r="F83" i="32" s="1"/>
  <c r="A83" i="32"/>
  <c r="F82" i="32"/>
  <c r="D82" i="32"/>
  <c r="A82" i="32"/>
  <c r="D81" i="32"/>
  <c r="F81" i="32" s="1"/>
  <c r="A81" i="32"/>
  <c r="F80" i="32"/>
  <c r="D80" i="32"/>
  <c r="A80" i="32"/>
  <c r="D79" i="32"/>
  <c r="F79" i="32" s="1"/>
  <c r="A79" i="32"/>
  <c r="F78" i="32"/>
  <c r="D78" i="32"/>
  <c r="A78" i="32"/>
  <c r="D77" i="32"/>
  <c r="F77" i="32" s="1"/>
  <c r="A77" i="32"/>
  <c r="D76" i="32"/>
  <c r="F76" i="32" s="1"/>
  <c r="A76" i="32"/>
  <c r="D75" i="32"/>
  <c r="F75" i="32" s="1"/>
  <c r="A75" i="32"/>
  <c r="F74" i="32"/>
  <c r="D74" i="32"/>
  <c r="A74" i="32"/>
  <c r="D73" i="32"/>
  <c r="F73" i="32" s="1"/>
  <c r="A73" i="32"/>
  <c r="F72" i="32"/>
  <c r="D72" i="32"/>
  <c r="A72" i="32"/>
  <c r="D71" i="32"/>
  <c r="F71" i="32" s="1"/>
  <c r="A71" i="32"/>
  <c r="F70" i="32"/>
  <c r="D70" i="32"/>
  <c r="A70" i="32"/>
  <c r="D69" i="32"/>
  <c r="F69" i="32" s="1"/>
  <c r="A69" i="32"/>
  <c r="D68" i="32"/>
  <c r="F68" i="32" s="1"/>
  <c r="A68" i="32"/>
  <c r="D67" i="32"/>
  <c r="F67" i="32" s="1"/>
  <c r="A67" i="32"/>
  <c r="F66" i="32"/>
  <c r="D66" i="32"/>
  <c r="A66" i="32"/>
  <c r="C65" i="32"/>
  <c r="F65" i="32" s="1"/>
  <c r="A65" i="32"/>
  <c r="F64" i="32"/>
  <c r="C64" i="32"/>
  <c r="A64" i="32"/>
  <c r="C63" i="32"/>
  <c r="F63" i="32" s="1"/>
  <c r="A63" i="32"/>
  <c r="F62" i="32"/>
  <c r="D62" i="32"/>
  <c r="A62" i="32"/>
  <c r="C61" i="32"/>
  <c r="F61" i="32" s="1"/>
  <c r="A61" i="32"/>
  <c r="C60" i="32"/>
  <c r="F60" i="32" s="1"/>
  <c r="A60" i="32"/>
  <c r="C59" i="32"/>
  <c r="F59" i="32" s="1"/>
  <c r="A59" i="32"/>
  <c r="F58" i="32"/>
  <c r="C58" i="32"/>
  <c r="A58" i="32"/>
  <c r="C57" i="32"/>
  <c r="F57" i="32" s="1"/>
  <c r="A57" i="32"/>
  <c r="F56" i="32"/>
  <c r="C56" i="32"/>
  <c r="A56" i="32"/>
  <c r="C55" i="32"/>
  <c r="F55" i="32" s="1"/>
  <c r="A55" i="32"/>
  <c r="F54" i="32"/>
  <c r="C54" i="32"/>
  <c r="A54" i="32"/>
  <c r="C53" i="32"/>
  <c r="F53" i="32" s="1"/>
  <c r="A53" i="32"/>
  <c r="C52" i="32"/>
  <c r="F52" i="32" s="1"/>
  <c r="A52" i="32"/>
  <c r="C51" i="32"/>
  <c r="F51" i="32" s="1"/>
  <c r="A51" i="32"/>
  <c r="F50" i="32"/>
  <c r="C50" i="32"/>
  <c r="A50" i="32"/>
  <c r="C49" i="32"/>
  <c r="F49" i="32" s="1"/>
  <c r="A49" i="32"/>
  <c r="F48" i="32"/>
  <c r="C48" i="32"/>
  <c r="A48" i="32"/>
  <c r="C47" i="32"/>
  <c r="F47" i="32" s="1"/>
  <c r="A47" i="32"/>
  <c r="F46" i="32"/>
  <c r="C46" i="32"/>
  <c r="A46" i="32"/>
  <c r="C45" i="32"/>
  <c r="F45" i="32" s="1"/>
  <c r="A45" i="32"/>
  <c r="C44" i="32"/>
  <c r="F44" i="32" s="1"/>
  <c r="A44" i="32"/>
  <c r="C43" i="32"/>
  <c r="F43" i="32" s="1"/>
  <c r="A43" i="32"/>
  <c r="F42" i="32"/>
  <c r="C42" i="32"/>
  <c r="A42" i="32"/>
  <c r="D41" i="32"/>
  <c r="F41" i="32" s="1"/>
  <c r="A41" i="32"/>
  <c r="F40" i="32"/>
  <c r="D40" i="32"/>
  <c r="A40" i="32"/>
  <c r="D39" i="32"/>
  <c r="F39" i="32" s="1"/>
  <c r="A39" i="32"/>
  <c r="F38" i="32"/>
  <c r="D38" i="32"/>
  <c r="A38" i="32"/>
  <c r="D37" i="32"/>
  <c r="F37" i="32" s="1"/>
  <c r="A37" i="32"/>
  <c r="C36" i="32"/>
  <c r="F36" i="32" s="1"/>
  <c r="A36" i="32"/>
  <c r="D35" i="32"/>
  <c r="F35" i="32" s="1"/>
  <c r="A35" i="32"/>
  <c r="F34" i="32"/>
  <c r="D34" i="32"/>
  <c r="A34" i="32"/>
  <c r="D33" i="32"/>
  <c r="F33" i="32" s="1"/>
  <c r="A33" i="32"/>
  <c r="F32" i="32"/>
  <c r="C32" i="32"/>
  <c r="A32" i="32"/>
  <c r="D31" i="32"/>
  <c r="D179" i="32" s="1"/>
  <c r="A31" i="32"/>
  <c r="F30" i="32"/>
  <c r="C30" i="32"/>
  <c r="A30" i="32"/>
  <c r="C29" i="32"/>
  <c r="F29" i="32" s="1"/>
  <c r="A29" i="32"/>
  <c r="C28" i="32"/>
  <c r="F28" i="32" s="1"/>
  <c r="A28" i="32"/>
  <c r="C27" i="32"/>
  <c r="F27" i="32" s="1"/>
  <c r="A27" i="32"/>
  <c r="F26" i="32"/>
  <c r="C26" i="32"/>
  <c r="A26" i="32"/>
  <c r="C25" i="32"/>
  <c r="F25" i="32" s="1"/>
  <c r="A25" i="32"/>
  <c r="F24" i="32"/>
  <c r="C24" i="32"/>
  <c r="A24" i="32"/>
  <c r="C23" i="32"/>
  <c r="F23" i="32" s="1"/>
  <c r="A23" i="32"/>
  <c r="F22" i="32"/>
  <c r="C22" i="32"/>
  <c r="A22" i="32"/>
  <c r="C21" i="32"/>
  <c r="F21" i="32" s="1"/>
  <c r="A21" i="32"/>
  <c r="C20" i="32"/>
  <c r="F20" i="32" s="1"/>
  <c r="A20" i="32"/>
  <c r="C19" i="32"/>
  <c r="F19" i="32" s="1"/>
  <c r="A19" i="32"/>
  <c r="F18" i="32"/>
  <c r="C18" i="32"/>
  <c r="A18" i="32"/>
  <c r="C17" i="32"/>
  <c r="F17" i="32" s="1"/>
  <c r="A17" i="32"/>
  <c r="F16" i="32"/>
  <c r="C16" i="32"/>
  <c r="A16" i="32"/>
  <c r="C15" i="32"/>
  <c r="F15" i="32" s="1"/>
  <c r="A15" i="32"/>
  <c r="F14" i="32"/>
  <c r="C14" i="32"/>
  <c r="A14" i="32"/>
  <c r="C13" i="32"/>
  <c r="F13" i="32" s="1"/>
  <c r="A13" i="32"/>
  <c r="C12" i="32"/>
  <c r="F12" i="32" s="1"/>
  <c r="A12" i="32"/>
  <c r="C11" i="32"/>
  <c r="F11" i="32" s="1"/>
  <c r="A11" i="32"/>
  <c r="F10" i="32"/>
  <c r="C10" i="32"/>
  <c r="A10" i="32"/>
  <c r="C9" i="32"/>
  <c r="F9" i="32" s="1"/>
  <c r="A9" i="32"/>
  <c r="F8" i="32"/>
  <c r="C8" i="32"/>
  <c r="A8" i="32"/>
  <c r="C7" i="32"/>
  <c r="F7" i="32" s="1"/>
  <c r="A7" i="32"/>
  <c r="F6" i="32"/>
  <c r="C6" i="32"/>
  <c r="C179" i="32" s="1"/>
  <c r="A6" i="32"/>
  <c r="D173" i="31"/>
  <c r="F173" i="31" s="1"/>
  <c r="A173" i="31"/>
  <c r="C172" i="31"/>
  <c r="F172" i="31" s="1"/>
  <c r="A172" i="31"/>
  <c r="F171" i="31"/>
  <c r="C171" i="31"/>
  <c r="A171" i="31"/>
  <c r="C170" i="31"/>
  <c r="F170" i="31" s="1"/>
  <c r="A170" i="31"/>
  <c r="F169" i="31"/>
  <c r="C169" i="31"/>
  <c r="A169" i="31"/>
  <c r="C168" i="31"/>
  <c r="F168" i="31" s="1"/>
  <c r="A168" i="31"/>
  <c r="C167" i="31"/>
  <c r="F167" i="31" s="1"/>
  <c r="A167" i="31"/>
  <c r="C166" i="31"/>
  <c r="F166" i="31" s="1"/>
  <c r="A166" i="31"/>
  <c r="C165" i="31"/>
  <c r="F165" i="31" s="1"/>
  <c r="A165" i="31"/>
  <c r="C164" i="31"/>
  <c r="F164" i="31" s="1"/>
  <c r="A164" i="31"/>
  <c r="F163" i="31"/>
  <c r="C163" i="31"/>
  <c r="A163" i="31"/>
  <c r="C162" i="31"/>
  <c r="F162" i="31" s="1"/>
  <c r="A162" i="31"/>
  <c r="F161" i="31"/>
  <c r="C161" i="31"/>
  <c r="A161" i="31"/>
  <c r="C160" i="31"/>
  <c r="F160" i="31" s="1"/>
  <c r="A160" i="31"/>
  <c r="D159" i="31"/>
  <c r="F159" i="31" s="1"/>
  <c r="A159" i="31"/>
  <c r="C158" i="31"/>
  <c r="F158" i="31" s="1"/>
  <c r="A158" i="31"/>
  <c r="C157" i="31"/>
  <c r="F157" i="31" s="1"/>
  <c r="A157" i="31"/>
  <c r="C156" i="31"/>
  <c r="F156" i="31" s="1"/>
  <c r="A156" i="31"/>
  <c r="F155" i="31"/>
  <c r="C155" i="31"/>
  <c r="A155" i="31"/>
  <c r="C154" i="31"/>
  <c r="F154" i="31" s="1"/>
  <c r="A154" i="31"/>
  <c r="F153" i="31"/>
  <c r="C153" i="31"/>
  <c r="A153" i="31"/>
  <c r="C152" i="31"/>
  <c r="F152" i="31" s="1"/>
  <c r="A152" i="31"/>
  <c r="C151" i="31"/>
  <c r="F151" i="31" s="1"/>
  <c r="A151" i="31"/>
  <c r="C150" i="31"/>
  <c r="F150" i="31" s="1"/>
  <c r="A150" i="31"/>
  <c r="C149" i="31"/>
  <c r="F149" i="31" s="1"/>
  <c r="A149" i="31"/>
  <c r="C148" i="31"/>
  <c r="F148" i="31" s="1"/>
  <c r="A148" i="31"/>
  <c r="F147" i="31"/>
  <c r="C147" i="31"/>
  <c r="A147" i="31"/>
  <c r="C146" i="31"/>
  <c r="F146" i="31" s="1"/>
  <c r="A146" i="31"/>
  <c r="F145" i="31"/>
  <c r="C145" i="31"/>
  <c r="A145" i="31"/>
  <c r="C144" i="31"/>
  <c r="F144" i="31" s="1"/>
  <c r="A144" i="31"/>
  <c r="C143" i="31"/>
  <c r="F143" i="31" s="1"/>
  <c r="A143" i="31"/>
  <c r="C142" i="31"/>
  <c r="F142" i="31" s="1"/>
  <c r="A142" i="31"/>
  <c r="C141" i="31"/>
  <c r="F141" i="31" s="1"/>
  <c r="A141" i="31"/>
  <c r="C140" i="31"/>
  <c r="F140" i="31" s="1"/>
  <c r="A140" i="31"/>
  <c r="F139" i="31"/>
  <c r="C139" i="31"/>
  <c r="A139" i="31"/>
  <c r="C138" i="31"/>
  <c r="F138" i="31" s="1"/>
  <c r="A138" i="31"/>
  <c r="F137" i="31"/>
  <c r="C137" i="31"/>
  <c r="A137" i="31"/>
  <c r="C136" i="31"/>
  <c r="F136" i="31" s="1"/>
  <c r="A136" i="31"/>
  <c r="C135" i="31"/>
  <c r="F135" i="31" s="1"/>
  <c r="A135" i="31"/>
  <c r="C134" i="31"/>
  <c r="F134" i="31" s="1"/>
  <c r="A134" i="31"/>
  <c r="C133" i="31"/>
  <c r="F133" i="31" s="1"/>
  <c r="A133" i="31"/>
  <c r="C132" i="31"/>
  <c r="F132" i="31" s="1"/>
  <c r="A132" i="31"/>
  <c r="F131" i="31"/>
  <c r="C131" i="31"/>
  <c r="A131" i="31"/>
  <c r="C130" i="31"/>
  <c r="F130" i="31" s="1"/>
  <c r="A130" i="31"/>
  <c r="F129" i="31"/>
  <c r="C129" i="31"/>
  <c r="A129" i="31"/>
  <c r="C128" i="31"/>
  <c r="F128" i="31" s="1"/>
  <c r="A128" i="31"/>
  <c r="D127" i="31"/>
  <c r="F127" i="31" s="1"/>
  <c r="A127" i="31"/>
  <c r="D126" i="31"/>
  <c r="F126" i="31" s="1"/>
  <c r="A126" i="31"/>
  <c r="C125" i="31"/>
  <c r="F125" i="31" s="1"/>
  <c r="A125" i="31"/>
  <c r="D124" i="31"/>
  <c r="F124" i="31" s="1"/>
  <c r="A124" i="31"/>
  <c r="F123" i="31"/>
  <c r="C123" i="31"/>
  <c r="A123" i="31"/>
  <c r="D122" i="31"/>
  <c r="F122" i="31" s="1"/>
  <c r="A122" i="31"/>
  <c r="F121" i="31"/>
  <c r="D121" i="31"/>
  <c r="A121" i="31"/>
  <c r="D120" i="31"/>
  <c r="F120" i="31" s="1"/>
  <c r="A120" i="31"/>
  <c r="D119" i="31"/>
  <c r="F119" i="31" s="1"/>
  <c r="A119" i="31"/>
  <c r="D118" i="31"/>
  <c r="F118" i="31" s="1"/>
  <c r="A118" i="31"/>
  <c r="D117" i="31"/>
  <c r="F117" i="31" s="1"/>
  <c r="A117" i="31"/>
  <c r="D116" i="31"/>
  <c r="F116" i="31" s="1"/>
  <c r="A116" i="31"/>
  <c r="F115" i="31"/>
  <c r="C115" i="31"/>
  <c r="A115" i="31"/>
  <c r="D114" i="31"/>
  <c r="F114" i="31" s="1"/>
  <c r="A114" i="31"/>
  <c r="F113" i="31"/>
  <c r="D113" i="31"/>
  <c r="A113" i="31"/>
  <c r="D112" i="31"/>
  <c r="F112" i="31" s="1"/>
  <c r="A112" i="31"/>
  <c r="D111" i="31"/>
  <c r="F111" i="31" s="1"/>
  <c r="A111" i="31"/>
  <c r="D110" i="31"/>
  <c r="F110" i="31" s="1"/>
  <c r="A110" i="31"/>
  <c r="D109" i="31"/>
  <c r="F109" i="31" s="1"/>
  <c r="A109" i="31"/>
  <c r="D108" i="31"/>
  <c r="F108" i="31" s="1"/>
  <c r="A108" i="31"/>
  <c r="F107" i="31"/>
  <c r="D107" i="31"/>
  <c r="A107" i="31"/>
  <c r="D106" i="31"/>
  <c r="F106" i="31" s="1"/>
  <c r="A106" i="31"/>
  <c r="F105" i="31"/>
  <c r="D105" i="31"/>
  <c r="A105" i="31"/>
  <c r="D104" i="31"/>
  <c r="F104" i="31" s="1"/>
  <c r="A104" i="31"/>
  <c r="D103" i="31"/>
  <c r="F103" i="31" s="1"/>
  <c r="A103" i="31"/>
  <c r="D102" i="31"/>
  <c r="F102" i="31" s="1"/>
  <c r="A102" i="31"/>
  <c r="D101" i="31"/>
  <c r="F101" i="31" s="1"/>
  <c r="A101" i="31"/>
  <c r="D100" i="31"/>
  <c r="F100" i="31" s="1"/>
  <c r="A100" i="31"/>
  <c r="F99" i="31"/>
  <c r="D99" i="31"/>
  <c r="A99" i="31"/>
  <c r="D98" i="31"/>
  <c r="F98" i="31" s="1"/>
  <c r="A98" i="31"/>
  <c r="F97" i="31"/>
  <c r="D97" i="31"/>
  <c r="A97" i="31"/>
  <c r="D96" i="31"/>
  <c r="F96" i="31" s="1"/>
  <c r="A96" i="31"/>
  <c r="D95" i="31"/>
  <c r="F95" i="31" s="1"/>
  <c r="A95" i="31"/>
  <c r="D94" i="31"/>
  <c r="F94" i="31" s="1"/>
  <c r="A94" i="31"/>
  <c r="D93" i="31"/>
  <c r="F93" i="31" s="1"/>
  <c r="A93" i="31"/>
  <c r="D92" i="31"/>
  <c r="F92" i="31" s="1"/>
  <c r="A92" i="31"/>
  <c r="F91" i="31"/>
  <c r="D91" i="31"/>
  <c r="A91" i="31"/>
  <c r="D90" i="31"/>
  <c r="F90" i="31" s="1"/>
  <c r="A90" i="31"/>
  <c r="F89" i="31"/>
  <c r="D89" i="31"/>
  <c r="A89" i="31"/>
  <c r="D88" i="31"/>
  <c r="F88" i="31" s="1"/>
  <c r="A88" i="31"/>
  <c r="D87" i="31"/>
  <c r="F87" i="31" s="1"/>
  <c r="A87" i="31"/>
  <c r="D86" i="31"/>
  <c r="F86" i="31" s="1"/>
  <c r="A86" i="31"/>
  <c r="D85" i="31"/>
  <c r="F85" i="31" s="1"/>
  <c r="A85" i="31"/>
  <c r="D84" i="31"/>
  <c r="F84" i="31" s="1"/>
  <c r="A84" i="31"/>
  <c r="F83" i="31"/>
  <c r="D83" i="31"/>
  <c r="A83" i="31"/>
  <c r="D82" i="31"/>
  <c r="F82" i="31" s="1"/>
  <c r="A82" i="31"/>
  <c r="F81" i="31"/>
  <c r="D81" i="31"/>
  <c r="A81" i="31"/>
  <c r="D80" i="31"/>
  <c r="F80" i="31" s="1"/>
  <c r="A80" i="31"/>
  <c r="D79" i="31"/>
  <c r="F79" i="31" s="1"/>
  <c r="A79" i="31"/>
  <c r="D78" i="31"/>
  <c r="F78" i="31" s="1"/>
  <c r="A78" i="31"/>
  <c r="D77" i="31"/>
  <c r="F77" i="31" s="1"/>
  <c r="A77" i="31"/>
  <c r="D76" i="31"/>
  <c r="F76" i="31" s="1"/>
  <c r="A76" i="31"/>
  <c r="F75" i="31"/>
  <c r="D75" i="31"/>
  <c r="A75" i="31"/>
  <c r="D74" i="31"/>
  <c r="F74" i="31" s="1"/>
  <c r="A74" i="31"/>
  <c r="F73" i="31"/>
  <c r="D73" i="31"/>
  <c r="A73" i="31"/>
  <c r="D72" i="31"/>
  <c r="F72" i="31" s="1"/>
  <c r="A72" i="31"/>
  <c r="D71" i="31"/>
  <c r="F71" i="31" s="1"/>
  <c r="A71" i="31"/>
  <c r="D70" i="31"/>
  <c r="F70" i="31" s="1"/>
  <c r="A70" i="31"/>
  <c r="D69" i="31"/>
  <c r="F69" i="31" s="1"/>
  <c r="A69" i="31"/>
  <c r="D68" i="31"/>
  <c r="F68" i="31" s="1"/>
  <c r="A68" i="31"/>
  <c r="F67" i="31"/>
  <c r="D67" i="31"/>
  <c r="A67" i="31"/>
  <c r="D66" i="31"/>
  <c r="F66" i="31" s="1"/>
  <c r="A66" i="31"/>
  <c r="F65" i="31"/>
  <c r="C65" i="31"/>
  <c r="A65" i="31"/>
  <c r="C64" i="31"/>
  <c r="F64" i="31" s="1"/>
  <c r="A64" i="31"/>
  <c r="C63" i="31"/>
  <c r="F63" i="31" s="1"/>
  <c r="A63" i="31"/>
  <c r="D62" i="31"/>
  <c r="F62" i="31" s="1"/>
  <c r="A62" i="31"/>
  <c r="C61" i="31"/>
  <c r="F61" i="31" s="1"/>
  <c r="A61" i="31"/>
  <c r="C60" i="31"/>
  <c r="F60" i="31" s="1"/>
  <c r="A60" i="31"/>
  <c r="F59" i="31"/>
  <c r="C59" i="31"/>
  <c r="A59" i="31"/>
  <c r="C58" i="31"/>
  <c r="F58" i="31" s="1"/>
  <c r="A58" i="31"/>
  <c r="F57" i="31"/>
  <c r="C57" i="31"/>
  <c r="A57" i="31"/>
  <c r="C56" i="31"/>
  <c r="F56" i="31" s="1"/>
  <c r="A56" i="31"/>
  <c r="C55" i="31"/>
  <c r="F55" i="31" s="1"/>
  <c r="A55" i="31"/>
  <c r="C54" i="31"/>
  <c r="F54" i="31" s="1"/>
  <c r="A54" i="31"/>
  <c r="C53" i="31"/>
  <c r="F53" i="31" s="1"/>
  <c r="A53" i="31"/>
  <c r="C52" i="31"/>
  <c r="F52" i="31" s="1"/>
  <c r="A52" i="31"/>
  <c r="F51" i="31"/>
  <c r="C51" i="31"/>
  <c r="A51" i="31"/>
  <c r="C50" i="31"/>
  <c r="F50" i="31" s="1"/>
  <c r="A50" i="31"/>
  <c r="F49" i="31"/>
  <c r="C49" i="31"/>
  <c r="A49" i="31"/>
  <c r="C48" i="31"/>
  <c r="F48" i="31" s="1"/>
  <c r="A48" i="31"/>
  <c r="C47" i="31"/>
  <c r="F47" i="31" s="1"/>
  <c r="A47" i="31"/>
  <c r="C46" i="31"/>
  <c r="F46" i="31" s="1"/>
  <c r="A46" i="31"/>
  <c r="C45" i="31"/>
  <c r="F45" i="31" s="1"/>
  <c r="A45" i="31"/>
  <c r="C44" i="31"/>
  <c r="F44" i="31" s="1"/>
  <c r="A44" i="31"/>
  <c r="F43" i="31"/>
  <c r="C43" i="31"/>
  <c r="A43" i="31"/>
  <c r="C42" i="31"/>
  <c r="F42" i="31" s="1"/>
  <c r="A42" i="31"/>
  <c r="F41" i="31"/>
  <c r="D41" i="31"/>
  <c r="A41" i="31"/>
  <c r="D40" i="31"/>
  <c r="F40" i="31" s="1"/>
  <c r="A40" i="31"/>
  <c r="D39" i="31"/>
  <c r="F39" i="31" s="1"/>
  <c r="A39" i="31"/>
  <c r="D38" i="31"/>
  <c r="F38" i="31" s="1"/>
  <c r="A38" i="31"/>
  <c r="D37" i="31"/>
  <c r="F37" i="31" s="1"/>
  <c r="A37" i="31"/>
  <c r="C36" i="31"/>
  <c r="F36" i="31" s="1"/>
  <c r="A36" i="31"/>
  <c r="F35" i="31"/>
  <c r="D35" i="31"/>
  <c r="A35" i="31"/>
  <c r="D34" i="31"/>
  <c r="F34" i="31" s="1"/>
  <c r="A34" i="31"/>
  <c r="F33" i="31"/>
  <c r="D33" i="31"/>
  <c r="A33" i="31"/>
  <c r="C32" i="31"/>
  <c r="F32" i="31" s="1"/>
  <c r="A32" i="31"/>
  <c r="D31" i="31"/>
  <c r="F31" i="31" s="1"/>
  <c r="A31" i="31"/>
  <c r="C30" i="31"/>
  <c r="F30" i="31" s="1"/>
  <c r="A30" i="31"/>
  <c r="C29" i="31"/>
  <c r="F29" i="31" s="1"/>
  <c r="A29" i="31"/>
  <c r="C28" i="31"/>
  <c r="F28" i="31" s="1"/>
  <c r="A28" i="31"/>
  <c r="F27" i="31"/>
  <c r="C27" i="31"/>
  <c r="A27" i="31"/>
  <c r="C26" i="31"/>
  <c r="F26" i="31" s="1"/>
  <c r="A26" i="31"/>
  <c r="F25" i="31"/>
  <c r="C25" i="31"/>
  <c r="A25" i="31"/>
  <c r="C24" i="31"/>
  <c r="F24" i="31" s="1"/>
  <c r="A24" i="31"/>
  <c r="C23" i="31"/>
  <c r="F23" i="31" s="1"/>
  <c r="A23" i="31"/>
  <c r="C22" i="31"/>
  <c r="F22" i="31" s="1"/>
  <c r="A22" i="31"/>
  <c r="C21" i="31"/>
  <c r="F21" i="31" s="1"/>
  <c r="A21" i="31"/>
  <c r="C20" i="31"/>
  <c r="F20" i="31" s="1"/>
  <c r="A20" i="31"/>
  <c r="F19" i="31"/>
  <c r="C19" i="31"/>
  <c r="A19" i="31"/>
  <c r="C18" i="31"/>
  <c r="F18" i="31" s="1"/>
  <c r="A18" i="31"/>
  <c r="F17" i="31"/>
  <c r="C17" i="31"/>
  <c r="A17" i="31"/>
  <c r="C16" i="31"/>
  <c r="F16" i="31" s="1"/>
  <c r="A16" i="31"/>
  <c r="C15" i="31"/>
  <c r="F15" i="31" s="1"/>
  <c r="A15" i="31"/>
  <c r="C14" i="31"/>
  <c r="F14" i="31" s="1"/>
  <c r="A14" i="31"/>
  <c r="C13" i="31"/>
  <c r="F13" i="31" s="1"/>
  <c r="A13" i="31"/>
  <c r="C12" i="31"/>
  <c r="F12" i="31" s="1"/>
  <c r="A12" i="31"/>
  <c r="F11" i="31"/>
  <c r="C11" i="31"/>
  <c r="A11" i="31"/>
  <c r="C10" i="31"/>
  <c r="F10" i="31" s="1"/>
  <c r="A10" i="31"/>
  <c r="F9" i="31"/>
  <c r="C9" i="31"/>
  <c r="A9" i="31"/>
  <c r="C8" i="31"/>
  <c r="F8" i="31" s="1"/>
  <c r="A8" i="31"/>
  <c r="C7" i="31"/>
  <c r="F7" i="31" s="1"/>
  <c r="A7" i="31"/>
  <c r="C6" i="31"/>
  <c r="F6" i="31" s="1"/>
  <c r="A6" i="31"/>
  <c r="F167" i="30"/>
  <c r="D167" i="30"/>
  <c r="A167" i="30"/>
  <c r="C166" i="30"/>
  <c r="F166" i="30" s="1"/>
  <c r="A166" i="30"/>
  <c r="C165" i="30"/>
  <c r="F165" i="30" s="1"/>
  <c r="A165" i="30"/>
  <c r="C164" i="30"/>
  <c r="F164" i="30" s="1"/>
  <c r="A164" i="30"/>
  <c r="F163" i="30"/>
  <c r="C163" i="30"/>
  <c r="A163" i="30"/>
  <c r="C162" i="30"/>
  <c r="F162" i="30" s="1"/>
  <c r="A162" i="30"/>
  <c r="C161" i="30"/>
  <c r="F161" i="30" s="1"/>
  <c r="A161" i="30"/>
  <c r="C160" i="30"/>
  <c r="F160" i="30" s="1"/>
  <c r="A160" i="30"/>
  <c r="F159" i="30"/>
  <c r="C159" i="30"/>
  <c r="A159" i="30"/>
  <c r="C158" i="30"/>
  <c r="F158" i="30" s="1"/>
  <c r="A158" i="30"/>
  <c r="C157" i="30"/>
  <c r="F157" i="30" s="1"/>
  <c r="A157" i="30"/>
  <c r="C156" i="30"/>
  <c r="F156" i="30" s="1"/>
  <c r="A156" i="30"/>
  <c r="F155" i="30"/>
  <c r="C155" i="30"/>
  <c r="A155" i="30"/>
  <c r="D154" i="30"/>
  <c r="F154" i="30" s="1"/>
  <c r="A154" i="30"/>
  <c r="C153" i="30"/>
  <c r="F153" i="30" s="1"/>
  <c r="A153" i="30"/>
  <c r="C152" i="30"/>
  <c r="F152" i="30" s="1"/>
  <c r="A152" i="30"/>
  <c r="F151" i="30"/>
  <c r="C151" i="30"/>
  <c r="A151" i="30"/>
  <c r="C150" i="30"/>
  <c r="F150" i="30" s="1"/>
  <c r="A150" i="30"/>
  <c r="C149" i="30"/>
  <c r="F149" i="30" s="1"/>
  <c r="A149" i="30"/>
  <c r="C148" i="30"/>
  <c r="F148" i="30" s="1"/>
  <c r="A148" i="30"/>
  <c r="F147" i="30"/>
  <c r="C147" i="30"/>
  <c r="A147" i="30"/>
  <c r="C146" i="30"/>
  <c r="F146" i="30" s="1"/>
  <c r="A146" i="30"/>
  <c r="C145" i="30"/>
  <c r="F145" i="30" s="1"/>
  <c r="A145" i="30"/>
  <c r="C144" i="30"/>
  <c r="F144" i="30" s="1"/>
  <c r="A144" i="30"/>
  <c r="F143" i="30"/>
  <c r="C143" i="30"/>
  <c r="A143" i="30"/>
  <c r="C142" i="30"/>
  <c r="F142" i="30" s="1"/>
  <c r="A142" i="30"/>
  <c r="C141" i="30"/>
  <c r="F141" i="30" s="1"/>
  <c r="A141" i="30"/>
  <c r="C140" i="30"/>
  <c r="F140" i="30" s="1"/>
  <c r="A140" i="30"/>
  <c r="F139" i="30"/>
  <c r="C139" i="30"/>
  <c r="A139" i="30"/>
  <c r="C138" i="30"/>
  <c r="F138" i="30" s="1"/>
  <c r="A138" i="30"/>
  <c r="C137" i="30"/>
  <c r="F137" i="30" s="1"/>
  <c r="A137" i="30"/>
  <c r="C136" i="30"/>
  <c r="F136" i="30" s="1"/>
  <c r="A136" i="30"/>
  <c r="F135" i="30"/>
  <c r="C135" i="30"/>
  <c r="A135" i="30"/>
  <c r="C134" i="30"/>
  <c r="F134" i="30" s="1"/>
  <c r="A134" i="30"/>
  <c r="C133" i="30"/>
  <c r="F133" i="30" s="1"/>
  <c r="A133" i="30"/>
  <c r="C132" i="30"/>
  <c r="F132" i="30" s="1"/>
  <c r="A132" i="30"/>
  <c r="F131" i="30"/>
  <c r="C131" i="30"/>
  <c r="A131" i="30"/>
  <c r="C130" i="30"/>
  <c r="F130" i="30" s="1"/>
  <c r="A130" i="30"/>
  <c r="C129" i="30"/>
  <c r="F129" i="30" s="1"/>
  <c r="A129" i="30"/>
  <c r="C128" i="30"/>
  <c r="F128" i="30" s="1"/>
  <c r="A128" i="30"/>
  <c r="F127" i="30"/>
  <c r="D127" i="30"/>
  <c r="A127" i="30"/>
  <c r="D126" i="30"/>
  <c r="F126" i="30" s="1"/>
  <c r="A126" i="30"/>
  <c r="C125" i="30"/>
  <c r="F125" i="30" s="1"/>
  <c r="A125" i="30"/>
  <c r="D124" i="30"/>
  <c r="F124" i="30" s="1"/>
  <c r="A124" i="30"/>
  <c r="F123" i="30"/>
  <c r="C123" i="30"/>
  <c r="A123" i="30"/>
  <c r="D122" i="30"/>
  <c r="F122" i="30" s="1"/>
  <c r="A122" i="30"/>
  <c r="D121" i="30"/>
  <c r="F121" i="30" s="1"/>
  <c r="A121" i="30"/>
  <c r="D120" i="30"/>
  <c r="F120" i="30" s="1"/>
  <c r="A120" i="30"/>
  <c r="F119" i="30"/>
  <c r="D119" i="30"/>
  <c r="A119" i="30"/>
  <c r="D118" i="30"/>
  <c r="F118" i="30" s="1"/>
  <c r="A118" i="30"/>
  <c r="D117" i="30"/>
  <c r="F117" i="30" s="1"/>
  <c r="A117" i="30"/>
  <c r="D116" i="30"/>
  <c r="F116" i="30" s="1"/>
  <c r="A116" i="30"/>
  <c r="F115" i="30"/>
  <c r="C115" i="30"/>
  <c r="A115" i="30"/>
  <c r="D114" i="30"/>
  <c r="F114" i="30" s="1"/>
  <c r="A114" i="30"/>
  <c r="D113" i="30"/>
  <c r="F113" i="30" s="1"/>
  <c r="A113" i="30"/>
  <c r="D112" i="30"/>
  <c r="F112" i="30" s="1"/>
  <c r="A112" i="30"/>
  <c r="F111" i="30"/>
  <c r="D111" i="30"/>
  <c r="A111" i="30"/>
  <c r="D110" i="30"/>
  <c r="F110" i="30" s="1"/>
  <c r="A110" i="30"/>
  <c r="D109" i="30"/>
  <c r="F109" i="30" s="1"/>
  <c r="A109" i="30"/>
  <c r="D108" i="30"/>
  <c r="F108" i="30" s="1"/>
  <c r="A108" i="30"/>
  <c r="F107" i="30"/>
  <c r="D107" i="30"/>
  <c r="A107" i="30"/>
  <c r="D106" i="30"/>
  <c r="F106" i="30" s="1"/>
  <c r="A106" i="30"/>
  <c r="D105" i="30"/>
  <c r="F105" i="30" s="1"/>
  <c r="A105" i="30"/>
  <c r="D104" i="30"/>
  <c r="F104" i="30" s="1"/>
  <c r="A104" i="30"/>
  <c r="F103" i="30"/>
  <c r="D103" i="30"/>
  <c r="A103" i="30"/>
  <c r="D102" i="30"/>
  <c r="F102" i="30" s="1"/>
  <c r="A102" i="30"/>
  <c r="D101" i="30"/>
  <c r="F101" i="30" s="1"/>
  <c r="A101" i="30"/>
  <c r="D100" i="30"/>
  <c r="F100" i="30" s="1"/>
  <c r="A100" i="30"/>
  <c r="F99" i="30"/>
  <c r="D99" i="30"/>
  <c r="A99" i="30"/>
  <c r="D98" i="30"/>
  <c r="F98" i="30" s="1"/>
  <c r="A98" i="30"/>
  <c r="D97" i="30"/>
  <c r="F97" i="30" s="1"/>
  <c r="A97" i="30"/>
  <c r="D96" i="30"/>
  <c r="F96" i="30" s="1"/>
  <c r="A96" i="30"/>
  <c r="F95" i="30"/>
  <c r="D95" i="30"/>
  <c r="A95" i="30"/>
  <c r="D94" i="30"/>
  <c r="F94" i="30" s="1"/>
  <c r="A94" i="30"/>
  <c r="D93" i="30"/>
  <c r="F93" i="30" s="1"/>
  <c r="A93" i="30"/>
  <c r="D92" i="30"/>
  <c r="F92" i="30" s="1"/>
  <c r="A92" i="30"/>
  <c r="F91" i="30"/>
  <c r="D91" i="30"/>
  <c r="A91" i="30"/>
  <c r="D90" i="30"/>
  <c r="F90" i="30" s="1"/>
  <c r="A90" i="30"/>
  <c r="D89" i="30"/>
  <c r="F89" i="30" s="1"/>
  <c r="A89" i="30"/>
  <c r="D88" i="30"/>
  <c r="F88" i="30" s="1"/>
  <c r="A88" i="30"/>
  <c r="F87" i="30"/>
  <c r="D87" i="30"/>
  <c r="A87" i="30"/>
  <c r="D86" i="30"/>
  <c r="F86" i="30" s="1"/>
  <c r="A86" i="30"/>
  <c r="D85" i="30"/>
  <c r="F85" i="30" s="1"/>
  <c r="A85" i="30"/>
  <c r="D84" i="30"/>
  <c r="F84" i="30" s="1"/>
  <c r="A84" i="30"/>
  <c r="F83" i="30"/>
  <c r="D83" i="30"/>
  <c r="A83" i="30"/>
  <c r="D82" i="30"/>
  <c r="F82" i="30" s="1"/>
  <c r="A82" i="30"/>
  <c r="D81" i="30"/>
  <c r="F81" i="30" s="1"/>
  <c r="A81" i="30"/>
  <c r="D80" i="30"/>
  <c r="F80" i="30" s="1"/>
  <c r="A80" i="30"/>
  <c r="F79" i="30"/>
  <c r="D79" i="30"/>
  <c r="A79" i="30"/>
  <c r="D78" i="30"/>
  <c r="F78" i="30" s="1"/>
  <c r="A78" i="30"/>
  <c r="D77" i="30"/>
  <c r="F77" i="30" s="1"/>
  <c r="A77" i="30"/>
  <c r="D76" i="30"/>
  <c r="F76" i="30" s="1"/>
  <c r="A76" i="30"/>
  <c r="F75" i="30"/>
  <c r="D75" i="30"/>
  <c r="A75" i="30"/>
  <c r="D74" i="30"/>
  <c r="F74" i="30" s="1"/>
  <c r="A74" i="30"/>
  <c r="D73" i="30"/>
  <c r="F73" i="30" s="1"/>
  <c r="A73" i="30"/>
  <c r="D72" i="30"/>
  <c r="F72" i="30" s="1"/>
  <c r="A72" i="30"/>
  <c r="F71" i="30"/>
  <c r="D71" i="30"/>
  <c r="A71" i="30"/>
  <c r="D70" i="30"/>
  <c r="F70" i="30" s="1"/>
  <c r="A70" i="30"/>
  <c r="D69" i="30"/>
  <c r="F69" i="30" s="1"/>
  <c r="A69" i="30"/>
  <c r="D68" i="30"/>
  <c r="F68" i="30" s="1"/>
  <c r="A68" i="30"/>
  <c r="F67" i="30"/>
  <c r="D67" i="30"/>
  <c r="A67" i="30"/>
  <c r="D66" i="30"/>
  <c r="F66" i="30" s="1"/>
  <c r="A66" i="30"/>
  <c r="C65" i="30"/>
  <c r="F65" i="30" s="1"/>
  <c r="A65" i="30"/>
  <c r="C64" i="30"/>
  <c r="F64" i="30" s="1"/>
  <c r="A64" i="30"/>
  <c r="F63" i="30"/>
  <c r="C63" i="30"/>
  <c r="A63" i="30"/>
  <c r="D62" i="30"/>
  <c r="F62" i="30" s="1"/>
  <c r="A62" i="30"/>
  <c r="C61" i="30"/>
  <c r="F61" i="30" s="1"/>
  <c r="A61" i="30"/>
  <c r="C60" i="30"/>
  <c r="F60" i="30" s="1"/>
  <c r="A60" i="30"/>
  <c r="F59" i="30"/>
  <c r="C59" i="30"/>
  <c r="A59" i="30"/>
  <c r="C58" i="30"/>
  <c r="F58" i="30" s="1"/>
  <c r="A58" i="30"/>
  <c r="C57" i="30"/>
  <c r="F57" i="30" s="1"/>
  <c r="A57" i="30"/>
  <c r="C56" i="30"/>
  <c r="F56" i="30" s="1"/>
  <c r="A56" i="30"/>
  <c r="F55" i="30"/>
  <c r="C55" i="30"/>
  <c r="A55" i="30"/>
  <c r="C54" i="30"/>
  <c r="F54" i="30" s="1"/>
  <c r="A54" i="30"/>
  <c r="C53" i="30"/>
  <c r="F53" i="30" s="1"/>
  <c r="A53" i="30"/>
  <c r="C52" i="30"/>
  <c r="F52" i="30" s="1"/>
  <c r="A52" i="30"/>
  <c r="F51" i="30"/>
  <c r="C51" i="30"/>
  <c r="A51" i="30"/>
  <c r="C50" i="30"/>
  <c r="F50" i="30" s="1"/>
  <c r="A50" i="30"/>
  <c r="C49" i="30"/>
  <c r="F49" i="30" s="1"/>
  <c r="A49" i="30"/>
  <c r="C48" i="30"/>
  <c r="F48" i="30" s="1"/>
  <c r="A48" i="30"/>
  <c r="F47" i="30"/>
  <c r="C47" i="30"/>
  <c r="A47" i="30"/>
  <c r="C46" i="30"/>
  <c r="F46" i="30" s="1"/>
  <c r="A46" i="30"/>
  <c r="C45" i="30"/>
  <c r="F45" i="30" s="1"/>
  <c r="A45" i="30"/>
  <c r="C44" i="30"/>
  <c r="F44" i="30" s="1"/>
  <c r="A44" i="30"/>
  <c r="F43" i="30"/>
  <c r="C43" i="30"/>
  <c r="A43" i="30"/>
  <c r="C42" i="30"/>
  <c r="F42" i="30" s="1"/>
  <c r="A42" i="30"/>
  <c r="D41" i="30"/>
  <c r="F41" i="30" s="1"/>
  <c r="A41" i="30"/>
  <c r="D40" i="30"/>
  <c r="F40" i="30" s="1"/>
  <c r="A40" i="30"/>
  <c r="F39" i="30"/>
  <c r="D39" i="30"/>
  <c r="A39" i="30"/>
  <c r="D38" i="30"/>
  <c r="F38" i="30" s="1"/>
  <c r="A38" i="30"/>
  <c r="D37" i="30"/>
  <c r="F37" i="30" s="1"/>
  <c r="A37" i="30"/>
  <c r="C36" i="30"/>
  <c r="F36" i="30" s="1"/>
  <c r="A36" i="30"/>
  <c r="F35" i="30"/>
  <c r="D35" i="30"/>
  <c r="A35" i="30"/>
  <c r="D34" i="30"/>
  <c r="F34" i="30" s="1"/>
  <c r="A34" i="30"/>
  <c r="D33" i="30"/>
  <c r="F33" i="30" s="1"/>
  <c r="A33" i="30"/>
  <c r="C32" i="30"/>
  <c r="F32" i="30" s="1"/>
  <c r="A32" i="30"/>
  <c r="F31" i="30"/>
  <c r="D31" i="30"/>
  <c r="A31" i="30"/>
  <c r="C30" i="30"/>
  <c r="F30" i="30" s="1"/>
  <c r="A30" i="30"/>
  <c r="C29" i="30"/>
  <c r="F29" i="30" s="1"/>
  <c r="A29" i="30"/>
  <c r="C28" i="30"/>
  <c r="F28" i="30" s="1"/>
  <c r="A28" i="30"/>
  <c r="F27" i="30"/>
  <c r="C27" i="30"/>
  <c r="A27" i="30"/>
  <c r="C26" i="30"/>
  <c r="F26" i="30" s="1"/>
  <c r="A26" i="30"/>
  <c r="C25" i="30"/>
  <c r="F25" i="30" s="1"/>
  <c r="A25" i="30"/>
  <c r="C24" i="30"/>
  <c r="F24" i="30" s="1"/>
  <c r="A24" i="30"/>
  <c r="F23" i="30"/>
  <c r="C23" i="30"/>
  <c r="A23" i="30"/>
  <c r="C22" i="30"/>
  <c r="F22" i="30" s="1"/>
  <c r="A22" i="30"/>
  <c r="C21" i="30"/>
  <c r="F21" i="30" s="1"/>
  <c r="A21" i="30"/>
  <c r="C20" i="30"/>
  <c r="F20" i="30" s="1"/>
  <c r="A20" i="30"/>
  <c r="F19" i="30"/>
  <c r="C19" i="30"/>
  <c r="A19" i="30"/>
  <c r="C18" i="30"/>
  <c r="F18" i="30" s="1"/>
  <c r="A18" i="30"/>
  <c r="D17" i="30"/>
  <c r="F17" i="30" s="1"/>
  <c r="A17" i="30"/>
  <c r="C16" i="30"/>
  <c r="F16" i="30" s="1"/>
  <c r="A16" i="30"/>
  <c r="F15" i="30"/>
  <c r="C15" i="30"/>
  <c r="A15" i="30"/>
  <c r="D14" i="30"/>
  <c r="D168" i="30" s="1"/>
  <c r="A14" i="30"/>
  <c r="C13" i="30"/>
  <c r="F13" i="30" s="1"/>
  <c r="A13" i="30"/>
  <c r="C12" i="30"/>
  <c r="F12" i="30" s="1"/>
  <c r="A12" i="30"/>
  <c r="F11" i="30"/>
  <c r="C11" i="30"/>
  <c r="A11" i="30"/>
  <c r="C10" i="30"/>
  <c r="F10" i="30" s="1"/>
  <c r="A10" i="30"/>
  <c r="C9" i="30"/>
  <c r="F9" i="30" s="1"/>
  <c r="A9" i="30"/>
  <c r="C8" i="30"/>
  <c r="F8" i="30" s="1"/>
  <c r="A8" i="30"/>
  <c r="F7" i="30"/>
  <c r="C7" i="30"/>
  <c r="A7" i="30"/>
  <c r="C6" i="30"/>
  <c r="C168" i="30" s="1"/>
  <c r="A6" i="30"/>
  <c r="F31" i="32" l="1"/>
  <c r="F179" i="32" s="1"/>
  <c r="F174" i="31"/>
  <c r="C174" i="31"/>
  <c r="D174" i="31"/>
  <c r="F6" i="30"/>
  <c r="F14" i="30"/>
  <c r="X48" i="25"/>
  <c r="R52" i="39"/>
  <c r="E52" i="39" s="1"/>
  <c r="AG20" i="39"/>
  <c r="H20" i="46"/>
  <c r="K20" i="46" s="1"/>
  <c r="K23" i="46"/>
  <c r="K21" i="46"/>
  <c r="K19" i="46"/>
  <c r="E8" i="46"/>
  <c r="E17" i="46"/>
  <c r="E28" i="46" s="1"/>
  <c r="K14" i="46"/>
  <c r="J37" i="46"/>
  <c r="I37" i="46"/>
  <c r="H37" i="46"/>
  <c r="F37" i="46"/>
  <c r="C37" i="46"/>
  <c r="K13" i="46"/>
  <c r="K12" i="46"/>
  <c r="K10" i="46"/>
  <c r="I17" i="46"/>
  <c r="I41" i="46" s="1"/>
  <c r="H17" i="46"/>
  <c r="H41" i="46" s="1"/>
  <c r="F17" i="46"/>
  <c r="F41" i="46" s="1"/>
  <c r="C17" i="46"/>
  <c r="C28" i="46" s="1"/>
  <c r="C45" i="46" s="1"/>
  <c r="B17" i="46"/>
  <c r="B28" i="46" s="1"/>
  <c r="K8" i="46"/>
  <c r="K37" i="46" s="1"/>
  <c r="F168" i="30" l="1"/>
  <c r="H28" i="46"/>
  <c r="H45" i="46" s="1"/>
  <c r="I28" i="46"/>
  <c r="I45" i="46" s="1"/>
  <c r="C41" i="46"/>
  <c r="F28" i="46"/>
  <c r="F45" i="46" s="1"/>
  <c r="C171" i="33"/>
  <c r="C167" i="33"/>
  <c r="D86" i="33"/>
  <c r="D118" i="33"/>
  <c r="D117" i="33"/>
  <c r="D119" i="33"/>
  <c r="C163" i="17"/>
  <c r="D85" i="17"/>
  <c r="C159" i="23"/>
  <c r="D83" i="23"/>
  <c r="D116" i="33" l="1"/>
  <c r="D116" i="17"/>
  <c r="D115" i="17"/>
  <c r="C166" i="17"/>
  <c r="C186" i="17"/>
  <c r="D112" i="23"/>
  <c r="D111" i="23"/>
  <c r="C120" i="23"/>
  <c r="D89" i="33" l="1"/>
  <c r="D85" i="33"/>
  <c r="C181" i="33"/>
  <c r="C180" i="33"/>
  <c r="C162" i="23" l="1"/>
  <c r="C175" i="17" l="1"/>
  <c r="C146" i="33" l="1"/>
  <c r="D129" i="33"/>
  <c r="D128" i="33"/>
  <c r="D62" i="33"/>
  <c r="D62" i="17"/>
  <c r="C130" i="23"/>
  <c r="D59" i="23"/>
  <c r="C134" i="33"/>
  <c r="C58" i="33"/>
  <c r="C51" i="33"/>
  <c r="C47" i="33"/>
  <c r="C46" i="33"/>
  <c r="C158" i="33"/>
  <c r="F76" i="33"/>
  <c r="C58" i="17"/>
  <c r="C51" i="17"/>
  <c r="C47" i="17"/>
  <c r="C46" i="17"/>
  <c r="C44" i="23"/>
  <c r="C43" i="23"/>
  <c r="C48" i="23"/>
  <c r="C55" i="23"/>
  <c r="C146" i="23"/>
  <c r="F146" i="23" s="1"/>
  <c r="D127" i="33" l="1"/>
  <c r="C7" i="33"/>
  <c r="D106" i="33" l="1"/>
  <c r="D103" i="33"/>
  <c r="C124" i="33"/>
  <c r="C176" i="17"/>
  <c r="D105" i="17"/>
  <c r="D102" i="17"/>
  <c r="D101" i="23"/>
  <c r="D98" i="23"/>
  <c r="C151" i="23"/>
  <c r="C155" i="17"/>
  <c r="C121" i="17"/>
  <c r="F37" i="45" l="1"/>
  <c r="E37" i="45"/>
  <c r="D37" i="45"/>
  <c r="F36" i="45"/>
  <c r="E36" i="45"/>
  <c r="D36" i="45"/>
  <c r="F48" i="45"/>
  <c r="E48" i="45"/>
  <c r="D48" i="45"/>
  <c r="F31" i="45"/>
  <c r="E31" i="45"/>
  <c r="D31" i="45"/>
  <c r="F30" i="45"/>
  <c r="E30" i="45"/>
  <c r="D30" i="45"/>
  <c r="F27" i="45"/>
  <c r="E27" i="45"/>
  <c r="D27" i="45"/>
  <c r="F19" i="45"/>
  <c r="E19" i="45"/>
  <c r="D19" i="45"/>
  <c r="F12" i="45"/>
  <c r="E12" i="45"/>
  <c r="D12" i="45"/>
  <c r="F10" i="45"/>
  <c r="E10" i="45"/>
  <c r="D10" i="45"/>
  <c r="F9" i="45"/>
  <c r="E9" i="45"/>
  <c r="D9" i="45"/>
  <c r="E5" i="45"/>
  <c r="F5" i="45" s="1"/>
  <c r="G5" i="45" s="1"/>
  <c r="I5" i="45" s="1"/>
  <c r="F11" i="45" l="1"/>
  <c r="F16" i="45" s="1"/>
  <c r="F22" i="45" s="1"/>
  <c r="F45" i="45" s="1"/>
  <c r="F54" i="45" s="1"/>
  <c r="D11" i="45"/>
  <c r="D16" i="45" s="1"/>
  <c r="D22" i="45" s="1"/>
  <c r="D45" i="45" s="1"/>
  <c r="D54" i="45" s="1"/>
  <c r="E11" i="45"/>
  <c r="E16" i="45" s="1"/>
  <c r="E22" i="45" s="1"/>
  <c r="E45" i="45" s="1"/>
  <c r="E54" i="45" s="1"/>
  <c r="E19" i="39" l="1"/>
  <c r="G16" i="45" s="1"/>
  <c r="D183" i="33" l="1"/>
  <c r="F183" i="33" s="1"/>
  <c r="A183" i="33"/>
  <c r="C182" i="33"/>
  <c r="F182" i="33" s="1"/>
  <c r="A182" i="33"/>
  <c r="F181" i="33"/>
  <c r="A181" i="33"/>
  <c r="F180" i="33"/>
  <c r="A180" i="33"/>
  <c r="C179" i="33"/>
  <c r="F179" i="33" s="1"/>
  <c r="A179" i="33"/>
  <c r="C178" i="33"/>
  <c r="F178" i="33" s="1"/>
  <c r="A178" i="33"/>
  <c r="C177" i="33"/>
  <c r="F177" i="33" s="1"/>
  <c r="A177" i="33"/>
  <c r="C176" i="33"/>
  <c r="F176" i="33" s="1"/>
  <c r="A176" i="33"/>
  <c r="C175" i="33"/>
  <c r="F175" i="33" s="1"/>
  <c r="A175" i="33"/>
  <c r="C174" i="33"/>
  <c r="F174" i="33" s="1"/>
  <c r="A174" i="33"/>
  <c r="C173" i="33"/>
  <c r="F173" i="33" s="1"/>
  <c r="A173" i="33"/>
  <c r="C172" i="33"/>
  <c r="F172" i="33" s="1"/>
  <c r="A172" i="33"/>
  <c r="F171" i="33"/>
  <c r="A171" i="33"/>
  <c r="C170" i="33"/>
  <c r="F170" i="33" s="1"/>
  <c r="A170" i="33"/>
  <c r="C169" i="33"/>
  <c r="F169" i="33" s="1"/>
  <c r="A169" i="33"/>
  <c r="D168" i="33"/>
  <c r="F168" i="33" s="1"/>
  <c r="A168" i="33"/>
  <c r="F167" i="33"/>
  <c r="A167" i="33"/>
  <c r="C166" i="33"/>
  <c r="F166" i="33" s="1"/>
  <c r="A166" i="33"/>
  <c r="C165" i="33"/>
  <c r="F165" i="33" s="1"/>
  <c r="A165" i="33"/>
  <c r="C164" i="33"/>
  <c r="F164" i="33" s="1"/>
  <c r="A164" i="33"/>
  <c r="C163" i="33"/>
  <c r="F163" i="33" s="1"/>
  <c r="A163" i="33"/>
  <c r="C162" i="33"/>
  <c r="F162" i="33" s="1"/>
  <c r="A162" i="33"/>
  <c r="C161" i="33"/>
  <c r="F161" i="33" s="1"/>
  <c r="A161" i="33"/>
  <c r="C160" i="33"/>
  <c r="F160" i="33" s="1"/>
  <c r="A160" i="33"/>
  <c r="C159" i="33"/>
  <c r="F159" i="33" s="1"/>
  <c r="A159" i="33"/>
  <c r="F158" i="33"/>
  <c r="A158" i="33"/>
  <c r="C157" i="33"/>
  <c r="F157" i="33" s="1"/>
  <c r="A157" i="33"/>
  <c r="C156" i="33"/>
  <c r="F156" i="33" s="1"/>
  <c r="A156" i="33"/>
  <c r="C155" i="33"/>
  <c r="F155" i="33" s="1"/>
  <c r="A155" i="33"/>
  <c r="C154" i="33"/>
  <c r="F154" i="33" s="1"/>
  <c r="A154" i="33"/>
  <c r="C153" i="33"/>
  <c r="F153" i="33" s="1"/>
  <c r="A153" i="33"/>
  <c r="C152" i="33"/>
  <c r="F152" i="33" s="1"/>
  <c r="A152" i="33"/>
  <c r="C151" i="33"/>
  <c r="F151" i="33" s="1"/>
  <c r="A151" i="33"/>
  <c r="C150" i="33"/>
  <c r="F150" i="33" s="1"/>
  <c r="A150" i="33"/>
  <c r="C149" i="33"/>
  <c r="F149" i="33" s="1"/>
  <c r="A149" i="33"/>
  <c r="C148" i="33"/>
  <c r="F148" i="33" s="1"/>
  <c r="A148" i="33"/>
  <c r="C147" i="33"/>
  <c r="F147" i="33" s="1"/>
  <c r="A147" i="33"/>
  <c r="F146" i="33"/>
  <c r="A146" i="33"/>
  <c r="C145" i="33"/>
  <c r="F145" i="33" s="1"/>
  <c r="A145" i="33"/>
  <c r="C144" i="33"/>
  <c r="F144" i="33" s="1"/>
  <c r="A144" i="33"/>
  <c r="C143" i="33"/>
  <c r="F143" i="33" s="1"/>
  <c r="A143" i="33"/>
  <c r="C142" i="33"/>
  <c r="F142" i="33" s="1"/>
  <c r="A142" i="33"/>
  <c r="C141" i="33"/>
  <c r="F141" i="33" s="1"/>
  <c r="A141" i="33"/>
  <c r="C140" i="33"/>
  <c r="F140" i="33" s="1"/>
  <c r="A140" i="33"/>
  <c r="C139" i="33"/>
  <c r="F139" i="33" s="1"/>
  <c r="A139" i="33"/>
  <c r="C138" i="33"/>
  <c r="F138" i="33" s="1"/>
  <c r="A138" i="33"/>
  <c r="C137" i="33"/>
  <c r="F137" i="33" s="1"/>
  <c r="A137" i="33"/>
  <c r="C136" i="33"/>
  <c r="F136" i="33" s="1"/>
  <c r="A136" i="33"/>
  <c r="F134" i="33"/>
  <c r="A134" i="33"/>
  <c r="C133" i="33"/>
  <c r="F133" i="33" s="1"/>
  <c r="A133" i="33"/>
  <c r="F132" i="33"/>
  <c r="A132" i="33"/>
  <c r="F131" i="33"/>
  <c r="A131" i="33"/>
  <c r="F130" i="33"/>
  <c r="A130" i="33"/>
  <c r="F129" i="33"/>
  <c r="A129" i="33"/>
  <c r="F128" i="33"/>
  <c r="A128" i="33"/>
  <c r="F127" i="33"/>
  <c r="A127" i="33"/>
  <c r="F126" i="33"/>
  <c r="A126" i="33"/>
  <c r="D125" i="33"/>
  <c r="F125" i="33" s="1"/>
  <c r="A125" i="33"/>
  <c r="F124" i="33"/>
  <c r="A124" i="33"/>
  <c r="D123" i="33"/>
  <c r="F123" i="33" s="1"/>
  <c r="A123" i="33"/>
  <c r="D122" i="33"/>
  <c r="F122" i="33" s="1"/>
  <c r="A122" i="33"/>
  <c r="D121" i="33"/>
  <c r="F121" i="33" s="1"/>
  <c r="A121" i="33"/>
  <c r="D120" i="33"/>
  <c r="F120" i="33" s="1"/>
  <c r="A120" i="33"/>
  <c r="F119" i="33"/>
  <c r="A119" i="33"/>
  <c r="F118" i="33"/>
  <c r="A118" i="33"/>
  <c r="F117" i="33"/>
  <c r="A117" i="33"/>
  <c r="F116" i="33"/>
  <c r="A116" i="33"/>
  <c r="C115" i="33"/>
  <c r="F115" i="33" s="1"/>
  <c r="A115" i="33"/>
  <c r="F114" i="33"/>
  <c r="D114" i="33"/>
  <c r="A114" i="33"/>
  <c r="D113" i="33"/>
  <c r="F113" i="33" s="1"/>
  <c r="A113" i="33"/>
  <c r="D112" i="33"/>
  <c r="F112" i="33" s="1"/>
  <c r="A112" i="33"/>
  <c r="F111" i="33"/>
  <c r="D111" i="33"/>
  <c r="A111" i="33"/>
  <c r="D110" i="33"/>
  <c r="F110" i="33" s="1"/>
  <c r="A110" i="33"/>
  <c r="D109" i="33"/>
  <c r="F109" i="33" s="1"/>
  <c r="A109" i="33"/>
  <c r="D108" i="33"/>
  <c r="F108" i="33" s="1"/>
  <c r="A108" i="33"/>
  <c r="D107" i="33"/>
  <c r="F107" i="33" s="1"/>
  <c r="A107" i="33"/>
  <c r="F106" i="33"/>
  <c r="A106" i="33"/>
  <c r="D105" i="33"/>
  <c r="F105" i="33" s="1"/>
  <c r="A105" i="33"/>
  <c r="D104" i="33"/>
  <c r="F104" i="33" s="1"/>
  <c r="A104" i="33"/>
  <c r="F103" i="33"/>
  <c r="A103" i="33"/>
  <c r="D102" i="33"/>
  <c r="F102" i="33" s="1"/>
  <c r="A102" i="33"/>
  <c r="D101" i="33"/>
  <c r="F101" i="33" s="1"/>
  <c r="A101" i="33"/>
  <c r="D100" i="33"/>
  <c r="F100" i="33" s="1"/>
  <c r="A100" i="33"/>
  <c r="D99" i="33"/>
  <c r="F99" i="33" s="1"/>
  <c r="A99" i="33"/>
  <c r="D98" i="33"/>
  <c r="F98" i="33" s="1"/>
  <c r="A98" i="33"/>
  <c r="D97" i="33"/>
  <c r="F97" i="33" s="1"/>
  <c r="A97" i="33"/>
  <c r="D96" i="33"/>
  <c r="F96" i="33" s="1"/>
  <c r="A96" i="33"/>
  <c r="D95" i="33"/>
  <c r="F95" i="33" s="1"/>
  <c r="A95" i="33"/>
  <c r="D94" i="33"/>
  <c r="F94" i="33" s="1"/>
  <c r="A94" i="33"/>
  <c r="D93" i="33"/>
  <c r="F93" i="33" s="1"/>
  <c r="A93" i="33"/>
  <c r="D92" i="33"/>
  <c r="F92" i="33" s="1"/>
  <c r="A92" i="33"/>
  <c r="D91" i="33"/>
  <c r="F91" i="33" s="1"/>
  <c r="A91" i="33"/>
  <c r="F90" i="33"/>
  <c r="D90" i="33"/>
  <c r="A90" i="33"/>
  <c r="F89" i="33"/>
  <c r="A89" i="33"/>
  <c r="F88" i="33"/>
  <c r="A88" i="33"/>
  <c r="D87" i="33"/>
  <c r="F87" i="33" s="1"/>
  <c r="A87" i="33"/>
  <c r="F86" i="33"/>
  <c r="A86" i="33"/>
  <c r="F85" i="33"/>
  <c r="A85" i="33"/>
  <c r="D84" i="33"/>
  <c r="F84" i="33" s="1"/>
  <c r="A84" i="33"/>
  <c r="D83" i="33"/>
  <c r="F83" i="33" s="1"/>
  <c r="A83" i="33"/>
  <c r="D82" i="33"/>
  <c r="F82" i="33" s="1"/>
  <c r="A82" i="33"/>
  <c r="D81" i="33"/>
  <c r="F81" i="33" s="1"/>
  <c r="A81" i="33"/>
  <c r="D80" i="33"/>
  <c r="F80" i="33" s="1"/>
  <c r="A80" i="33"/>
  <c r="D79" i="33"/>
  <c r="F79" i="33" s="1"/>
  <c r="A79" i="33"/>
  <c r="D78" i="33"/>
  <c r="F78" i="33" s="1"/>
  <c r="A78" i="33"/>
  <c r="D77" i="33"/>
  <c r="F77" i="33" s="1"/>
  <c r="A77" i="33"/>
  <c r="F75" i="33"/>
  <c r="A75" i="33"/>
  <c r="D74" i="33"/>
  <c r="F74" i="33" s="1"/>
  <c r="A74" i="33"/>
  <c r="D73" i="33"/>
  <c r="F73" i="33" s="1"/>
  <c r="A73" i="33"/>
  <c r="D72" i="33"/>
  <c r="F72" i="33" s="1"/>
  <c r="A72" i="33"/>
  <c r="D71" i="33"/>
  <c r="F71" i="33" s="1"/>
  <c r="A71" i="33"/>
  <c r="C70" i="33"/>
  <c r="F70" i="33" s="1"/>
  <c r="A70" i="33"/>
  <c r="D69" i="33"/>
  <c r="F69" i="33" s="1"/>
  <c r="A69" i="33"/>
  <c r="D68" i="33"/>
  <c r="F68" i="33" s="1"/>
  <c r="A68" i="33"/>
  <c r="D67" i="33"/>
  <c r="F67" i="33" s="1"/>
  <c r="A67" i="33"/>
  <c r="F66" i="33"/>
  <c r="A66" i="33"/>
  <c r="C65" i="33"/>
  <c r="F65" i="33" s="1"/>
  <c r="A65" i="33"/>
  <c r="F64" i="33"/>
  <c r="C64" i="33"/>
  <c r="A64" i="33"/>
  <c r="C63" i="33"/>
  <c r="F63" i="33" s="1"/>
  <c r="A63" i="33"/>
  <c r="F62" i="33"/>
  <c r="A62" i="33"/>
  <c r="C61" i="33"/>
  <c r="F61" i="33" s="1"/>
  <c r="A61" i="33"/>
  <c r="C60" i="33"/>
  <c r="F60" i="33" s="1"/>
  <c r="A60" i="33"/>
  <c r="C59" i="33"/>
  <c r="F59" i="33" s="1"/>
  <c r="A59" i="33"/>
  <c r="F58" i="33"/>
  <c r="A58" i="33"/>
  <c r="C57" i="33"/>
  <c r="F57" i="33" s="1"/>
  <c r="A57" i="33"/>
  <c r="C56" i="33"/>
  <c r="F56" i="33" s="1"/>
  <c r="A56" i="33"/>
  <c r="C55" i="33"/>
  <c r="F55" i="33" s="1"/>
  <c r="A55" i="33"/>
  <c r="C54" i="33"/>
  <c r="F54" i="33" s="1"/>
  <c r="A54" i="33"/>
  <c r="C53" i="33"/>
  <c r="F53" i="33" s="1"/>
  <c r="A53" i="33"/>
  <c r="C52" i="33"/>
  <c r="F52" i="33" s="1"/>
  <c r="A52" i="33"/>
  <c r="F51" i="33"/>
  <c r="A51" i="33"/>
  <c r="C50" i="33"/>
  <c r="F50" i="33" s="1"/>
  <c r="A50" i="33"/>
  <c r="C49" i="33"/>
  <c r="F49" i="33" s="1"/>
  <c r="A49" i="33"/>
  <c r="C48" i="33"/>
  <c r="F48" i="33" s="1"/>
  <c r="A48" i="33"/>
  <c r="F47" i="33"/>
  <c r="A47" i="33"/>
  <c r="F46" i="33"/>
  <c r="A46" i="33"/>
  <c r="C45" i="33"/>
  <c r="F45" i="33" s="1"/>
  <c r="A45" i="33"/>
  <c r="C44" i="33"/>
  <c r="F44" i="33" s="1"/>
  <c r="A44" i="33"/>
  <c r="C43" i="33"/>
  <c r="F43" i="33" s="1"/>
  <c r="A43" i="33"/>
  <c r="C42" i="33"/>
  <c r="F42" i="33" s="1"/>
  <c r="A42" i="33"/>
  <c r="F41" i="33"/>
  <c r="D41" i="33"/>
  <c r="A41" i="33"/>
  <c r="D40" i="33"/>
  <c r="F40" i="33" s="1"/>
  <c r="A40" i="33"/>
  <c r="D39" i="33"/>
  <c r="F39" i="33" s="1"/>
  <c r="A39" i="33"/>
  <c r="D38" i="33"/>
  <c r="F38" i="33" s="1"/>
  <c r="A38" i="33"/>
  <c r="D37" i="33"/>
  <c r="F37" i="33" s="1"/>
  <c r="A37" i="33"/>
  <c r="C36" i="33"/>
  <c r="F36" i="33" s="1"/>
  <c r="A36" i="33"/>
  <c r="D35" i="33"/>
  <c r="F35" i="33" s="1"/>
  <c r="A35" i="33"/>
  <c r="D34" i="33"/>
  <c r="F34" i="33" s="1"/>
  <c r="A34" i="33"/>
  <c r="D33" i="33"/>
  <c r="F33" i="33" s="1"/>
  <c r="A33" i="33"/>
  <c r="C32" i="33"/>
  <c r="F32" i="33" s="1"/>
  <c r="A32" i="33"/>
  <c r="D31" i="33"/>
  <c r="A31" i="33"/>
  <c r="C30" i="33"/>
  <c r="F30" i="33" s="1"/>
  <c r="A30" i="33"/>
  <c r="C29" i="33"/>
  <c r="F29" i="33" s="1"/>
  <c r="A29" i="33"/>
  <c r="C28" i="33"/>
  <c r="F28" i="33" s="1"/>
  <c r="A28" i="33"/>
  <c r="C27" i="33"/>
  <c r="F27" i="33" s="1"/>
  <c r="A27" i="33"/>
  <c r="C26" i="33"/>
  <c r="F26" i="33" s="1"/>
  <c r="A26" i="33"/>
  <c r="C25" i="33"/>
  <c r="F25" i="33" s="1"/>
  <c r="A25" i="33"/>
  <c r="C24" i="33"/>
  <c r="F24" i="33" s="1"/>
  <c r="A24" i="33"/>
  <c r="C23" i="33"/>
  <c r="F23" i="33" s="1"/>
  <c r="A23" i="33"/>
  <c r="C22" i="33"/>
  <c r="F22" i="33" s="1"/>
  <c r="A22" i="33"/>
  <c r="C21" i="33"/>
  <c r="F21" i="33" s="1"/>
  <c r="A21" i="33"/>
  <c r="C20" i="33"/>
  <c r="F20" i="33" s="1"/>
  <c r="A20" i="33"/>
  <c r="C19" i="33"/>
  <c r="F19" i="33" s="1"/>
  <c r="A19" i="33"/>
  <c r="C18" i="33"/>
  <c r="F18" i="33" s="1"/>
  <c r="A18" i="33"/>
  <c r="F17" i="33"/>
  <c r="A17" i="33"/>
  <c r="F16" i="33"/>
  <c r="C16" i="33"/>
  <c r="A16" i="33"/>
  <c r="C15" i="33"/>
  <c r="F15" i="33" s="1"/>
  <c r="A15" i="33"/>
  <c r="C14" i="33"/>
  <c r="F14" i="33" s="1"/>
  <c r="A14" i="33"/>
  <c r="C13" i="33"/>
  <c r="F13" i="33" s="1"/>
  <c r="A13" i="33"/>
  <c r="C12" i="33"/>
  <c r="F12" i="33" s="1"/>
  <c r="A12" i="33"/>
  <c r="C11" i="33"/>
  <c r="F11" i="33" s="1"/>
  <c r="A11" i="33"/>
  <c r="C10" i="33"/>
  <c r="F10" i="33" s="1"/>
  <c r="A10" i="33"/>
  <c r="C9" i="33"/>
  <c r="F9" i="33" s="1"/>
  <c r="A9" i="33"/>
  <c r="C8" i="33"/>
  <c r="F8" i="33" s="1"/>
  <c r="A8" i="33"/>
  <c r="A7" i="33"/>
  <c r="C6" i="33"/>
  <c r="A6" i="33"/>
  <c r="C184" i="33" l="1"/>
  <c r="F6" i="33"/>
  <c r="D184" i="33"/>
  <c r="F7" i="33"/>
  <c r="F31" i="33"/>
  <c r="F184" i="33" l="1"/>
  <c r="M25" i="24" l="1"/>
  <c r="M34" i="24"/>
  <c r="J34" i="24"/>
  <c r="G34" i="24"/>
  <c r="G35" i="24" s="1"/>
  <c r="B34" i="24"/>
  <c r="D34" i="24"/>
  <c r="D35" i="24" s="1"/>
  <c r="E78" i="35"/>
  <c r="C78" i="35"/>
  <c r="E120" i="35"/>
  <c r="C120" i="35"/>
  <c r="E78" i="34"/>
  <c r="C78" i="34"/>
  <c r="G78" i="34" s="1"/>
  <c r="E120" i="34"/>
  <c r="C120" i="34"/>
  <c r="G120" i="34" s="1"/>
  <c r="E78" i="29"/>
  <c r="C78" i="29"/>
  <c r="E120" i="29"/>
  <c r="C120" i="29"/>
  <c r="E78" i="13"/>
  <c r="C78" i="13"/>
  <c r="G78" i="13" s="1"/>
  <c r="E120" i="13"/>
  <c r="C120" i="13"/>
  <c r="G120" i="13" s="1"/>
  <c r="E78" i="12"/>
  <c r="C78" i="12"/>
  <c r="G78" i="12" s="1"/>
  <c r="E120" i="12"/>
  <c r="C120" i="12"/>
  <c r="G120" i="12" s="1"/>
  <c r="E78" i="1"/>
  <c r="C78" i="1"/>
  <c r="G78" i="1" s="1"/>
  <c r="E120" i="1"/>
  <c r="C120" i="1"/>
  <c r="G120" i="1" s="1"/>
  <c r="E120" i="36"/>
  <c r="C120" i="36"/>
  <c r="E78" i="36"/>
  <c r="C78" i="36"/>
  <c r="F113" i="23"/>
  <c r="F73" i="23"/>
  <c r="G120" i="29" l="1"/>
  <c r="G78" i="29"/>
  <c r="G78" i="36"/>
  <c r="G120" i="36"/>
  <c r="G78" i="35"/>
  <c r="G120" i="35"/>
  <c r="J35" i="24"/>
  <c r="M35" i="24"/>
  <c r="C122" i="11"/>
  <c r="D85" i="11"/>
  <c r="N25" i="24" l="1"/>
  <c r="S7" i="44"/>
  <c r="Q7" i="44"/>
  <c r="E7" i="44"/>
  <c r="E47" i="44"/>
  <c r="E46" i="44"/>
  <c r="E45" i="44"/>
  <c r="E39" i="44"/>
  <c r="E38" i="44"/>
  <c r="E37" i="44"/>
  <c r="E36" i="44"/>
  <c r="E35" i="44"/>
  <c r="E29" i="44"/>
  <c r="E28" i="44"/>
  <c r="E18" i="44"/>
  <c r="E16" i="44"/>
  <c r="E13" i="44"/>
  <c r="E12" i="44"/>
  <c r="T6" i="44"/>
  <c r="S6" i="44"/>
  <c r="Q6" i="44"/>
  <c r="E6" i="44"/>
  <c r="S7" i="42"/>
  <c r="Q7" i="42"/>
  <c r="E7" i="42"/>
  <c r="E7" i="40"/>
  <c r="S7" i="40"/>
  <c r="Q7" i="40"/>
  <c r="E47" i="42"/>
  <c r="E46" i="42"/>
  <c r="E45" i="42"/>
  <c r="E39" i="42"/>
  <c r="E38" i="42"/>
  <c r="E37" i="42"/>
  <c r="E36" i="42"/>
  <c r="E35" i="42"/>
  <c r="E29" i="42"/>
  <c r="E28" i="42"/>
  <c r="E18" i="42"/>
  <c r="E16" i="42"/>
  <c r="E13" i="42"/>
  <c r="E12" i="42"/>
  <c r="T6" i="42"/>
  <c r="S6" i="42"/>
  <c r="Q6" i="42"/>
  <c r="E6" i="42"/>
  <c r="F178" i="17"/>
  <c r="F177" i="17"/>
  <c r="F176" i="17"/>
  <c r="F175" i="17"/>
  <c r="F174" i="17"/>
  <c r="F173" i="17"/>
  <c r="F172" i="17"/>
  <c r="F171" i="17"/>
  <c r="F170" i="17"/>
  <c r="F169" i="17"/>
  <c r="F168" i="17"/>
  <c r="F167" i="17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C145" i="17"/>
  <c r="C141" i="17"/>
  <c r="C130" i="17"/>
  <c r="C127" i="17"/>
  <c r="C17" i="17"/>
  <c r="C14" i="17"/>
  <c r="F174" i="23"/>
  <c r="F162" i="23"/>
  <c r="F151" i="23"/>
  <c r="F120" i="23"/>
  <c r="F112" i="23"/>
  <c r="F111" i="23"/>
  <c r="F101" i="23"/>
  <c r="F98" i="23"/>
  <c r="F83" i="23"/>
  <c r="C127" i="23"/>
  <c r="F127" i="23" s="1"/>
  <c r="C14" i="23"/>
  <c r="F14" i="23" s="1"/>
  <c r="Q8" i="42" l="1"/>
  <c r="Q24" i="42" s="1"/>
  <c r="E24" i="42" s="1"/>
  <c r="S8" i="44"/>
  <c r="S43" i="44" s="1"/>
  <c r="Q8" i="44"/>
  <c r="Q24" i="44" s="1"/>
  <c r="E24" i="44" s="1"/>
  <c r="S8" i="42"/>
  <c r="S43" i="42" s="1"/>
  <c r="Q49" i="42" l="1"/>
  <c r="S49" i="44"/>
  <c r="Q49" i="44"/>
  <c r="S49" i="42"/>
  <c r="E179" i="23" l="1"/>
  <c r="E179" i="17"/>
  <c r="E47" i="40" l="1"/>
  <c r="E46" i="40"/>
  <c r="E45" i="40"/>
  <c r="E39" i="40"/>
  <c r="E38" i="40"/>
  <c r="E37" i="40"/>
  <c r="E36" i="40"/>
  <c r="E35" i="40"/>
  <c r="E29" i="40"/>
  <c r="E28" i="40"/>
  <c r="E18" i="40"/>
  <c r="E16" i="40"/>
  <c r="E13" i="40"/>
  <c r="E12" i="40"/>
  <c r="T6" i="40"/>
  <c r="S6" i="40"/>
  <c r="S8" i="40" s="1"/>
  <c r="S43" i="40" s="1"/>
  <c r="Q6" i="40"/>
  <c r="Q8" i="40" s="1"/>
  <c r="Q24" i="40" s="1"/>
  <c r="E24" i="40" s="1"/>
  <c r="E6" i="40"/>
  <c r="Q49" i="40" l="1"/>
  <c r="S49" i="40"/>
  <c r="R45" i="18"/>
  <c r="Q45" i="18"/>
  <c r="P45" i="18"/>
  <c r="R44" i="18"/>
  <c r="Q44" i="18"/>
  <c r="P44" i="18"/>
  <c r="R41" i="18"/>
  <c r="Q41" i="18"/>
  <c r="P41" i="18"/>
  <c r="R32" i="18"/>
  <c r="Q32" i="18"/>
  <c r="P32" i="18"/>
  <c r="R19" i="18"/>
  <c r="Q19" i="18"/>
  <c r="P19" i="18"/>
  <c r="R10" i="18"/>
  <c r="Q10" i="18"/>
  <c r="P10" i="18"/>
  <c r="O45" i="18"/>
  <c r="O44" i="18"/>
  <c r="O41" i="18"/>
  <c r="O32" i="18"/>
  <c r="T7" i="44" s="1"/>
  <c r="T8" i="44" s="1"/>
  <c r="O19" i="18"/>
  <c r="N7" i="44" s="1"/>
  <c r="O10" i="18"/>
  <c r="H7" i="44" s="1"/>
  <c r="N45" i="18"/>
  <c r="N44" i="18"/>
  <c r="N41" i="18"/>
  <c r="N32" i="18"/>
  <c r="T7" i="42" s="1"/>
  <c r="T8" i="42" s="1"/>
  <c r="N19" i="18"/>
  <c r="N7" i="42" s="1"/>
  <c r="N10" i="18"/>
  <c r="H7" i="42" s="1"/>
  <c r="M45" i="18"/>
  <c r="M44" i="18"/>
  <c r="M41" i="18"/>
  <c r="M32" i="18"/>
  <c r="T7" i="40" s="1"/>
  <c r="T8" i="40" s="1"/>
  <c r="T44" i="40" s="1"/>
  <c r="E44" i="40" s="1"/>
  <c r="M19" i="18"/>
  <c r="N7" i="40" s="1"/>
  <c r="M10" i="18"/>
  <c r="H7" i="40" s="1"/>
  <c r="Y39" i="25"/>
  <c r="T44" i="42" l="1"/>
  <c r="E44" i="42" s="1"/>
  <c r="T44" i="44"/>
  <c r="E44" i="44" s="1"/>
  <c r="T49" i="40"/>
  <c r="H10" i="18"/>
  <c r="K10" i="18" s="1"/>
  <c r="E7" i="39"/>
  <c r="S7" i="39"/>
  <c r="Q7" i="39"/>
  <c r="T6" i="39"/>
  <c r="S6" i="39"/>
  <c r="Q6" i="39"/>
  <c r="E6" i="39"/>
  <c r="E55" i="39"/>
  <c r="E54" i="39"/>
  <c r="E53" i="39"/>
  <c r="E46" i="39"/>
  <c r="E45" i="39"/>
  <c r="E44" i="39"/>
  <c r="E43" i="39"/>
  <c r="E42" i="39"/>
  <c r="E36" i="39"/>
  <c r="E35" i="39"/>
  <c r="E22" i="39"/>
  <c r="E13" i="39"/>
  <c r="E12" i="39"/>
  <c r="C240" i="36"/>
  <c r="C222" i="36"/>
  <c r="E246" i="36"/>
  <c r="D45" i="18"/>
  <c r="D44" i="18"/>
  <c r="D32" i="18"/>
  <c r="T7" i="39" s="1"/>
  <c r="H7" i="39"/>
  <c r="F26" i="38"/>
  <c r="E26" i="38"/>
  <c r="D26" i="38"/>
  <c r="C26" i="38"/>
  <c r="C80" i="38" s="1"/>
  <c r="F21" i="38"/>
  <c r="E21" i="38"/>
  <c r="D21" i="38"/>
  <c r="C21" i="38"/>
  <c r="H26" i="38"/>
  <c r="H21" i="38"/>
  <c r="D5" i="38"/>
  <c r="E5" i="38" s="1"/>
  <c r="F5" i="38" s="1"/>
  <c r="H5" i="38" s="1"/>
  <c r="D60" i="38"/>
  <c r="E60" i="38" s="1"/>
  <c r="F60" i="38" s="1"/>
  <c r="O73" i="38"/>
  <c r="Q71" i="38"/>
  <c r="Q70" i="38"/>
  <c r="Q69" i="38"/>
  <c r="Q68" i="38"/>
  <c r="Q67" i="38"/>
  <c r="Q66" i="38"/>
  <c r="Q65" i="38"/>
  <c r="Q64" i="38"/>
  <c r="Q63" i="38"/>
  <c r="Q62" i="38"/>
  <c r="Q61" i="38"/>
  <c r="C254" i="35"/>
  <c r="C248" i="35"/>
  <c r="C49" i="29"/>
  <c r="E73" i="29"/>
  <c r="D178" i="17"/>
  <c r="A178" i="17"/>
  <c r="C177" i="17"/>
  <c r="A177" i="17"/>
  <c r="A176" i="17"/>
  <c r="A175" i="17"/>
  <c r="C174" i="17"/>
  <c r="A174" i="17"/>
  <c r="C173" i="17"/>
  <c r="A173" i="17"/>
  <c r="C172" i="17"/>
  <c r="A172" i="17"/>
  <c r="C171" i="17"/>
  <c r="A171" i="17"/>
  <c r="C170" i="17"/>
  <c r="A170" i="17"/>
  <c r="C169" i="17"/>
  <c r="A169" i="17"/>
  <c r="C168" i="17"/>
  <c r="A168" i="17"/>
  <c r="C167" i="17"/>
  <c r="A167" i="17"/>
  <c r="A166" i="17"/>
  <c r="C165" i="17"/>
  <c r="A165" i="17"/>
  <c r="C164" i="17"/>
  <c r="A164" i="17"/>
  <c r="A163" i="17"/>
  <c r="C162" i="17"/>
  <c r="A162" i="17"/>
  <c r="C161" i="17"/>
  <c r="A161" i="17"/>
  <c r="C160" i="17"/>
  <c r="A160" i="17"/>
  <c r="C159" i="17"/>
  <c r="A159" i="17"/>
  <c r="C158" i="17"/>
  <c r="A158" i="17"/>
  <c r="C157" i="17"/>
  <c r="A157" i="17"/>
  <c r="C156" i="17"/>
  <c r="A156" i="17"/>
  <c r="A155" i="17"/>
  <c r="C154" i="17"/>
  <c r="A154" i="17"/>
  <c r="C153" i="17"/>
  <c r="A153" i="17"/>
  <c r="C152" i="17"/>
  <c r="A152" i="17"/>
  <c r="C151" i="17"/>
  <c r="A151" i="17"/>
  <c r="C150" i="17"/>
  <c r="A150" i="17"/>
  <c r="C149" i="17"/>
  <c r="A149" i="17"/>
  <c r="D148" i="17"/>
  <c r="A148" i="17"/>
  <c r="C147" i="17"/>
  <c r="A147" i="17"/>
  <c r="C146" i="17"/>
  <c r="A146" i="17"/>
  <c r="A145" i="17"/>
  <c r="C144" i="17"/>
  <c r="A144" i="17"/>
  <c r="C143" i="17"/>
  <c r="A143" i="17"/>
  <c r="C142" i="17"/>
  <c r="A142" i="17"/>
  <c r="A141" i="17"/>
  <c r="C140" i="17"/>
  <c r="A140" i="17"/>
  <c r="C139" i="17"/>
  <c r="A139" i="17"/>
  <c r="C138" i="17"/>
  <c r="A138" i="17"/>
  <c r="C137" i="17"/>
  <c r="A137" i="17"/>
  <c r="C136" i="17"/>
  <c r="A136" i="17"/>
  <c r="C135" i="17"/>
  <c r="A135" i="17"/>
  <c r="C134" i="17"/>
  <c r="A134" i="17"/>
  <c r="C133" i="17"/>
  <c r="A133" i="17"/>
  <c r="C131" i="17"/>
  <c r="A131" i="17"/>
  <c r="A130" i="17"/>
  <c r="C129" i="17"/>
  <c r="A129" i="17"/>
  <c r="C128" i="17"/>
  <c r="A128" i="17"/>
  <c r="A127" i="17"/>
  <c r="D126" i="17"/>
  <c r="A126" i="17"/>
  <c r="D125" i="17"/>
  <c r="A125" i="17"/>
  <c r="D124" i="17"/>
  <c r="A124" i="17"/>
  <c r="A123" i="17"/>
  <c r="D122" i="17"/>
  <c r="A122" i="17"/>
  <c r="A121" i="17"/>
  <c r="D120" i="17"/>
  <c r="A120" i="17"/>
  <c r="D119" i="17"/>
  <c r="A119" i="17"/>
  <c r="D118" i="17"/>
  <c r="A118" i="17"/>
  <c r="D117" i="17"/>
  <c r="A117" i="17"/>
  <c r="A116" i="17"/>
  <c r="A115" i="17"/>
  <c r="C114" i="17"/>
  <c r="A114" i="17"/>
  <c r="D113" i="17"/>
  <c r="A113" i="17"/>
  <c r="D112" i="17"/>
  <c r="A112" i="17"/>
  <c r="D111" i="17"/>
  <c r="A111" i="17"/>
  <c r="D110" i="17"/>
  <c r="A110" i="17"/>
  <c r="D109" i="17"/>
  <c r="A109" i="17"/>
  <c r="D108" i="17"/>
  <c r="A108" i="17"/>
  <c r="D107" i="17"/>
  <c r="A107" i="17"/>
  <c r="D106" i="17"/>
  <c r="A106" i="17"/>
  <c r="A105" i="17"/>
  <c r="D104" i="17"/>
  <c r="A104" i="17"/>
  <c r="D103" i="17"/>
  <c r="A103" i="17"/>
  <c r="A102" i="17"/>
  <c r="D101" i="17"/>
  <c r="A101" i="17"/>
  <c r="D100" i="17"/>
  <c r="A100" i="17"/>
  <c r="D99" i="17"/>
  <c r="A99" i="17"/>
  <c r="D98" i="17"/>
  <c r="A98" i="17"/>
  <c r="D97" i="17"/>
  <c r="A97" i="17"/>
  <c r="D96" i="17"/>
  <c r="A96" i="17"/>
  <c r="D95" i="17"/>
  <c r="A95" i="17"/>
  <c r="D94" i="17"/>
  <c r="A94" i="17"/>
  <c r="D93" i="17"/>
  <c r="A93" i="17"/>
  <c r="D92" i="17"/>
  <c r="A92" i="17"/>
  <c r="D91" i="17"/>
  <c r="A91" i="17"/>
  <c r="D90" i="17"/>
  <c r="A90" i="17"/>
  <c r="D89" i="17"/>
  <c r="A89" i="17"/>
  <c r="D88" i="17"/>
  <c r="A88" i="17"/>
  <c r="A87" i="17"/>
  <c r="D86" i="17"/>
  <c r="A86" i="17"/>
  <c r="A85" i="17"/>
  <c r="D84" i="17"/>
  <c r="A84" i="17"/>
  <c r="D83" i="17"/>
  <c r="A83" i="17"/>
  <c r="D82" i="17"/>
  <c r="A82" i="17"/>
  <c r="D81" i="17"/>
  <c r="A81" i="17"/>
  <c r="D80" i="17"/>
  <c r="A80" i="17"/>
  <c r="D79" i="17"/>
  <c r="A79" i="17"/>
  <c r="D78" i="17"/>
  <c r="A78" i="17"/>
  <c r="D77" i="17"/>
  <c r="A77" i="17"/>
  <c r="D76" i="17"/>
  <c r="A76" i="17"/>
  <c r="A75" i="17"/>
  <c r="D74" i="17"/>
  <c r="A74" i="17"/>
  <c r="D73" i="17"/>
  <c r="A73" i="17"/>
  <c r="D72" i="17"/>
  <c r="A72" i="17"/>
  <c r="D71" i="17"/>
  <c r="A71" i="17"/>
  <c r="D70" i="17"/>
  <c r="A70" i="17"/>
  <c r="D69" i="17"/>
  <c r="A69" i="17"/>
  <c r="D68" i="17"/>
  <c r="A68" i="17"/>
  <c r="D67" i="17"/>
  <c r="A67" i="17"/>
  <c r="A66" i="17"/>
  <c r="C65" i="17"/>
  <c r="A65" i="17"/>
  <c r="C64" i="17"/>
  <c r="A64" i="17"/>
  <c r="C63" i="17"/>
  <c r="A63" i="17"/>
  <c r="A62" i="17"/>
  <c r="C61" i="17"/>
  <c r="A61" i="17"/>
  <c r="C60" i="17"/>
  <c r="A60" i="17"/>
  <c r="C59" i="17"/>
  <c r="A59" i="17"/>
  <c r="A58" i="17"/>
  <c r="C57" i="17"/>
  <c r="A57" i="17"/>
  <c r="C56" i="17"/>
  <c r="A56" i="17"/>
  <c r="C55" i="17"/>
  <c r="A55" i="17"/>
  <c r="C54" i="17"/>
  <c r="A54" i="17"/>
  <c r="C53" i="17"/>
  <c r="A53" i="17"/>
  <c r="C52" i="17"/>
  <c r="A52" i="17"/>
  <c r="A51" i="17"/>
  <c r="C50" i="17"/>
  <c r="A50" i="17"/>
  <c r="C49" i="17"/>
  <c r="A49" i="17"/>
  <c r="C48" i="17"/>
  <c r="A48" i="17"/>
  <c r="A47" i="17"/>
  <c r="A46" i="17"/>
  <c r="C45" i="17"/>
  <c r="A45" i="17"/>
  <c r="C44" i="17"/>
  <c r="A44" i="17"/>
  <c r="C43" i="17"/>
  <c r="A43" i="17"/>
  <c r="C42" i="17"/>
  <c r="A42" i="17"/>
  <c r="D41" i="17"/>
  <c r="A41" i="17"/>
  <c r="D40" i="17"/>
  <c r="A40" i="17"/>
  <c r="D39" i="17"/>
  <c r="A39" i="17"/>
  <c r="D38" i="17"/>
  <c r="A38" i="17"/>
  <c r="D37" i="17"/>
  <c r="A37" i="17"/>
  <c r="C36" i="17"/>
  <c r="A36" i="17"/>
  <c r="D35" i="17"/>
  <c r="A35" i="17"/>
  <c r="D34" i="17"/>
  <c r="A34" i="17"/>
  <c r="D33" i="17"/>
  <c r="A33" i="17"/>
  <c r="C32" i="17"/>
  <c r="A32" i="17"/>
  <c r="D31" i="17"/>
  <c r="D179" i="17" s="1"/>
  <c r="A31" i="17"/>
  <c r="C30" i="17"/>
  <c r="A30" i="17"/>
  <c r="C29" i="17"/>
  <c r="A29" i="17"/>
  <c r="C28" i="17"/>
  <c r="A28" i="17"/>
  <c r="C27" i="17"/>
  <c r="A27" i="17"/>
  <c r="C26" i="17"/>
  <c r="A26" i="17"/>
  <c r="C25" i="17"/>
  <c r="A25" i="17"/>
  <c r="C24" i="17"/>
  <c r="A24" i="17"/>
  <c r="C23" i="17"/>
  <c r="A23" i="17"/>
  <c r="C22" i="17"/>
  <c r="A22" i="17"/>
  <c r="C21" i="17"/>
  <c r="A21" i="17"/>
  <c r="C20" i="17"/>
  <c r="A20" i="17"/>
  <c r="C19" i="17"/>
  <c r="A19" i="17"/>
  <c r="C18" i="17"/>
  <c r="A18" i="17"/>
  <c r="A17" i="17"/>
  <c r="C16" i="17"/>
  <c r="A16" i="17"/>
  <c r="C15" i="17"/>
  <c r="A15" i="17"/>
  <c r="A14" i="17"/>
  <c r="C13" i="17"/>
  <c r="A13" i="17"/>
  <c r="C12" i="17"/>
  <c r="A12" i="17"/>
  <c r="C11" i="17"/>
  <c r="A11" i="17"/>
  <c r="C10" i="17"/>
  <c r="A10" i="17"/>
  <c r="C9" i="17"/>
  <c r="A9" i="17"/>
  <c r="C8" i="17"/>
  <c r="A8" i="17"/>
  <c r="C7" i="17"/>
  <c r="A7" i="17"/>
  <c r="C6" i="17"/>
  <c r="C179" i="17" s="1"/>
  <c r="C187" i="17" s="1"/>
  <c r="A6" i="17"/>
  <c r="D177" i="16"/>
  <c r="F177" i="16" s="1"/>
  <c r="A177" i="16"/>
  <c r="C176" i="16"/>
  <c r="F176" i="16" s="1"/>
  <c r="A176" i="16"/>
  <c r="C175" i="16"/>
  <c r="F175" i="16" s="1"/>
  <c r="A175" i="16"/>
  <c r="C174" i="16"/>
  <c r="F174" i="16" s="1"/>
  <c r="A174" i="16"/>
  <c r="F173" i="16"/>
  <c r="C173" i="16"/>
  <c r="A173" i="16"/>
  <c r="F172" i="16"/>
  <c r="C172" i="16"/>
  <c r="A172" i="16"/>
  <c r="C171" i="16"/>
  <c r="F171" i="16" s="1"/>
  <c r="A171" i="16"/>
  <c r="C170" i="16"/>
  <c r="F170" i="16" s="1"/>
  <c r="A170" i="16"/>
  <c r="C169" i="16"/>
  <c r="F169" i="16" s="1"/>
  <c r="A169" i="16"/>
  <c r="C168" i="16"/>
  <c r="F168" i="16" s="1"/>
  <c r="A168" i="16"/>
  <c r="C167" i="16"/>
  <c r="F167" i="16" s="1"/>
  <c r="A167" i="16"/>
  <c r="C166" i="16"/>
  <c r="F166" i="16" s="1"/>
  <c r="A166" i="16"/>
  <c r="F165" i="16"/>
  <c r="C165" i="16"/>
  <c r="A165" i="16"/>
  <c r="F164" i="16"/>
  <c r="C164" i="16"/>
  <c r="A164" i="16"/>
  <c r="C163" i="16"/>
  <c r="F163" i="16" s="1"/>
  <c r="A163" i="16"/>
  <c r="F162" i="16"/>
  <c r="C162" i="16"/>
  <c r="A162" i="16"/>
  <c r="C161" i="16"/>
  <c r="F161" i="16" s="1"/>
  <c r="A161" i="16"/>
  <c r="C160" i="16"/>
  <c r="F160" i="16" s="1"/>
  <c r="A160" i="16"/>
  <c r="C159" i="16"/>
  <c r="F159" i="16" s="1"/>
  <c r="A159" i="16"/>
  <c r="C158" i="16"/>
  <c r="F158" i="16" s="1"/>
  <c r="A158" i="16"/>
  <c r="F157" i="16"/>
  <c r="C157" i="16"/>
  <c r="A157" i="16"/>
  <c r="F156" i="16"/>
  <c r="C156" i="16"/>
  <c r="A156" i="16"/>
  <c r="C155" i="16"/>
  <c r="F155" i="16" s="1"/>
  <c r="A155" i="16"/>
  <c r="F154" i="16"/>
  <c r="C154" i="16"/>
  <c r="A154" i="16"/>
  <c r="C153" i="16"/>
  <c r="F153" i="16" s="1"/>
  <c r="A153" i="16"/>
  <c r="C152" i="16"/>
  <c r="F152" i="16" s="1"/>
  <c r="A152" i="16"/>
  <c r="C151" i="16"/>
  <c r="F151" i="16" s="1"/>
  <c r="A151" i="16"/>
  <c r="C150" i="16"/>
  <c r="F150" i="16" s="1"/>
  <c r="A150" i="16"/>
  <c r="F149" i="16"/>
  <c r="C149" i="16"/>
  <c r="A149" i="16"/>
  <c r="F148" i="16"/>
  <c r="C148" i="16"/>
  <c r="A148" i="16"/>
  <c r="C147" i="16"/>
  <c r="F147" i="16" s="1"/>
  <c r="A147" i="16"/>
  <c r="F146" i="16"/>
  <c r="C146" i="16"/>
  <c r="A146" i="16"/>
  <c r="C145" i="16"/>
  <c r="F145" i="16" s="1"/>
  <c r="A145" i="16"/>
  <c r="C144" i="16"/>
  <c r="F144" i="16" s="1"/>
  <c r="A144" i="16"/>
  <c r="C143" i="16"/>
  <c r="F143" i="16" s="1"/>
  <c r="A143" i="16"/>
  <c r="D142" i="16"/>
  <c r="F142" i="16" s="1"/>
  <c r="A142" i="16"/>
  <c r="F141" i="16"/>
  <c r="C141" i="16"/>
  <c r="A141" i="16"/>
  <c r="F140" i="16"/>
  <c r="C140" i="16"/>
  <c r="A140" i="16"/>
  <c r="C139" i="16"/>
  <c r="F139" i="16" s="1"/>
  <c r="A139" i="16"/>
  <c r="F138" i="16"/>
  <c r="C138" i="16"/>
  <c r="A138" i="16"/>
  <c r="C137" i="16"/>
  <c r="F137" i="16" s="1"/>
  <c r="A137" i="16"/>
  <c r="C136" i="16"/>
  <c r="F136" i="16" s="1"/>
  <c r="A136" i="16"/>
  <c r="C135" i="16"/>
  <c r="F135" i="16" s="1"/>
  <c r="A135" i="16"/>
  <c r="C134" i="16"/>
  <c r="F134" i="16" s="1"/>
  <c r="A134" i="16"/>
  <c r="F133" i="16"/>
  <c r="C133" i="16"/>
  <c r="A133" i="16"/>
  <c r="F132" i="16"/>
  <c r="C132" i="16"/>
  <c r="A132" i="16"/>
  <c r="C131" i="16"/>
  <c r="F131" i="16" s="1"/>
  <c r="A131" i="16"/>
  <c r="F130" i="16"/>
  <c r="C130" i="16"/>
  <c r="A130" i="16"/>
  <c r="C129" i="16"/>
  <c r="F129" i="16" s="1"/>
  <c r="A129" i="16"/>
  <c r="C128" i="16"/>
  <c r="F128" i="16" s="1"/>
  <c r="A128" i="16"/>
  <c r="C127" i="16"/>
  <c r="F127" i="16" s="1"/>
  <c r="A127" i="16"/>
  <c r="D126" i="16"/>
  <c r="F126" i="16" s="1"/>
  <c r="A126" i="16"/>
  <c r="F125" i="16"/>
  <c r="D125" i="16"/>
  <c r="A125" i="16"/>
  <c r="F124" i="16"/>
  <c r="D124" i="16"/>
  <c r="A124" i="16"/>
  <c r="C123" i="16"/>
  <c r="F123" i="16" s="1"/>
  <c r="A123" i="16"/>
  <c r="F122" i="16"/>
  <c r="D122" i="16"/>
  <c r="A122" i="16"/>
  <c r="C121" i="16"/>
  <c r="F121" i="16" s="1"/>
  <c r="A121" i="16"/>
  <c r="D120" i="16"/>
  <c r="F120" i="16" s="1"/>
  <c r="A120" i="16"/>
  <c r="D119" i="16"/>
  <c r="F119" i="16" s="1"/>
  <c r="A119" i="16"/>
  <c r="D118" i="16"/>
  <c r="F118" i="16" s="1"/>
  <c r="A118" i="16"/>
  <c r="F117" i="16"/>
  <c r="D117" i="16"/>
  <c r="A117" i="16"/>
  <c r="F116" i="16"/>
  <c r="D116" i="16"/>
  <c r="A116" i="16"/>
  <c r="D115" i="16"/>
  <c r="F115" i="16" s="1"/>
  <c r="A115" i="16"/>
  <c r="F114" i="16"/>
  <c r="C114" i="16"/>
  <c r="A114" i="16"/>
  <c r="D113" i="16"/>
  <c r="F113" i="16" s="1"/>
  <c r="A113" i="16"/>
  <c r="D112" i="16"/>
  <c r="F112" i="16" s="1"/>
  <c r="A112" i="16"/>
  <c r="D111" i="16"/>
  <c r="F111" i="16" s="1"/>
  <c r="A111" i="16"/>
  <c r="D110" i="16"/>
  <c r="F110" i="16" s="1"/>
  <c r="A110" i="16"/>
  <c r="F109" i="16"/>
  <c r="D109" i="16"/>
  <c r="A109" i="16"/>
  <c r="F108" i="16"/>
  <c r="D108" i="16"/>
  <c r="A108" i="16"/>
  <c r="D107" i="16"/>
  <c r="F107" i="16" s="1"/>
  <c r="A107" i="16"/>
  <c r="D106" i="16"/>
  <c r="F106" i="16" s="1"/>
  <c r="A106" i="16"/>
  <c r="D105" i="16"/>
  <c r="F105" i="16" s="1"/>
  <c r="A105" i="16"/>
  <c r="D104" i="16"/>
  <c r="F104" i="16" s="1"/>
  <c r="A104" i="16"/>
  <c r="D103" i="16"/>
  <c r="F103" i="16" s="1"/>
  <c r="A103" i="16"/>
  <c r="D102" i="16"/>
  <c r="F102" i="16" s="1"/>
  <c r="A102" i="16"/>
  <c r="F101" i="16"/>
  <c r="D101" i="16"/>
  <c r="A101" i="16"/>
  <c r="F100" i="16"/>
  <c r="D100" i="16"/>
  <c r="A100" i="16"/>
  <c r="D99" i="16"/>
  <c r="F99" i="16" s="1"/>
  <c r="A99" i="16"/>
  <c r="D98" i="16"/>
  <c r="F98" i="16" s="1"/>
  <c r="A98" i="16"/>
  <c r="D97" i="16"/>
  <c r="F97" i="16" s="1"/>
  <c r="A97" i="16"/>
  <c r="D96" i="16"/>
  <c r="F96" i="16" s="1"/>
  <c r="A96" i="16"/>
  <c r="D95" i="16"/>
  <c r="F95" i="16" s="1"/>
  <c r="A95" i="16"/>
  <c r="D94" i="16"/>
  <c r="F94" i="16" s="1"/>
  <c r="A94" i="16"/>
  <c r="F93" i="16"/>
  <c r="D93" i="16"/>
  <c r="A93" i="16"/>
  <c r="F92" i="16"/>
  <c r="D92" i="16"/>
  <c r="A92" i="16"/>
  <c r="D91" i="16"/>
  <c r="F91" i="16" s="1"/>
  <c r="A91" i="16"/>
  <c r="D90" i="16"/>
  <c r="F90" i="16" s="1"/>
  <c r="A90" i="16"/>
  <c r="D89" i="16"/>
  <c r="F89" i="16" s="1"/>
  <c r="A89" i="16"/>
  <c r="D88" i="16"/>
  <c r="F88" i="16" s="1"/>
  <c r="A88" i="16"/>
  <c r="D87" i="16"/>
  <c r="F87" i="16" s="1"/>
  <c r="A87" i="16"/>
  <c r="D86" i="16"/>
  <c r="F86" i="16" s="1"/>
  <c r="A86" i="16"/>
  <c r="F85" i="16"/>
  <c r="D85" i="16"/>
  <c r="A85" i="16"/>
  <c r="F84" i="16"/>
  <c r="D84" i="16"/>
  <c r="A84" i="16"/>
  <c r="D83" i="16"/>
  <c r="F83" i="16" s="1"/>
  <c r="A83" i="16"/>
  <c r="D82" i="16"/>
  <c r="F82" i="16" s="1"/>
  <c r="A82" i="16"/>
  <c r="D81" i="16"/>
  <c r="F81" i="16" s="1"/>
  <c r="A81" i="16"/>
  <c r="D80" i="16"/>
  <c r="F80" i="16" s="1"/>
  <c r="A80" i="16"/>
  <c r="D79" i="16"/>
  <c r="F79" i="16" s="1"/>
  <c r="A79" i="16"/>
  <c r="D78" i="16"/>
  <c r="F78" i="16" s="1"/>
  <c r="A78" i="16"/>
  <c r="F77" i="16"/>
  <c r="D77" i="16"/>
  <c r="A77" i="16"/>
  <c r="F76" i="16"/>
  <c r="D76" i="16"/>
  <c r="A76" i="16"/>
  <c r="D75" i="16"/>
  <c r="F75" i="16" s="1"/>
  <c r="A75" i="16"/>
  <c r="D74" i="16"/>
  <c r="F74" i="16" s="1"/>
  <c r="A74" i="16"/>
  <c r="D73" i="16"/>
  <c r="F73" i="16" s="1"/>
  <c r="A73" i="16"/>
  <c r="D72" i="16"/>
  <c r="F72" i="16" s="1"/>
  <c r="A72" i="16"/>
  <c r="D71" i="16"/>
  <c r="F71" i="16" s="1"/>
  <c r="A71" i="16"/>
  <c r="D70" i="16"/>
  <c r="F70" i="16" s="1"/>
  <c r="A70" i="16"/>
  <c r="F69" i="16"/>
  <c r="D69" i="16"/>
  <c r="A69" i="16"/>
  <c r="F68" i="16"/>
  <c r="D68" i="16"/>
  <c r="A68" i="16"/>
  <c r="D67" i="16"/>
  <c r="F67" i="16" s="1"/>
  <c r="A67" i="16"/>
  <c r="D66" i="16"/>
  <c r="F66" i="16" s="1"/>
  <c r="A66" i="16"/>
  <c r="C65" i="16"/>
  <c r="F65" i="16" s="1"/>
  <c r="A65" i="16"/>
  <c r="C64" i="16"/>
  <c r="F64" i="16" s="1"/>
  <c r="A64" i="16"/>
  <c r="C63" i="16"/>
  <c r="F63" i="16" s="1"/>
  <c r="A63" i="16"/>
  <c r="D62" i="16"/>
  <c r="F62" i="16" s="1"/>
  <c r="A62" i="16"/>
  <c r="F61" i="16"/>
  <c r="C61" i="16"/>
  <c r="A61" i="16"/>
  <c r="F60" i="16"/>
  <c r="C60" i="16"/>
  <c r="A60" i="16"/>
  <c r="C59" i="16"/>
  <c r="F59" i="16" s="1"/>
  <c r="A59" i="16"/>
  <c r="C58" i="16"/>
  <c r="F58" i="16" s="1"/>
  <c r="A58" i="16"/>
  <c r="C57" i="16"/>
  <c r="F57" i="16" s="1"/>
  <c r="A57" i="16"/>
  <c r="C56" i="16"/>
  <c r="F56" i="16" s="1"/>
  <c r="A56" i="16"/>
  <c r="C55" i="16"/>
  <c r="F55" i="16" s="1"/>
  <c r="A55" i="16"/>
  <c r="C54" i="16"/>
  <c r="F54" i="16" s="1"/>
  <c r="A54" i="16"/>
  <c r="F53" i="16"/>
  <c r="C53" i="16"/>
  <c r="A53" i="16"/>
  <c r="F52" i="16"/>
  <c r="C52" i="16"/>
  <c r="A52" i="16"/>
  <c r="C51" i="16"/>
  <c r="F51" i="16" s="1"/>
  <c r="A51" i="16"/>
  <c r="C50" i="16"/>
  <c r="F50" i="16" s="1"/>
  <c r="A50" i="16"/>
  <c r="C49" i="16"/>
  <c r="F49" i="16" s="1"/>
  <c r="A49" i="16"/>
  <c r="C48" i="16"/>
  <c r="F48" i="16" s="1"/>
  <c r="A48" i="16"/>
  <c r="C47" i="16"/>
  <c r="F47" i="16" s="1"/>
  <c r="A47" i="16"/>
  <c r="C46" i="16"/>
  <c r="F46" i="16" s="1"/>
  <c r="A46" i="16"/>
  <c r="F45" i="16"/>
  <c r="C45" i="16"/>
  <c r="A45" i="16"/>
  <c r="F44" i="16"/>
  <c r="C44" i="16"/>
  <c r="A44" i="16"/>
  <c r="C43" i="16"/>
  <c r="F43" i="16" s="1"/>
  <c r="A43" i="16"/>
  <c r="C42" i="16"/>
  <c r="F42" i="16" s="1"/>
  <c r="A42" i="16"/>
  <c r="D41" i="16"/>
  <c r="F41" i="16" s="1"/>
  <c r="A41" i="16"/>
  <c r="D40" i="16"/>
  <c r="F40" i="16" s="1"/>
  <c r="A40" i="16"/>
  <c r="D39" i="16"/>
  <c r="F39" i="16" s="1"/>
  <c r="A39" i="16"/>
  <c r="D38" i="16"/>
  <c r="F38" i="16" s="1"/>
  <c r="A38" i="16"/>
  <c r="F37" i="16"/>
  <c r="D37" i="16"/>
  <c r="A37" i="16"/>
  <c r="F36" i="16"/>
  <c r="C36" i="16"/>
  <c r="A36" i="16"/>
  <c r="D35" i="16"/>
  <c r="F35" i="16" s="1"/>
  <c r="A35" i="16"/>
  <c r="F34" i="16"/>
  <c r="D34" i="16"/>
  <c r="A34" i="16"/>
  <c r="D33" i="16"/>
  <c r="F33" i="16" s="1"/>
  <c r="A33" i="16"/>
  <c r="C32" i="16"/>
  <c r="F32" i="16" s="1"/>
  <c r="A32" i="16"/>
  <c r="D31" i="16"/>
  <c r="D178" i="16" s="1"/>
  <c r="A31" i="16"/>
  <c r="C30" i="16"/>
  <c r="F30" i="16" s="1"/>
  <c r="A30" i="16"/>
  <c r="F29" i="16"/>
  <c r="C29" i="16"/>
  <c r="A29" i="16"/>
  <c r="F28" i="16"/>
  <c r="C28" i="16"/>
  <c r="A28" i="16"/>
  <c r="C27" i="16"/>
  <c r="F27" i="16" s="1"/>
  <c r="A27" i="16"/>
  <c r="C26" i="16"/>
  <c r="F26" i="16" s="1"/>
  <c r="A26" i="16"/>
  <c r="C25" i="16"/>
  <c r="F25" i="16" s="1"/>
  <c r="A25" i="16"/>
  <c r="C24" i="16"/>
  <c r="F24" i="16" s="1"/>
  <c r="A24" i="16"/>
  <c r="C23" i="16"/>
  <c r="F23" i="16" s="1"/>
  <c r="A23" i="16"/>
  <c r="C22" i="16"/>
  <c r="F22" i="16" s="1"/>
  <c r="A22" i="16"/>
  <c r="F21" i="16"/>
  <c r="C21" i="16"/>
  <c r="A21" i="16"/>
  <c r="F20" i="16"/>
  <c r="C20" i="16"/>
  <c r="A20" i="16"/>
  <c r="C19" i="16"/>
  <c r="F19" i="16" s="1"/>
  <c r="A19" i="16"/>
  <c r="C18" i="16"/>
  <c r="F18" i="16" s="1"/>
  <c r="A18" i="16"/>
  <c r="C17" i="16"/>
  <c r="F17" i="16" s="1"/>
  <c r="A17" i="16"/>
  <c r="C16" i="16"/>
  <c r="F16" i="16" s="1"/>
  <c r="A16" i="16"/>
  <c r="C15" i="16"/>
  <c r="F15" i="16" s="1"/>
  <c r="A15" i="16"/>
  <c r="C14" i="16"/>
  <c r="F14" i="16" s="1"/>
  <c r="A14" i="16"/>
  <c r="F13" i="16"/>
  <c r="C13" i="16"/>
  <c r="A13" i="16"/>
  <c r="F12" i="16"/>
  <c r="C12" i="16"/>
  <c r="A12" i="16"/>
  <c r="C11" i="16"/>
  <c r="F11" i="16" s="1"/>
  <c r="A11" i="16"/>
  <c r="F10" i="16"/>
  <c r="C10" i="16"/>
  <c r="A10" i="16"/>
  <c r="C9" i="16"/>
  <c r="F9" i="16" s="1"/>
  <c r="A9" i="16"/>
  <c r="C8" i="16"/>
  <c r="F8" i="16" s="1"/>
  <c r="A8" i="16"/>
  <c r="C7" i="16"/>
  <c r="F7" i="16" s="1"/>
  <c r="A7" i="16"/>
  <c r="C6" i="16"/>
  <c r="C178" i="16" s="1"/>
  <c r="A6" i="16"/>
  <c r="C99" i="13" s="1"/>
  <c r="F171" i="15"/>
  <c r="D171" i="15"/>
  <c r="A171" i="15"/>
  <c r="C170" i="15"/>
  <c r="F170" i="15" s="1"/>
  <c r="A170" i="15"/>
  <c r="F169" i="15"/>
  <c r="C169" i="15"/>
  <c r="A169" i="15"/>
  <c r="C168" i="15"/>
  <c r="F168" i="15" s="1"/>
  <c r="A168" i="15"/>
  <c r="F167" i="15"/>
  <c r="C167" i="15"/>
  <c r="A167" i="15"/>
  <c r="C166" i="15"/>
  <c r="F166" i="15" s="1"/>
  <c r="A166" i="15"/>
  <c r="C165" i="15"/>
  <c r="F165" i="15" s="1"/>
  <c r="A165" i="15"/>
  <c r="F164" i="15"/>
  <c r="C164" i="15"/>
  <c r="A164" i="15"/>
  <c r="F163" i="15"/>
  <c r="C163" i="15"/>
  <c r="A163" i="15"/>
  <c r="C162" i="15"/>
  <c r="F162" i="15" s="1"/>
  <c r="A162" i="15"/>
  <c r="F161" i="15"/>
  <c r="C161" i="15"/>
  <c r="A161" i="15"/>
  <c r="C160" i="15"/>
  <c r="F160" i="15" s="1"/>
  <c r="A160" i="15"/>
  <c r="F159" i="15"/>
  <c r="C159" i="15"/>
  <c r="A159" i="15"/>
  <c r="C158" i="15"/>
  <c r="F158" i="15" s="1"/>
  <c r="A158" i="15"/>
  <c r="C157" i="15"/>
  <c r="F157" i="15" s="1"/>
  <c r="A157" i="15"/>
  <c r="F156" i="15"/>
  <c r="C156" i="15"/>
  <c r="A156" i="15"/>
  <c r="F155" i="15"/>
  <c r="C155" i="15"/>
  <c r="A155" i="15"/>
  <c r="C154" i="15"/>
  <c r="F154" i="15" s="1"/>
  <c r="A154" i="15"/>
  <c r="F153" i="15"/>
  <c r="C153" i="15"/>
  <c r="A153" i="15"/>
  <c r="C152" i="15"/>
  <c r="F152" i="15" s="1"/>
  <c r="A152" i="15"/>
  <c r="F151" i="15"/>
  <c r="C151" i="15"/>
  <c r="A151" i="15"/>
  <c r="C150" i="15"/>
  <c r="F150" i="15" s="1"/>
  <c r="A150" i="15"/>
  <c r="C149" i="15"/>
  <c r="F149" i="15" s="1"/>
  <c r="A149" i="15"/>
  <c r="F148" i="15"/>
  <c r="C148" i="15"/>
  <c r="A148" i="15"/>
  <c r="F147" i="15"/>
  <c r="C147" i="15"/>
  <c r="A147" i="15"/>
  <c r="C146" i="15"/>
  <c r="F146" i="15" s="1"/>
  <c r="A146" i="15"/>
  <c r="F145" i="15"/>
  <c r="C145" i="15"/>
  <c r="A145" i="15"/>
  <c r="C144" i="15"/>
  <c r="F144" i="15" s="1"/>
  <c r="A144" i="15"/>
  <c r="F143" i="15"/>
  <c r="C143" i="15"/>
  <c r="A143" i="15"/>
  <c r="C142" i="15"/>
  <c r="F142" i="15" s="1"/>
  <c r="A142" i="15"/>
  <c r="C141" i="15"/>
  <c r="F141" i="15" s="1"/>
  <c r="A141" i="15"/>
  <c r="F140" i="15"/>
  <c r="C140" i="15"/>
  <c r="A140" i="15"/>
  <c r="F139" i="15"/>
  <c r="C139" i="15"/>
  <c r="A139" i="15"/>
  <c r="D138" i="15"/>
  <c r="F138" i="15" s="1"/>
  <c r="A138" i="15"/>
  <c r="F137" i="15"/>
  <c r="C137" i="15"/>
  <c r="A137" i="15"/>
  <c r="C136" i="15"/>
  <c r="F136" i="15" s="1"/>
  <c r="A136" i="15"/>
  <c r="F135" i="15"/>
  <c r="C135" i="15"/>
  <c r="A135" i="15"/>
  <c r="C134" i="15"/>
  <c r="F134" i="15" s="1"/>
  <c r="A134" i="15"/>
  <c r="C133" i="15"/>
  <c r="F133" i="15" s="1"/>
  <c r="A133" i="15"/>
  <c r="F132" i="15"/>
  <c r="C132" i="15"/>
  <c r="A132" i="15"/>
  <c r="F131" i="15"/>
  <c r="C131" i="15"/>
  <c r="A131" i="15"/>
  <c r="C130" i="15"/>
  <c r="F130" i="15" s="1"/>
  <c r="A130" i="15"/>
  <c r="F129" i="15"/>
  <c r="C129" i="15"/>
  <c r="A129" i="15"/>
  <c r="C128" i="15"/>
  <c r="F128" i="15" s="1"/>
  <c r="A128" i="15"/>
  <c r="F127" i="15"/>
  <c r="C127" i="15"/>
  <c r="A127" i="15"/>
  <c r="C126" i="15"/>
  <c r="F126" i="15" s="1"/>
  <c r="A126" i="15"/>
  <c r="D125" i="15"/>
  <c r="F125" i="15" s="1"/>
  <c r="A125" i="15"/>
  <c r="F124" i="15"/>
  <c r="D124" i="15"/>
  <c r="A124" i="15"/>
  <c r="F123" i="15"/>
  <c r="D123" i="15"/>
  <c r="A123" i="15"/>
  <c r="C122" i="15"/>
  <c r="F122" i="15" s="1"/>
  <c r="A122" i="15"/>
  <c r="F121" i="15"/>
  <c r="D121" i="15"/>
  <c r="A121" i="15"/>
  <c r="C120" i="15"/>
  <c r="F120" i="15" s="1"/>
  <c r="A120" i="15"/>
  <c r="F119" i="15"/>
  <c r="D119" i="15"/>
  <c r="A119" i="15"/>
  <c r="D118" i="15"/>
  <c r="F118" i="15" s="1"/>
  <c r="A118" i="15"/>
  <c r="D117" i="15"/>
  <c r="F117" i="15" s="1"/>
  <c r="A117" i="15"/>
  <c r="F116" i="15"/>
  <c r="D116" i="15"/>
  <c r="A116" i="15"/>
  <c r="F115" i="15"/>
  <c r="D115" i="15"/>
  <c r="A115" i="15"/>
  <c r="D114" i="15"/>
  <c r="F114" i="15" s="1"/>
  <c r="A114" i="15"/>
  <c r="F113" i="15"/>
  <c r="C113" i="15"/>
  <c r="A113" i="15"/>
  <c r="D112" i="15"/>
  <c r="F112" i="15" s="1"/>
  <c r="A112" i="15"/>
  <c r="F111" i="15"/>
  <c r="D111" i="15"/>
  <c r="A111" i="15"/>
  <c r="D110" i="15"/>
  <c r="F110" i="15" s="1"/>
  <c r="A110" i="15"/>
  <c r="D109" i="15"/>
  <c r="F109" i="15" s="1"/>
  <c r="A109" i="15"/>
  <c r="F108" i="15"/>
  <c r="D108" i="15"/>
  <c r="A108" i="15"/>
  <c r="F107" i="15"/>
  <c r="D107" i="15"/>
  <c r="A107" i="15"/>
  <c r="D106" i="15"/>
  <c r="F106" i="15" s="1"/>
  <c r="A106" i="15"/>
  <c r="F105" i="15"/>
  <c r="D105" i="15"/>
  <c r="A105" i="15"/>
  <c r="D104" i="15"/>
  <c r="F104" i="15" s="1"/>
  <c r="A104" i="15"/>
  <c r="F103" i="15"/>
  <c r="D103" i="15"/>
  <c r="A103" i="15"/>
  <c r="D102" i="15"/>
  <c r="F102" i="15" s="1"/>
  <c r="A102" i="15"/>
  <c r="D101" i="15"/>
  <c r="F101" i="15" s="1"/>
  <c r="A101" i="15"/>
  <c r="F100" i="15"/>
  <c r="D100" i="15"/>
  <c r="A100" i="15"/>
  <c r="F99" i="15"/>
  <c r="D99" i="15"/>
  <c r="A99" i="15"/>
  <c r="D98" i="15"/>
  <c r="F98" i="15" s="1"/>
  <c r="A98" i="15"/>
  <c r="F97" i="15"/>
  <c r="D97" i="15"/>
  <c r="A97" i="15"/>
  <c r="D96" i="15"/>
  <c r="F96" i="15" s="1"/>
  <c r="A96" i="15"/>
  <c r="F95" i="15"/>
  <c r="D95" i="15"/>
  <c r="A95" i="15"/>
  <c r="D94" i="15"/>
  <c r="F94" i="15" s="1"/>
  <c r="A94" i="15"/>
  <c r="D93" i="15"/>
  <c r="F93" i="15" s="1"/>
  <c r="A93" i="15"/>
  <c r="F92" i="15"/>
  <c r="D92" i="15"/>
  <c r="A92" i="15"/>
  <c r="F91" i="15"/>
  <c r="D91" i="15"/>
  <c r="A91" i="15"/>
  <c r="D90" i="15"/>
  <c r="F90" i="15" s="1"/>
  <c r="A90" i="15"/>
  <c r="F89" i="15"/>
  <c r="D89" i="15"/>
  <c r="A89" i="15"/>
  <c r="C88" i="15"/>
  <c r="F88" i="15" s="1"/>
  <c r="A88" i="15"/>
  <c r="F87" i="15"/>
  <c r="D87" i="15"/>
  <c r="A87" i="15"/>
  <c r="D86" i="15"/>
  <c r="F86" i="15" s="1"/>
  <c r="A86" i="15"/>
  <c r="D85" i="15"/>
  <c r="F85" i="15" s="1"/>
  <c r="A85" i="15"/>
  <c r="F84" i="15"/>
  <c r="D84" i="15"/>
  <c r="A84" i="15"/>
  <c r="F83" i="15"/>
  <c r="D83" i="15"/>
  <c r="A83" i="15"/>
  <c r="D82" i="15"/>
  <c r="F82" i="15" s="1"/>
  <c r="A82" i="15"/>
  <c r="F81" i="15"/>
  <c r="D81" i="15"/>
  <c r="A81" i="15"/>
  <c r="D80" i="15"/>
  <c r="F80" i="15" s="1"/>
  <c r="A80" i="15"/>
  <c r="F79" i="15"/>
  <c r="D79" i="15"/>
  <c r="A79" i="15"/>
  <c r="D78" i="15"/>
  <c r="F78" i="15" s="1"/>
  <c r="A78" i="15"/>
  <c r="D77" i="15"/>
  <c r="F77" i="15" s="1"/>
  <c r="A77" i="15"/>
  <c r="F76" i="15"/>
  <c r="D76" i="15"/>
  <c r="A76" i="15"/>
  <c r="F75" i="15"/>
  <c r="D75" i="15"/>
  <c r="A75" i="15"/>
  <c r="D74" i="15"/>
  <c r="F74" i="15" s="1"/>
  <c r="A74" i="15"/>
  <c r="F73" i="15"/>
  <c r="D73" i="15"/>
  <c r="A73" i="15"/>
  <c r="D72" i="15"/>
  <c r="F72" i="15" s="1"/>
  <c r="A72" i="15"/>
  <c r="F71" i="15"/>
  <c r="D71" i="15"/>
  <c r="A71" i="15"/>
  <c r="D70" i="15"/>
  <c r="F70" i="15" s="1"/>
  <c r="A70" i="15"/>
  <c r="D69" i="15"/>
  <c r="F69" i="15" s="1"/>
  <c r="A69" i="15"/>
  <c r="F68" i="15"/>
  <c r="D68" i="15"/>
  <c r="A68" i="15"/>
  <c r="F67" i="15"/>
  <c r="D67" i="15"/>
  <c r="A67" i="15"/>
  <c r="D66" i="15"/>
  <c r="F66" i="15" s="1"/>
  <c r="A66" i="15"/>
  <c r="F65" i="15"/>
  <c r="C65" i="15"/>
  <c r="A65" i="15"/>
  <c r="C64" i="15"/>
  <c r="F64" i="15" s="1"/>
  <c r="A64" i="15"/>
  <c r="F63" i="15"/>
  <c r="C63" i="15"/>
  <c r="A63" i="15"/>
  <c r="D62" i="15"/>
  <c r="F62" i="15" s="1"/>
  <c r="A62" i="15"/>
  <c r="C61" i="15"/>
  <c r="F61" i="15" s="1"/>
  <c r="A61" i="15"/>
  <c r="F60" i="15"/>
  <c r="C60" i="15"/>
  <c r="A60" i="15"/>
  <c r="F59" i="15"/>
  <c r="C59" i="15"/>
  <c r="A59" i="15"/>
  <c r="C58" i="15"/>
  <c r="F58" i="15" s="1"/>
  <c r="A58" i="15"/>
  <c r="F57" i="15"/>
  <c r="C57" i="15"/>
  <c r="A57" i="15"/>
  <c r="C56" i="15"/>
  <c r="F56" i="15" s="1"/>
  <c r="A56" i="15"/>
  <c r="F55" i="15"/>
  <c r="C55" i="15"/>
  <c r="A55" i="15"/>
  <c r="C54" i="15"/>
  <c r="F54" i="15" s="1"/>
  <c r="A54" i="15"/>
  <c r="C53" i="15"/>
  <c r="F53" i="15" s="1"/>
  <c r="A53" i="15"/>
  <c r="F52" i="15"/>
  <c r="C52" i="15"/>
  <c r="A52" i="15"/>
  <c r="F51" i="15"/>
  <c r="C51" i="15"/>
  <c r="A51" i="15"/>
  <c r="C50" i="15"/>
  <c r="F50" i="15" s="1"/>
  <c r="A50" i="15"/>
  <c r="F49" i="15"/>
  <c r="C49" i="15"/>
  <c r="A49" i="15"/>
  <c r="C48" i="15"/>
  <c r="F48" i="15" s="1"/>
  <c r="A48" i="15"/>
  <c r="F47" i="15"/>
  <c r="C47" i="15"/>
  <c r="A47" i="15"/>
  <c r="C46" i="15"/>
  <c r="F46" i="15" s="1"/>
  <c r="A46" i="15"/>
  <c r="C45" i="15"/>
  <c r="F45" i="15" s="1"/>
  <c r="A45" i="15"/>
  <c r="F44" i="15"/>
  <c r="C44" i="15"/>
  <c r="A44" i="15"/>
  <c r="F43" i="15"/>
  <c r="C43" i="15"/>
  <c r="A43" i="15"/>
  <c r="C42" i="15"/>
  <c r="F42" i="15" s="1"/>
  <c r="A42" i="15"/>
  <c r="F41" i="15"/>
  <c r="D41" i="15"/>
  <c r="A41" i="15"/>
  <c r="D40" i="15"/>
  <c r="F40" i="15" s="1"/>
  <c r="A40" i="15"/>
  <c r="F39" i="15"/>
  <c r="D39" i="15"/>
  <c r="A39" i="15"/>
  <c r="D38" i="15"/>
  <c r="F38" i="15" s="1"/>
  <c r="A38" i="15"/>
  <c r="D37" i="15"/>
  <c r="F37" i="15" s="1"/>
  <c r="A37" i="15"/>
  <c r="F36" i="15"/>
  <c r="C36" i="15"/>
  <c r="A36" i="15"/>
  <c r="F35" i="15"/>
  <c r="D35" i="15"/>
  <c r="A35" i="15"/>
  <c r="D34" i="15"/>
  <c r="F34" i="15" s="1"/>
  <c r="A34" i="15"/>
  <c r="F33" i="15"/>
  <c r="D33" i="15"/>
  <c r="A33" i="15"/>
  <c r="C32" i="15"/>
  <c r="F32" i="15" s="1"/>
  <c r="A32" i="15"/>
  <c r="F31" i="15"/>
  <c r="D31" i="15"/>
  <c r="D172" i="15" s="1"/>
  <c r="A31" i="15"/>
  <c r="C30" i="15"/>
  <c r="F30" i="15" s="1"/>
  <c r="A30" i="15"/>
  <c r="C29" i="15"/>
  <c r="F29" i="15" s="1"/>
  <c r="A29" i="15"/>
  <c r="F28" i="15"/>
  <c r="C28" i="15"/>
  <c r="A28" i="15"/>
  <c r="F27" i="15"/>
  <c r="C27" i="15"/>
  <c r="A27" i="15"/>
  <c r="C26" i="15"/>
  <c r="F26" i="15" s="1"/>
  <c r="A26" i="15"/>
  <c r="F25" i="15"/>
  <c r="C25" i="15"/>
  <c r="A25" i="15"/>
  <c r="C24" i="15"/>
  <c r="F24" i="15" s="1"/>
  <c r="A24" i="15"/>
  <c r="F23" i="15"/>
  <c r="C23" i="15"/>
  <c r="A23" i="15"/>
  <c r="C22" i="15"/>
  <c r="F22" i="15" s="1"/>
  <c r="A22" i="15"/>
  <c r="C21" i="15"/>
  <c r="F21" i="15" s="1"/>
  <c r="A21" i="15"/>
  <c r="F20" i="15"/>
  <c r="C20" i="15"/>
  <c r="A20" i="15"/>
  <c r="F19" i="15"/>
  <c r="C19" i="15"/>
  <c r="A19" i="15"/>
  <c r="C18" i="15"/>
  <c r="F18" i="15" s="1"/>
  <c r="A18" i="15"/>
  <c r="F17" i="15"/>
  <c r="C17" i="15"/>
  <c r="A17" i="15"/>
  <c r="C16" i="15"/>
  <c r="F16" i="15" s="1"/>
  <c r="A16" i="15"/>
  <c r="F15" i="15"/>
  <c r="C15" i="15"/>
  <c r="A15" i="15"/>
  <c r="C14" i="15"/>
  <c r="F14" i="15" s="1"/>
  <c r="A14" i="15"/>
  <c r="C13" i="15"/>
  <c r="F13" i="15" s="1"/>
  <c r="A13" i="15"/>
  <c r="E44" i="12" s="1"/>
  <c r="F12" i="15"/>
  <c r="C12" i="15"/>
  <c r="A12" i="15"/>
  <c r="F11" i="15"/>
  <c r="C11" i="15"/>
  <c r="A11" i="15"/>
  <c r="C10" i="15"/>
  <c r="F10" i="15" s="1"/>
  <c r="A10" i="15"/>
  <c r="F9" i="15"/>
  <c r="C9" i="15"/>
  <c r="A9" i="15"/>
  <c r="C8" i="15"/>
  <c r="F8" i="15" s="1"/>
  <c r="A8" i="15"/>
  <c r="C99" i="12" s="1"/>
  <c r="F7" i="15"/>
  <c r="C7" i="15"/>
  <c r="A7" i="15"/>
  <c r="C6" i="15"/>
  <c r="C172" i="15" s="1"/>
  <c r="A6" i="15"/>
  <c r="D162" i="11"/>
  <c r="F162" i="11" s="1"/>
  <c r="A162" i="11"/>
  <c r="C161" i="11"/>
  <c r="F161" i="11" s="1"/>
  <c r="A161" i="11"/>
  <c r="C160" i="11"/>
  <c r="F160" i="11" s="1"/>
  <c r="A160" i="11"/>
  <c r="C159" i="11"/>
  <c r="F159" i="11" s="1"/>
  <c r="A159" i="11"/>
  <c r="F158" i="11"/>
  <c r="C158" i="11"/>
  <c r="A158" i="11"/>
  <c r="F157" i="11"/>
  <c r="C157" i="11"/>
  <c r="A157" i="11"/>
  <c r="C156" i="11"/>
  <c r="F156" i="11" s="1"/>
  <c r="A156" i="11"/>
  <c r="F155" i="11"/>
  <c r="C155" i="11"/>
  <c r="A155" i="11"/>
  <c r="F154" i="11"/>
  <c r="C154" i="11"/>
  <c r="A154" i="11"/>
  <c r="C153" i="11"/>
  <c r="F153" i="11" s="1"/>
  <c r="A153" i="11"/>
  <c r="C152" i="11"/>
  <c r="F152" i="11" s="1"/>
  <c r="A152" i="11"/>
  <c r="C151" i="11"/>
  <c r="F151" i="11" s="1"/>
  <c r="A151" i="11"/>
  <c r="F150" i="11"/>
  <c r="C150" i="11"/>
  <c r="A150" i="11"/>
  <c r="F149" i="11"/>
  <c r="C149" i="11"/>
  <c r="A149" i="11"/>
  <c r="C148" i="11"/>
  <c r="F148" i="11" s="1"/>
  <c r="A148" i="11"/>
  <c r="F147" i="11"/>
  <c r="C147" i="11"/>
  <c r="A147" i="11"/>
  <c r="F146" i="11"/>
  <c r="C146" i="11"/>
  <c r="A146" i="11"/>
  <c r="C145" i="11"/>
  <c r="F145" i="11" s="1"/>
  <c r="A145" i="11"/>
  <c r="C144" i="11"/>
  <c r="F144" i="11" s="1"/>
  <c r="A144" i="11"/>
  <c r="C143" i="11"/>
  <c r="F143" i="11" s="1"/>
  <c r="A143" i="11"/>
  <c r="F142" i="11"/>
  <c r="C142" i="11"/>
  <c r="A142" i="11"/>
  <c r="F141" i="11"/>
  <c r="C141" i="11"/>
  <c r="A141" i="11"/>
  <c r="C140" i="11"/>
  <c r="F140" i="11" s="1"/>
  <c r="A140" i="11"/>
  <c r="F139" i="11"/>
  <c r="C139" i="11"/>
  <c r="A139" i="11"/>
  <c r="F138" i="11"/>
  <c r="D138" i="11"/>
  <c r="A138" i="11"/>
  <c r="C137" i="11"/>
  <c r="F137" i="11" s="1"/>
  <c r="A137" i="11"/>
  <c r="D136" i="11"/>
  <c r="F136" i="11" s="1"/>
  <c r="A136" i="11"/>
  <c r="C135" i="11"/>
  <c r="F135" i="11" s="1"/>
  <c r="A135" i="11"/>
  <c r="F134" i="11"/>
  <c r="C134" i="11"/>
  <c r="A134" i="11"/>
  <c r="F133" i="11"/>
  <c r="C133" i="11"/>
  <c r="A133" i="11"/>
  <c r="C132" i="11"/>
  <c r="F132" i="11" s="1"/>
  <c r="A132" i="11"/>
  <c r="F131" i="11"/>
  <c r="C131" i="11"/>
  <c r="A131" i="11"/>
  <c r="F130" i="11"/>
  <c r="C130" i="11"/>
  <c r="A130" i="11"/>
  <c r="C129" i="11"/>
  <c r="F129" i="11" s="1"/>
  <c r="A129" i="11"/>
  <c r="C128" i="11"/>
  <c r="F128" i="11" s="1"/>
  <c r="A128" i="11"/>
  <c r="C127" i="11"/>
  <c r="F127" i="11" s="1"/>
  <c r="A127" i="11"/>
  <c r="F126" i="11"/>
  <c r="C126" i="11"/>
  <c r="A126" i="11"/>
  <c r="F125" i="11"/>
  <c r="D125" i="11"/>
  <c r="A125" i="11"/>
  <c r="D124" i="11"/>
  <c r="F124" i="11" s="1"/>
  <c r="A124" i="11"/>
  <c r="F123" i="11"/>
  <c r="D123" i="11"/>
  <c r="A123" i="11"/>
  <c r="F122" i="11"/>
  <c r="A122" i="11"/>
  <c r="D121" i="11"/>
  <c r="F121" i="11" s="1"/>
  <c r="A121" i="11"/>
  <c r="C120" i="11"/>
  <c r="F120" i="11" s="1"/>
  <c r="A120" i="11"/>
  <c r="D119" i="11"/>
  <c r="F119" i="11" s="1"/>
  <c r="A119" i="11"/>
  <c r="F118" i="11"/>
  <c r="D118" i="11"/>
  <c r="A118" i="11"/>
  <c r="F117" i="11"/>
  <c r="D117" i="11"/>
  <c r="A117" i="11"/>
  <c r="D116" i="11"/>
  <c r="F116" i="11" s="1"/>
  <c r="A116" i="11"/>
  <c r="F115" i="11"/>
  <c r="D115" i="11"/>
  <c r="A115" i="11"/>
  <c r="F114" i="11"/>
  <c r="D114" i="11"/>
  <c r="A114" i="11"/>
  <c r="C113" i="11"/>
  <c r="F113" i="11" s="1"/>
  <c r="A113" i="11"/>
  <c r="D112" i="11"/>
  <c r="F112" i="11" s="1"/>
  <c r="A112" i="11"/>
  <c r="D111" i="11"/>
  <c r="F111" i="11" s="1"/>
  <c r="A111" i="11"/>
  <c r="F110" i="11"/>
  <c r="D110" i="11"/>
  <c r="A110" i="11"/>
  <c r="F109" i="11"/>
  <c r="D109" i="11"/>
  <c r="A109" i="11"/>
  <c r="D108" i="11"/>
  <c r="F108" i="11" s="1"/>
  <c r="A108" i="11"/>
  <c r="F107" i="11"/>
  <c r="D107" i="11"/>
  <c r="A107" i="11"/>
  <c r="F106" i="11"/>
  <c r="D106" i="11"/>
  <c r="A106" i="11"/>
  <c r="D105" i="11"/>
  <c r="F105" i="11" s="1"/>
  <c r="A105" i="11"/>
  <c r="D104" i="11"/>
  <c r="F104" i="11" s="1"/>
  <c r="A104" i="11"/>
  <c r="D103" i="11"/>
  <c r="F103" i="11" s="1"/>
  <c r="A103" i="11"/>
  <c r="F102" i="11"/>
  <c r="D102" i="11"/>
  <c r="A102" i="11"/>
  <c r="F101" i="11"/>
  <c r="D101" i="11"/>
  <c r="A101" i="11"/>
  <c r="D100" i="11"/>
  <c r="F100" i="11" s="1"/>
  <c r="A100" i="11"/>
  <c r="F99" i="11"/>
  <c r="D99" i="11"/>
  <c r="A99" i="11"/>
  <c r="F98" i="11"/>
  <c r="D98" i="11"/>
  <c r="A98" i="11"/>
  <c r="D97" i="11"/>
  <c r="F97" i="11" s="1"/>
  <c r="A97" i="11"/>
  <c r="D96" i="11"/>
  <c r="F96" i="11" s="1"/>
  <c r="A96" i="11"/>
  <c r="D95" i="11"/>
  <c r="F95" i="11" s="1"/>
  <c r="A95" i="11"/>
  <c r="F94" i="11"/>
  <c r="D94" i="11"/>
  <c r="A94" i="11"/>
  <c r="F93" i="11"/>
  <c r="D93" i="11"/>
  <c r="A93" i="11"/>
  <c r="D92" i="11"/>
  <c r="F92" i="11" s="1"/>
  <c r="A92" i="11"/>
  <c r="F91" i="11"/>
  <c r="D91" i="11"/>
  <c r="A91" i="11"/>
  <c r="F90" i="11"/>
  <c r="D90" i="11"/>
  <c r="A90" i="11"/>
  <c r="D89" i="11"/>
  <c r="F89" i="11" s="1"/>
  <c r="A89" i="11"/>
  <c r="D88" i="11"/>
  <c r="F88" i="11" s="1"/>
  <c r="A88" i="11"/>
  <c r="D87" i="11"/>
  <c r="F87" i="11" s="1"/>
  <c r="A87" i="11"/>
  <c r="F86" i="11"/>
  <c r="D86" i="11"/>
  <c r="A86" i="11"/>
  <c r="F85" i="11"/>
  <c r="A85" i="11"/>
  <c r="D84" i="11"/>
  <c r="F84" i="11" s="1"/>
  <c r="A84" i="11"/>
  <c r="F83" i="11"/>
  <c r="D83" i="11"/>
  <c r="A83" i="11"/>
  <c r="F82" i="11"/>
  <c r="D82" i="11"/>
  <c r="A82" i="11"/>
  <c r="D81" i="11"/>
  <c r="F81" i="11" s="1"/>
  <c r="A81" i="11"/>
  <c r="D80" i="11"/>
  <c r="F80" i="11" s="1"/>
  <c r="A80" i="11"/>
  <c r="D79" i="11"/>
  <c r="F79" i="11" s="1"/>
  <c r="A79" i="11"/>
  <c r="F78" i="11"/>
  <c r="D78" i="11"/>
  <c r="A78" i="11"/>
  <c r="F77" i="11"/>
  <c r="D77" i="11"/>
  <c r="A77" i="11"/>
  <c r="D76" i="11"/>
  <c r="F76" i="11" s="1"/>
  <c r="A76" i="11"/>
  <c r="F75" i="11"/>
  <c r="D75" i="11"/>
  <c r="A75" i="11"/>
  <c r="F74" i="11"/>
  <c r="D74" i="11"/>
  <c r="A74" i="11"/>
  <c r="D73" i="11"/>
  <c r="F73" i="11" s="1"/>
  <c r="A73" i="11"/>
  <c r="D72" i="11"/>
  <c r="F72" i="11" s="1"/>
  <c r="A72" i="11"/>
  <c r="D71" i="11"/>
  <c r="F71" i="11" s="1"/>
  <c r="A71" i="11"/>
  <c r="F70" i="11"/>
  <c r="D70" i="11"/>
  <c r="A70" i="11"/>
  <c r="F69" i="11"/>
  <c r="D69" i="11"/>
  <c r="A69" i="11"/>
  <c r="D68" i="11"/>
  <c r="F68" i="11" s="1"/>
  <c r="A68" i="11"/>
  <c r="F67" i="11"/>
  <c r="D67" i="11"/>
  <c r="A67" i="11"/>
  <c r="F66" i="11"/>
  <c r="D66" i="11"/>
  <c r="A66" i="11"/>
  <c r="C65" i="11"/>
  <c r="F65" i="11" s="1"/>
  <c r="A65" i="11"/>
  <c r="C64" i="11"/>
  <c r="F64" i="11" s="1"/>
  <c r="A64" i="11"/>
  <c r="C63" i="11"/>
  <c r="F63" i="11" s="1"/>
  <c r="A63" i="11"/>
  <c r="F62" i="11"/>
  <c r="D62" i="11"/>
  <c r="A62" i="11"/>
  <c r="F61" i="11"/>
  <c r="C61" i="11"/>
  <c r="A61" i="11"/>
  <c r="C60" i="11"/>
  <c r="F60" i="11" s="1"/>
  <c r="A60" i="11"/>
  <c r="F59" i="11"/>
  <c r="C59" i="11"/>
  <c r="A59" i="11"/>
  <c r="F58" i="11"/>
  <c r="C58" i="11"/>
  <c r="A58" i="11"/>
  <c r="C57" i="11"/>
  <c r="F57" i="11" s="1"/>
  <c r="A57" i="11"/>
  <c r="C56" i="11"/>
  <c r="F56" i="11" s="1"/>
  <c r="A56" i="11"/>
  <c r="C55" i="11"/>
  <c r="F55" i="11" s="1"/>
  <c r="A55" i="11"/>
  <c r="F54" i="11"/>
  <c r="C54" i="11"/>
  <c r="A54" i="11"/>
  <c r="F53" i="11"/>
  <c r="C53" i="11"/>
  <c r="A53" i="11"/>
  <c r="C52" i="11"/>
  <c r="F52" i="11" s="1"/>
  <c r="A52" i="11"/>
  <c r="F51" i="11"/>
  <c r="C51" i="11"/>
  <c r="A51" i="11"/>
  <c r="F50" i="11"/>
  <c r="C50" i="11"/>
  <c r="A50" i="11"/>
  <c r="C49" i="11"/>
  <c r="F49" i="11" s="1"/>
  <c r="A49" i="11"/>
  <c r="C48" i="11"/>
  <c r="F48" i="11" s="1"/>
  <c r="A48" i="11"/>
  <c r="C47" i="11"/>
  <c r="F47" i="11" s="1"/>
  <c r="A47" i="11"/>
  <c r="F46" i="11"/>
  <c r="C46" i="11"/>
  <c r="A46" i="11"/>
  <c r="F45" i="11"/>
  <c r="C45" i="11"/>
  <c r="A45" i="11"/>
  <c r="C44" i="11"/>
  <c r="F44" i="11" s="1"/>
  <c r="A44" i="11"/>
  <c r="F43" i="11"/>
  <c r="C43" i="11"/>
  <c r="A43" i="11"/>
  <c r="F42" i="11"/>
  <c r="C42" i="11"/>
  <c r="A42" i="11"/>
  <c r="D41" i="11"/>
  <c r="F41" i="11" s="1"/>
  <c r="A41" i="11"/>
  <c r="D40" i="11"/>
  <c r="F40" i="11" s="1"/>
  <c r="A40" i="11"/>
  <c r="D39" i="11"/>
  <c r="F39" i="11" s="1"/>
  <c r="A39" i="11"/>
  <c r="F38" i="11"/>
  <c r="D38" i="11"/>
  <c r="A38" i="11"/>
  <c r="F37" i="11"/>
  <c r="D37" i="11"/>
  <c r="A37" i="11"/>
  <c r="C36" i="11"/>
  <c r="F36" i="11" s="1"/>
  <c r="A36" i="11"/>
  <c r="F35" i="11"/>
  <c r="D35" i="11"/>
  <c r="A35" i="11"/>
  <c r="F34" i="11"/>
  <c r="D34" i="11"/>
  <c r="A34" i="11"/>
  <c r="C33" i="11"/>
  <c r="F33" i="11" s="1"/>
  <c r="A33" i="11"/>
  <c r="C32" i="11"/>
  <c r="F32" i="11" s="1"/>
  <c r="A32" i="11"/>
  <c r="D31" i="11"/>
  <c r="D163" i="11" s="1"/>
  <c r="A31" i="11"/>
  <c r="F30" i="11"/>
  <c r="C30" i="11"/>
  <c r="A30" i="11"/>
  <c r="F29" i="11"/>
  <c r="C29" i="11"/>
  <c r="A29" i="11"/>
  <c r="C28" i="11"/>
  <c r="F28" i="11" s="1"/>
  <c r="A28" i="11"/>
  <c r="F27" i="11"/>
  <c r="C27" i="11"/>
  <c r="A27" i="11"/>
  <c r="F26" i="11"/>
  <c r="C26" i="11"/>
  <c r="A26" i="11"/>
  <c r="C25" i="11"/>
  <c r="F25" i="11" s="1"/>
  <c r="A25" i="11"/>
  <c r="C24" i="11"/>
  <c r="F24" i="11" s="1"/>
  <c r="A24" i="11"/>
  <c r="C23" i="11"/>
  <c r="F23" i="11" s="1"/>
  <c r="A23" i="11"/>
  <c r="F22" i="11"/>
  <c r="C22" i="11"/>
  <c r="A22" i="11"/>
  <c r="F21" i="11"/>
  <c r="C21" i="11"/>
  <c r="A21" i="11"/>
  <c r="C20" i="11"/>
  <c r="F20" i="11" s="1"/>
  <c r="A20" i="11"/>
  <c r="F19" i="11"/>
  <c r="C19" i="11"/>
  <c r="A19" i="11"/>
  <c r="F18" i="11"/>
  <c r="C18" i="11"/>
  <c r="A18" i="11"/>
  <c r="C17" i="11"/>
  <c r="F17" i="11" s="1"/>
  <c r="A17" i="11"/>
  <c r="C16" i="11"/>
  <c r="F16" i="11" s="1"/>
  <c r="A16" i="11"/>
  <c r="C15" i="11"/>
  <c r="F15" i="11" s="1"/>
  <c r="A15" i="11"/>
  <c r="F14" i="11"/>
  <c r="C14" i="11"/>
  <c r="A14" i="11"/>
  <c r="F13" i="11"/>
  <c r="C13" i="11"/>
  <c r="A13" i="11"/>
  <c r="C12" i="11"/>
  <c r="F12" i="11" s="1"/>
  <c r="A12" i="11"/>
  <c r="E99" i="1" s="1"/>
  <c r="F11" i="11"/>
  <c r="C11" i="11"/>
  <c r="A11" i="11"/>
  <c r="F10" i="11"/>
  <c r="C10" i="11"/>
  <c r="A10" i="11"/>
  <c r="C9" i="11"/>
  <c r="F9" i="11" s="1"/>
  <c r="A9" i="11"/>
  <c r="C8" i="11"/>
  <c r="F8" i="11" s="1"/>
  <c r="A8" i="11"/>
  <c r="C7" i="11"/>
  <c r="C163" i="11" s="1"/>
  <c r="A7" i="11"/>
  <c r="E44" i="1" s="1"/>
  <c r="F6" i="11"/>
  <c r="C6" i="11"/>
  <c r="A6" i="11"/>
  <c r="C178" i="23"/>
  <c r="F178" i="23" s="1"/>
  <c r="A178" i="23"/>
  <c r="D177" i="23"/>
  <c r="F177" i="23" s="1"/>
  <c r="A177" i="23"/>
  <c r="D176" i="23"/>
  <c r="F176" i="23" s="1"/>
  <c r="A176" i="23"/>
  <c r="C175" i="23"/>
  <c r="F175" i="23" s="1"/>
  <c r="A175" i="23"/>
  <c r="A174" i="23"/>
  <c r="F173" i="23"/>
  <c r="A173" i="23"/>
  <c r="C172" i="23"/>
  <c r="F172" i="23" s="1"/>
  <c r="A172" i="23"/>
  <c r="C171" i="23"/>
  <c r="F171" i="23" s="1"/>
  <c r="A171" i="23"/>
  <c r="C170" i="23"/>
  <c r="F170" i="23" s="1"/>
  <c r="A170" i="23"/>
  <c r="C169" i="23"/>
  <c r="F169" i="23" s="1"/>
  <c r="A169" i="23"/>
  <c r="C168" i="23"/>
  <c r="F168" i="23" s="1"/>
  <c r="A168" i="23"/>
  <c r="C167" i="23"/>
  <c r="F167" i="23" s="1"/>
  <c r="A167" i="23"/>
  <c r="C166" i="23"/>
  <c r="F166" i="23" s="1"/>
  <c r="A166" i="23"/>
  <c r="C165" i="23"/>
  <c r="F165" i="23" s="1"/>
  <c r="A165" i="23"/>
  <c r="C164" i="23"/>
  <c r="F164" i="23" s="1"/>
  <c r="A164" i="23"/>
  <c r="C163" i="23"/>
  <c r="F163" i="23" s="1"/>
  <c r="A163" i="23"/>
  <c r="A162" i="23"/>
  <c r="C161" i="23"/>
  <c r="F161" i="23" s="1"/>
  <c r="A161" i="23"/>
  <c r="C160" i="23"/>
  <c r="F160" i="23" s="1"/>
  <c r="A160" i="23"/>
  <c r="F159" i="23"/>
  <c r="A159" i="23"/>
  <c r="C158" i="23"/>
  <c r="F158" i="23" s="1"/>
  <c r="A158" i="23"/>
  <c r="C157" i="23"/>
  <c r="F157" i="23" s="1"/>
  <c r="A157" i="23"/>
  <c r="C156" i="23"/>
  <c r="F156" i="23" s="1"/>
  <c r="A156" i="23"/>
  <c r="C155" i="23"/>
  <c r="F155" i="23" s="1"/>
  <c r="A155" i="23"/>
  <c r="C154" i="23"/>
  <c r="F154" i="23" s="1"/>
  <c r="A154" i="23"/>
  <c r="C153" i="23"/>
  <c r="F153" i="23" s="1"/>
  <c r="A153" i="23"/>
  <c r="C152" i="23"/>
  <c r="F152" i="23" s="1"/>
  <c r="A152" i="23"/>
  <c r="A151" i="23"/>
  <c r="C150" i="23"/>
  <c r="F150" i="23" s="1"/>
  <c r="A150" i="23"/>
  <c r="D149" i="23"/>
  <c r="F149" i="23" s="1"/>
  <c r="A149" i="23"/>
  <c r="C148" i="23"/>
  <c r="F148" i="23" s="1"/>
  <c r="A148" i="23"/>
  <c r="C147" i="23"/>
  <c r="F147" i="23" s="1"/>
  <c r="A147" i="23"/>
  <c r="C145" i="23"/>
  <c r="F145" i="23" s="1"/>
  <c r="A145" i="23"/>
  <c r="C144" i="23"/>
  <c r="F144" i="23" s="1"/>
  <c r="A144" i="23"/>
  <c r="C143" i="23"/>
  <c r="F143" i="23" s="1"/>
  <c r="A143" i="23"/>
  <c r="C142" i="23"/>
  <c r="F142" i="23" s="1"/>
  <c r="A142" i="23"/>
  <c r="C141" i="23"/>
  <c r="F141" i="23" s="1"/>
  <c r="A141" i="23"/>
  <c r="C140" i="23"/>
  <c r="F140" i="23" s="1"/>
  <c r="A140" i="23"/>
  <c r="D139" i="23"/>
  <c r="F139" i="23" s="1"/>
  <c r="A139" i="23"/>
  <c r="C138" i="23"/>
  <c r="F138" i="23" s="1"/>
  <c r="A138" i="23"/>
  <c r="C137" i="23"/>
  <c r="F137" i="23" s="1"/>
  <c r="A137" i="23"/>
  <c r="C136" i="23"/>
  <c r="F136" i="23" s="1"/>
  <c r="A136" i="23"/>
  <c r="C135" i="23"/>
  <c r="F135" i="23" s="1"/>
  <c r="A135" i="23"/>
  <c r="C134" i="23"/>
  <c r="F134" i="23" s="1"/>
  <c r="A134" i="23"/>
  <c r="C133" i="23"/>
  <c r="F133" i="23" s="1"/>
  <c r="A133" i="23"/>
  <c r="C132" i="23"/>
  <c r="F132" i="23" s="1"/>
  <c r="A132" i="23"/>
  <c r="C131" i="23"/>
  <c r="F131" i="23" s="1"/>
  <c r="A131" i="23"/>
  <c r="F130" i="23"/>
  <c r="A130" i="23"/>
  <c r="C129" i="23"/>
  <c r="F129" i="23" s="1"/>
  <c r="A129" i="23"/>
  <c r="C128" i="23"/>
  <c r="F128" i="23" s="1"/>
  <c r="A128" i="23"/>
  <c r="A127" i="23"/>
  <c r="C126" i="23"/>
  <c r="F126" i="23" s="1"/>
  <c r="A126" i="23"/>
  <c r="C125" i="23"/>
  <c r="F125" i="23" s="1"/>
  <c r="A125" i="23"/>
  <c r="C124" i="23"/>
  <c r="F124" i="23" s="1"/>
  <c r="A124" i="23"/>
  <c r="D123" i="23"/>
  <c r="F123" i="23" s="1"/>
  <c r="A123" i="23"/>
  <c r="D122" i="23"/>
  <c r="F122" i="23" s="1"/>
  <c r="A122" i="23"/>
  <c r="D121" i="23"/>
  <c r="F121" i="23" s="1"/>
  <c r="A121" i="23"/>
  <c r="A120" i="23"/>
  <c r="D119" i="23"/>
  <c r="F119" i="23" s="1"/>
  <c r="A119" i="23"/>
  <c r="C118" i="23"/>
  <c r="F118" i="23" s="1"/>
  <c r="A118" i="23"/>
  <c r="D117" i="23"/>
  <c r="F117" i="23" s="1"/>
  <c r="A117" i="23"/>
  <c r="D116" i="23"/>
  <c r="F116" i="23" s="1"/>
  <c r="A116" i="23"/>
  <c r="D115" i="23"/>
  <c r="F115" i="23" s="1"/>
  <c r="A115" i="23"/>
  <c r="D114" i="23"/>
  <c r="F114" i="23" s="1"/>
  <c r="A114" i="23"/>
  <c r="A112" i="23"/>
  <c r="A111" i="23"/>
  <c r="C110" i="23"/>
  <c r="F110" i="23" s="1"/>
  <c r="A110" i="23"/>
  <c r="D109" i="23"/>
  <c r="F109" i="23" s="1"/>
  <c r="A109" i="23"/>
  <c r="D108" i="23"/>
  <c r="F108" i="23" s="1"/>
  <c r="A108" i="23"/>
  <c r="D107" i="23"/>
  <c r="F107" i="23" s="1"/>
  <c r="A107" i="23"/>
  <c r="D106" i="23"/>
  <c r="F106" i="23" s="1"/>
  <c r="A106" i="23"/>
  <c r="D105" i="23"/>
  <c r="F105" i="23" s="1"/>
  <c r="A105" i="23"/>
  <c r="D104" i="23"/>
  <c r="F104" i="23" s="1"/>
  <c r="A104" i="23"/>
  <c r="D103" i="23"/>
  <c r="F103" i="23" s="1"/>
  <c r="A103" i="23"/>
  <c r="D102" i="23"/>
  <c r="F102" i="23" s="1"/>
  <c r="A102" i="23"/>
  <c r="A101" i="23"/>
  <c r="D100" i="23"/>
  <c r="F100" i="23" s="1"/>
  <c r="A100" i="23"/>
  <c r="D99" i="23"/>
  <c r="F99" i="23" s="1"/>
  <c r="A99" i="23"/>
  <c r="A98" i="23"/>
  <c r="D97" i="23"/>
  <c r="F97" i="23" s="1"/>
  <c r="A97" i="23"/>
  <c r="D96" i="23"/>
  <c r="F96" i="23" s="1"/>
  <c r="A96" i="23"/>
  <c r="D95" i="23"/>
  <c r="F95" i="23" s="1"/>
  <c r="A95" i="23"/>
  <c r="D94" i="23"/>
  <c r="F94" i="23" s="1"/>
  <c r="A94" i="23"/>
  <c r="D93" i="23"/>
  <c r="F93" i="23" s="1"/>
  <c r="A93" i="23"/>
  <c r="D92" i="23"/>
  <c r="F92" i="23" s="1"/>
  <c r="A92" i="23"/>
  <c r="D91" i="23"/>
  <c r="F91" i="23" s="1"/>
  <c r="A91" i="23"/>
  <c r="D90" i="23"/>
  <c r="F90" i="23" s="1"/>
  <c r="A90" i="23"/>
  <c r="D89" i="23"/>
  <c r="F89" i="23" s="1"/>
  <c r="A89" i="23"/>
  <c r="D88" i="23"/>
  <c r="F88" i="23" s="1"/>
  <c r="A88" i="23"/>
  <c r="D87" i="23"/>
  <c r="F87" i="23" s="1"/>
  <c r="A87" i="23"/>
  <c r="D86" i="23"/>
  <c r="F86" i="23" s="1"/>
  <c r="A86" i="23"/>
  <c r="D85" i="23"/>
  <c r="F85" i="23" s="1"/>
  <c r="A85" i="23"/>
  <c r="D84" i="23"/>
  <c r="F84" i="23" s="1"/>
  <c r="A84" i="23"/>
  <c r="A83" i="23"/>
  <c r="D82" i="23"/>
  <c r="F82" i="23" s="1"/>
  <c r="A82" i="23"/>
  <c r="D81" i="23"/>
  <c r="F81" i="23" s="1"/>
  <c r="A81" i="23"/>
  <c r="D80" i="23"/>
  <c r="F80" i="23" s="1"/>
  <c r="A80" i="23"/>
  <c r="D79" i="23"/>
  <c r="F79" i="23" s="1"/>
  <c r="A79" i="23"/>
  <c r="D78" i="23"/>
  <c r="F78" i="23" s="1"/>
  <c r="A78" i="23"/>
  <c r="D77" i="23"/>
  <c r="F77" i="23" s="1"/>
  <c r="A77" i="23"/>
  <c r="D76" i="23"/>
  <c r="F76" i="23" s="1"/>
  <c r="A76" i="23"/>
  <c r="D75" i="23"/>
  <c r="F75" i="23" s="1"/>
  <c r="A75" i="23"/>
  <c r="D74" i="23"/>
  <c r="F74" i="23" s="1"/>
  <c r="A74" i="23"/>
  <c r="F72" i="23"/>
  <c r="A72" i="23"/>
  <c r="D71" i="23"/>
  <c r="F71" i="23" s="1"/>
  <c r="A71" i="23"/>
  <c r="D70" i="23"/>
  <c r="F70" i="23" s="1"/>
  <c r="A70" i="23"/>
  <c r="D69" i="23"/>
  <c r="F69" i="23" s="1"/>
  <c r="A69" i="23"/>
  <c r="D68" i="23"/>
  <c r="F68" i="23" s="1"/>
  <c r="A68" i="23"/>
  <c r="D67" i="23"/>
  <c r="F67" i="23" s="1"/>
  <c r="A67" i="23"/>
  <c r="D66" i="23"/>
  <c r="F66" i="23" s="1"/>
  <c r="A66" i="23"/>
  <c r="D65" i="23"/>
  <c r="F65" i="23" s="1"/>
  <c r="A65" i="23"/>
  <c r="D64" i="23"/>
  <c r="F64" i="23" s="1"/>
  <c r="A64" i="23"/>
  <c r="F63" i="23"/>
  <c r="A63" i="23"/>
  <c r="C62" i="23"/>
  <c r="F62" i="23" s="1"/>
  <c r="A62" i="23"/>
  <c r="C61" i="23"/>
  <c r="F61" i="23" s="1"/>
  <c r="A61" i="23"/>
  <c r="C60" i="23"/>
  <c r="F60" i="23" s="1"/>
  <c r="A60" i="23"/>
  <c r="F59" i="23"/>
  <c r="A59" i="23"/>
  <c r="C58" i="23"/>
  <c r="F58" i="23" s="1"/>
  <c r="A58" i="23"/>
  <c r="C57" i="23"/>
  <c r="F57" i="23" s="1"/>
  <c r="A57" i="23"/>
  <c r="C56" i="23"/>
  <c r="F56" i="23" s="1"/>
  <c r="A56" i="23"/>
  <c r="F55" i="23"/>
  <c r="A55" i="23"/>
  <c r="C54" i="23"/>
  <c r="F54" i="23" s="1"/>
  <c r="A54" i="23"/>
  <c r="C53" i="23"/>
  <c r="F53" i="23" s="1"/>
  <c r="A53" i="23"/>
  <c r="C52" i="23"/>
  <c r="F52" i="23" s="1"/>
  <c r="A52" i="23"/>
  <c r="C51" i="23"/>
  <c r="F51" i="23" s="1"/>
  <c r="A51" i="23"/>
  <c r="C50" i="23"/>
  <c r="F50" i="23" s="1"/>
  <c r="A50" i="23"/>
  <c r="C49" i="23"/>
  <c r="F49" i="23" s="1"/>
  <c r="A49" i="23"/>
  <c r="F48" i="23"/>
  <c r="A48" i="23"/>
  <c r="C47" i="23"/>
  <c r="F47" i="23" s="1"/>
  <c r="A47" i="23"/>
  <c r="C46" i="23"/>
  <c r="F46" i="23" s="1"/>
  <c r="A46" i="23"/>
  <c r="C45" i="23"/>
  <c r="F45" i="23" s="1"/>
  <c r="A45" i="23"/>
  <c r="F44" i="23"/>
  <c r="A44" i="23"/>
  <c r="F43" i="23"/>
  <c r="A43" i="23"/>
  <c r="C42" i="23"/>
  <c r="F42" i="23" s="1"/>
  <c r="A42" i="23"/>
  <c r="C41" i="23"/>
  <c r="F41" i="23" s="1"/>
  <c r="A41" i="23"/>
  <c r="C40" i="23"/>
  <c r="F40" i="23" s="1"/>
  <c r="A40" i="23"/>
  <c r="D39" i="23"/>
  <c r="F39" i="23" s="1"/>
  <c r="A39" i="23"/>
  <c r="D38" i="23"/>
  <c r="F38" i="23" s="1"/>
  <c r="A38" i="23"/>
  <c r="D37" i="23"/>
  <c r="F37" i="23" s="1"/>
  <c r="A37" i="23"/>
  <c r="D36" i="23"/>
  <c r="F36" i="23" s="1"/>
  <c r="A36" i="23"/>
  <c r="D35" i="23"/>
  <c r="F35" i="23" s="1"/>
  <c r="A35" i="23"/>
  <c r="C34" i="23"/>
  <c r="F34" i="23" s="1"/>
  <c r="A34" i="23"/>
  <c r="D33" i="23"/>
  <c r="F33" i="23" s="1"/>
  <c r="A33" i="23"/>
  <c r="C32" i="23"/>
  <c r="F32" i="23" s="1"/>
  <c r="A32" i="23"/>
  <c r="C31" i="23"/>
  <c r="F31" i="23" s="1"/>
  <c r="A31" i="23"/>
  <c r="D30" i="23"/>
  <c r="F30" i="23" s="1"/>
  <c r="A30" i="23"/>
  <c r="C29" i="23"/>
  <c r="F29" i="23" s="1"/>
  <c r="A29" i="23"/>
  <c r="C28" i="23"/>
  <c r="F28" i="23" s="1"/>
  <c r="A28" i="23"/>
  <c r="C27" i="23"/>
  <c r="F27" i="23" s="1"/>
  <c r="A27" i="23"/>
  <c r="C26" i="23"/>
  <c r="F26" i="23" s="1"/>
  <c r="A26" i="23"/>
  <c r="C25" i="23"/>
  <c r="F25" i="23" s="1"/>
  <c r="A25" i="23"/>
  <c r="C24" i="23"/>
  <c r="F24" i="23" s="1"/>
  <c r="A24" i="23"/>
  <c r="C23" i="23"/>
  <c r="F23" i="23" s="1"/>
  <c r="A23" i="23"/>
  <c r="C22" i="23"/>
  <c r="F22" i="23" s="1"/>
  <c r="A22" i="23"/>
  <c r="C21" i="23"/>
  <c r="F21" i="23" s="1"/>
  <c r="A21" i="23"/>
  <c r="C20" i="23"/>
  <c r="F20" i="23" s="1"/>
  <c r="A20" i="23"/>
  <c r="C19" i="23"/>
  <c r="F19" i="23" s="1"/>
  <c r="A19" i="23"/>
  <c r="C18" i="23"/>
  <c r="F18" i="23" s="1"/>
  <c r="A18" i="23"/>
  <c r="C17" i="23"/>
  <c r="F17" i="23" s="1"/>
  <c r="A17" i="23"/>
  <c r="C16" i="23"/>
  <c r="F16" i="23" s="1"/>
  <c r="A16" i="23"/>
  <c r="C15" i="23"/>
  <c r="F15" i="23" s="1"/>
  <c r="A15" i="23"/>
  <c r="A14" i="23"/>
  <c r="C13" i="23"/>
  <c r="F13" i="23" s="1"/>
  <c r="A13" i="23"/>
  <c r="C12" i="23"/>
  <c r="F12" i="23" s="1"/>
  <c r="A12" i="23"/>
  <c r="C11" i="23"/>
  <c r="F11" i="23" s="1"/>
  <c r="A11" i="23"/>
  <c r="C10" i="23"/>
  <c r="F10" i="23" s="1"/>
  <c r="A10" i="23"/>
  <c r="C9" i="23"/>
  <c r="F9" i="23" s="1"/>
  <c r="A9" i="23"/>
  <c r="C8" i="23"/>
  <c r="F8" i="23" s="1"/>
  <c r="A8" i="23"/>
  <c r="C7" i="23"/>
  <c r="F7" i="23" s="1"/>
  <c r="A7" i="23"/>
  <c r="C6" i="23"/>
  <c r="F6" i="23" s="1"/>
  <c r="A6" i="23"/>
  <c r="E238" i="36"/>
  <c r="E214" i="36"/>
  <c r="E190" i="36"/>
  <c r="C172" i="36"/>
  <c r="C159" i="36"/>
  <c r="C145" i="36"/>
  <c r="E130" i="36"/>
  <c r="E117" i="36"/>
  <c r="C106" i="36"/>
  <c r="E93" i="36"/>
  <c r="E81" i="36"/>
  <c r="C69" i="36"/>
  <c r="E56" i="36"/>
  <c r="C45" i="36"/>
  <c r="C33" i="36"/>
  <c r="C21" i="36"/>
  <c r="E10" i="36"/>
  <c r="B3" i="36"/>
  <c r="C63" i="29"/>
  <c r="E48" i="29"/>
  <c r="E29" i="29"/>
  <c r="C12" i="29"/>
  <c r="C249" i="35"/>
  <c r="E239" i="35"/>
  <c r="C232" i="35"/>
  <c r="C222" i="35"/>
  <c r="C214" i="35"/>
  <c r="E205" i="35"/>
  <c r="E197" i="35"/>
  <c r="E187" i="35"/>
  <c r="C181" i="35"/>
  <c r="E170" i="35"/>
  <c r="E163" i="35"/>
  <c r="E154" i="35"/>
  <c r="C149" i="35"/>
  <c r="C140" i="35"/>
  <c r="C134" i="35"/>
  <c r="C126" i="35"/>
  <c r="C119" i="35"/>
  <c r="C111" i="35"/>
  <c r="C105" i="35"/>
  <c r="E96" i="35"/>
  <c r="E90" i="35"/>
  <c r="E82" i="35"/>
  <c r="E75" i="35"/>
  <c r="E67" i="35"/>
  <c r="E61" i="35"/>
  <c r="E52" i="35"/>
  <c r="C47" i="35"/>
  <c r="C39" i="35"/>
  <c r="E32" i="35"/>
  <c r="E24" i="35"/>
  <c r="E19" i="35"/>
  <c r="C12" i="35"/>
  <c r="E7" i="35"/>
  <c r="B3" i="35"/>
  <c r="C243" i="34"/>
  <c r="C225" i="34"/>
  <c r="C200" i="34"/>
  <c r="E174" i="34"/>
  <c r="E156" i="34"/>
  <c r="C131" i="34"/>
  <c r="C107" i="34"/>
  <c r="C87" i="34"/>
  <c r="C63" i="34"/>
  <c r="E60" i="34"/>
  <c r="C37" i="34"/>
  <c r="E18" i="34"/>
  <c r="B3" i="34"/>
  <c r="B3" i="29"/>
  <c r="E240" i="29"/>
  <c r="E225" i="29"/>
  <c r="E207" i="29"/>
  <c r="C189" i="29"/>
  <c r="C174" i="29"/>
  <c r="E156" i="29"/>
  <c r="E137" i="29"/>
  <c r="E123" i="29"/>
  <c r="C104" i="29"/>
  <c r="C85" i="29"/>
  <c r="C44" i="12"/>
  <c r="C99" i="1"/>
  <c r="E44" i="14" l="1"/>
  <c r="E78" i="14"/>
  <c r="C78" i="14"/>
  <c r="G78" i="14" s="1"/>
  <c r="E120" i="14"/>
  <c r="C120" i="14"/>
  <c r="G120" i="14" s="1"/>
  <c r="E120" i="22"/>
  <c r="C120" i="22"/>
  <c r="E78" i="22"/>
  <c r="C78" i="22"/>
  <c r="T49" i="44"/>
  <c r="Q8" i="39"/>
  <c r="Q28" i="39" s="1"/>
  <c r="E28" i="39" s="1"/>
  <c r="G24" i="45" s="1"/>
  <c r="T49" i="42"/>
  <c r="D80" i="38"/>
  <c r="H6" i="42"/>
  <c r="H8" i="42" s="1"/>
  <c r="H6" i="44"/>
  <c r="H8" i="44" s="1"/>
  <c r="H6" i="39"/>
  <c r="H8" i="39" s="1"/>
  <c r="H24" i="39" s="1"/>
  <c r="E24" i="39" s="1"/>
  <c r="G20" i="45" s="1"/>
  <c r="H6" i="40"/>
  <c r="H8" i="40" s="1"/>
  <c r="K26" i="38"/>
  <c r="D179" i="23"/>
  <c r="E44" i="22"/>
  <c r="C179" i="23"/>
  <c r="C44" i="22"/>
  <c r="Q73" i="38"/>
  <c r="E80" i="38"/>
  <c r="T8" i="39"/>
  <c r="S8" i="39"/>
  <c r="S50" i="39" s="1"/>
  <c r="C11" i="36"/>
  <c r="E33" i="36"/>
  <c r="G33" i="36" s="1"/>
  <c r="E57" i="36"/>
  <c r="E82" i="36"/>
  <c r="E106" i="36"/>
  <c r="G106" i="36" s="1"/>
  <c r="C131" i="36"/>
  <c r="E159" i="36"/>
  <c r="G159" i="36" s="1"/>
  <c r="E173" i="36"/>
  <c r="C215" i="36"/>
  <c r="C23" i="36"/>
  <c r="C46" i="36"/>
  <c r="C70" i="36"/>
  <c r="C95" i="36"/>
  <c r="C119" i="36"/>
  <c r="C146" i="36"/>
  <c r="E175" i="36"/>
  <c r="E221" i="36"/>
  <c r="E23" i="36"/>
  <c r="E47" i="36"/>
  <c r="C71" i="36"/>
  <c r="E96" i="36"/>
  <c r="C121" i="36"/>
  <c r="E146" i="36"/>
  <c r="E199" i="36"/>
  <c r="E249" i="36"/>
  <c r="E251" i="36"/>
  <c r="C243" i="36"/>
  <c r="C232" i="36"/>
  <c r="E225" i="36"/>
  <c r="E215" i="36"/>
  <c r="C208" i="36"/>
  <c r="C200" i="36"/>
  <c r="E191" i="36"/>
  <c r="E183" i="36"/>
  <c r="C176" i="36"/>
  <c r="E15" i="36"/>
  <c r="C39" i="36"/>
  <c r="E63" i="36"/>
  <c r="C99" i="36"/>
  <c r="C125" i="36"/>
  <c r="C151" i="36"/>
  <c r="E182" i="36"/>
  <c r="C224" i="36"/>
  <c r="C6" i="36"/>
  <c r="C28" i="36"/>
  <c r="E51" i="36"/>
  <c r="E75" i="36"/>
  <c r="E112" i="36"/>
  <c r="E6" i="36"/>
  <c r="C17" i="36"/>
  <c r="E28" i="36"/>
  <c r="E40" i="36"/>
  <c r="E52" i="36"/>
  <c r="E64" i="36"/>
  <c r="C76" i="36"/>
  <c r="C89" i="36"/>
  <c r="E101" i="36"/>
  <c r="C113" i="36"/>
  <c r="C126" i="36"/>
  <c r="E139" i="36"/>
  <c r="C154" i="36"/>
  <c r="C167" i="36"/>
  <c r="E189" i="36"/>
  <c r="E207" i="36"/>
  <c r="C231" i="36"/>
  <c r="C22" i="36"/>
  <c r="E45" i="36"/>
  <c r="G45" i="36" s="1"/>
  <c r="E69" i="36"/>
  <c r="G69" i="36" s="1"/>
  <c r="C94" i="36"/>
  <c r="C118" i="36"/>
  <c r="E145" i="36"/>
  <c r="G145" i="36" s="1"/>
  <c r="E197" i="36"/>
  <c r="E239" i="36"/>
  <c r="C12" i="36"/>
  <c r="C34" i="36"/>
  <c r="C59" i="36"/>
  <c r="C83" i="36"/>
  <c r="C107" i="36"/>
  <c r="C133" i="36"/>
  <c r="C160" i="36"/>
  <c r="C198" i="36"/>
  <c r="E12" i="36"/>
  <c r="C35" i="36"/>
  <c r="E59" i="36"/>
  <c r="C84" i="36"/>
  <c r="C108" i="36"/>
  <c r="C134" i="36"/>
  <c r="E161" i="36"/>
  <c r="C182" i="36"/>
  <c r="E27" i="36"/>
  <c r="C51" i="36"/>
  <c r="C75" i="36"/>
  <c r="C88" i="36"/>
  <c r="C112" i="36"/>
  <c r="E138" i="36"/>
  <c r="C166" i="36"/>
  <c r="C206" i="36"/>
  <c r="E250" i="36"/>
  <c r="C252" i="36"/>
  <c r="E16" i="36"/>
  <c r="E39" i="36"/>
  <c r="C64" i="36"/>
  <c r="E88" i="36"/>
  <c r="C101" i="36"/>
  <c r="E125" i="36"/>
  <c r="C139" i="36"/>
  <c r="C152" i="36"/>
  <c r="E166" i="36"/>
  <c r="C183" i="36"/>
  <c r="E206" i="36"/>
  <c r="E230" i="36"/>
  <c r="C251" i="36"/>
  <c r="C246" i="36"/>
  <c r="G246" i="36" s="1"/>
  <c r="F20" i="38" s="1"/>
  <c r="E7" i="36"/>
  <c r="C18" i="36"/>
  <c r="C29" i="36"/>
  <c r="C41" i="36"/>
  <c r="C53" i="36"/>
  <c r="C65" i="36"/>
  <c r="C77" i="36"/>
  <c r="C90" i="36"/>
  <c r="C102" i="36"/>
  <c r="E113" i="36"/>
  <c r="E126" i="36"/>
  <c r="C140" i="36"/>
  <c r="E154" i="36"/>
  <c r="E167" i="36"/>
  <c r="C190" i="36"/>
  <c r="G190" i="36" s="1"/>
  <c r="C214" i="36"/>
  <c r="G214" i="36" s="1"/>
  <c r="E231" i="36"/>
  <c r="C19" i="36"/>
  <c r="E72" i="36"/>
  <c r="C80" i="36"/>
  <c r="E85" i="36"/>
  <c r="C92" i="36"/>
  <c r="E97" i="36"/>
  <c r="C103" i="36"/>
  <c r="C109" i="36"/>
  <c r="C115" i="36"/>
  <c r="E122" i="36"/>
  <c r="C128" i="36"/>
  <c r="C135" i="36"/>
  <c r="E141" i="36"/>
  <c r="E149" i="36"/>
  <c r="E155" i="36"/>
  <c r="E162" i="36"/>
  <c r="E170" i="36"/>
  <c r="C178" i="36"/>
  <c r="E185" i="36"/>
  <c r="E194" i="36"/>
  <c r="E202" i="36"/>
  <c r="C210" i="36"/>
  <c r="C219" i="36"/>
  <c r="E226" i="36"/>
  <c r="E234" i="36"/>
  <c r="E245" i="36"/>
  <c r="C8" i="36"/>
  <c r="C13" i="36"/>
  <c r="E18" i="36"/>
  <c r="C24" i="36"/>
  <c r="E29" i="36"/>
  <c r="C36" i="36"/>
  <c r="C42" i="36"/>
  <c r="C48" i="36"/>
  <c r="C54" i="36"/>
  <c r="C60" i="36"/>
  <c r="E65" i="36"/>
  <c r="E71" i="36"/>
  <c r="E77" i="36"/>
  <c r="C85" i="36"/>
  <c r="E90" i="36"/>
  <c r="C97" i="36"/>
  <c r="E102" i="36"/>
  <c r="E108" i="36"/>
  <c r="G108" i="36" s="1"/>
  <c r="D33" i="18" s="1"/>
  <c r="E114" i="36"/>
  <c r="E121" i="36"/>
  <c r="E127" i="36"/>
  <c r="E134" i="36"/>
  <c r="C141" i="36"/>
  <c r="C149" i="36"/>
  <c r="C155" i="36"/>
  <c r="C162" i="36"/>
  <c r="E169" i="36"/>
  <c r="E177" i="36"/>
  <c r="C184" i="36"/>
  <c r="C194" i="36"/>
  <c r="E201" i="36"/>
  <c r="E209" i="36"/>
  <c r="E218" i="36"/>
  <c r="C226" i="36"/>
  <c r="E233" i="36"/>
  <c r="E243" i="36"/>
  <c r="E8" i="36"/>
  <c r="C14" i="36"/>
  <c r="E24" i="36"/>
  <c r="C30" i="36"/>
  <c r="C37" i="36"/>
  <c r="C43" i="36"/>
  <c r="E48" i="36"/>
  <c r="C55" i="36"/>
  <c r="E60" i="36"/>
  <c r="C66" i="36"/>
  <c r="C9" i="36"/>
  <c r="E14" i="36"/>
  <c r="E19" i="36"/>
  <c r="C25" i="36"/>
  <c r="C32" i="36"/>
  <c r="E37" i="36"/>
  <c r="E43" i="36"/>
  <c r="E49" i="36"/>
  <c r="E55" i="36"/>
  <c r="C61" i="36"/>
  <c r="C67" i="36"/>
  <c r="E73" i="36"/>
  <c r="E80" i="36"/>
  <c r="C86" i="36"/>
  <c r="E92" i="36"/>
  <c r="C98" i="36"/>
  <c r="C104" i="36"/>
  <c r="C110" i="36"/>
  <c r="E116" i="36"/>
  <c r="C123" i="36"/>
  <c r="E129" i="36"/>
  <c r="E135" i="36"/>
  <c r="E143" i="36"/>
  <c r="C150" i="36"/>
  <c r="C157" i="36"/>
  <c r="C164" i="36"/>
  <c r="C171" i="36"/>
  <c r="E178" i="36"/>
  <c r="E187" i="36"/>
  <c r="C195" i="36"/>
  <c r="C203" i="36"/>
  <c r="E211" i="36"/>
  <c r="E219" i="36"/>
  <c r="C227" i="36"/>
  <c r="E237" i="36"/>
  <c r="C10" i="36"/>
  <c r="G10" i="36" s="1"/>
  <c r="C15" i="36"/>
  <c r="C20" i="36"/>
  <c r="C27" i="36"/>
  <c r="E32" i="36"/>
  <c r="C38" i="36"/>
  <c r="C44" i="36"/>
  <c r="C50" i="36"/>
  <c r="C56" i="36"/>
  <c r="G56" i="36" s="1"/>
  <c r="E61" i="36"/>
  <c r="E68" i="36"/>
  <c r="C74" i="36"/>
  <c r="C81" i="36"/>
  <c r="G81" i="36" s="1"/>
  <c r="C87" i="36"/>
  <c r="C93" i="36"/>
  <c r="G93" i="36" s="1"/>
  <c r="E98" i="36"/>
  <c r="E104" i="36"/>
  <c r="C111" i="36"/>
  <c r="C117" i="36"/>
  <c r="G117" i="36" s="1"/>
  <c r="D61" i="18" s="1"/>
  <c r="E123" i="36"/>
  <c r="C130" i="36"/>
  <c r="G130" i="36" s="1"/>
  <c r="C136" i="36"/>
  <c r="C144" i="36"/>
  <c r="E150" i="36"/>
  <c r="E157" i="36"/>
  <c r="C165" i="36"/>
  <c r="E171" i="36"/>
  <c r="C179" i="36"/>
  <c r="C188" i="36"/>
  <c r="E195" i="36"/>
  <c r="E203" i="36"/>
  <c r="E213" i="36"/>
  <c r="C220" i="36"/>
  <c r="E227" i="36"/>
  <c r="C238" i="36"/>
  <c r="G238" i="36" s="1"/>
  <c r="C253" i="36"/>
  <c r="C249" i="36"/>
  <c r="C245" i="36"/>
  <c r="C241" i="36"/>
  <c r="C237" i="36"/>
  <c r="C233" i="36"/>
  <c r="C229" i="36"/>
  <c r="C225" i="36"/>
  <c r="C221" i="36"/>
  <c r="C217" i="36"/>
  <c r="C213" i="36"/>
  <c r="C209" i="36"/>
  <c r="C205" i="36"/>
  <c r="C201" i="36"/>
  <c r="C197" i="36"/>
  <c r="C193" i="36"/>
  <c r="C189" i="36"/>
  <c r="C185" i="36"/>
  <c r="C181" i="36"/>
  <c r="C177" i="36"/>
  <c r="C173" i="36"/>
  <c r="E252" i="36"/>
  <c r="E248" i="36"/>
  <c r="E244" i="36"/>
  <c r="E240" i="36"/>
  <c r="G240" i="36" s="1"/>
  <c r="E236" i="36"/>
  <c r="E232" i="36"/>
  <c r="E228" i="36"/>
  <c r="E224" i="36"/>
  <c r="E220" i="36"/>
  <c r="E216" i="36"/>
  <c r="E212" i="36"/>
  <c r="E208" i="36"/>
  <c r="E204" i="36"/>
  <c r="E200" i="36"/>
  <c r="E196" i="36"/>
  <c r="E192" i="36"/>
  <c r="E188" i="36"/>
  <c r="E184" i="36"/>
  <c r="E180" i="36"/>
  <c r="E176" i="36"/>
  <c r="E172" i="36"/>
  <c r="G172" i="36" s="1"/>
  <c r="E168" i="36"/>
  <c r="E164" i="36"/>
  <c r="E160" i="36"/>
  <c r="E156" i="36"/>
  <c r="E152" i="36"/>
  <c r="E148" i="36"/>
  <c r="E144" i="36"/>
  <c r="E140" i="36"/>
  <c r="E136" i="36"/>
  <c r="E132" i="36"/>
  <c r="E128" i="36"/>
  <c r="E124" i="36"/>
  <c r="E119" i="36"/>
  <c r="E115" i="36"/>
  <c r="E111" i="36"/>
  <c r="E107" i="36"/>
  <c r="E103" i="36"/>
  <c r="E99" i="36"/>
  <c r="E95" i="36"/>
  <c r="E91" i="36"/>
  <c r="E87" i="36"/>
  <c r="E83" i="36"/>
  <c r="E79" i="36"/>
  <c r="E74" i="36"/>
  <c r="E70" i="36"/>
  <c r="E66" i="36"/>
  <c r="E62" i="36"/>
  <c r="E58" i="36"/>
  <c r="E54" i="36"/>
  <c r="E50" i="36"/>
  <c r="E46" i="36"/>
  <c r="E42" i="36"/>
  <c r="E38" i="36"/>
  <c r="E34" i="36"/>
  <c r="E30" i="36"/>
  <c r="E26" i="36"/>
  <c r="E22" i="36"/>
  <c r="C250" i="36"/>
  <c r="C244" i="36"/>
  <c r="C239" i="36"/>
  <c r="C234" i="36"/>
  <c r="C228" i="36"/>
  <c r="G228" i="36" s="1"/>
  <c r="C223" i="36"/>
  <c r="C218" i="36"/>
  <c r="C212" i="36"/>
  <c r="C207" i="36"/>
  <c r="C202" i="36"/>
  <c r="C196" i="36"/>
  <c r="C191" i="36"/>
  <c r="C186" i="36"/>
  <c r="C180" i="36"/>
  <c r="C175" i="36"/>
  <c r="C170" i="36"/>
  <c r="E165" i="36"/>
  <c r="C161" i="36"/>
  <c r="C156" i="36"/>
  <c r="E151" i="36"/>
  <c r="C147" i="36"/>
  <c r="E142" i="36"/>
  <c r="C138" i="36"/>
  <c r="E133" i="36"/>
  <c r="C129" i="36"/>
  <c r="C124" i="36"/>
  <c r="E118" i="36"/>
  <c r="C114" i="36"/>
  <c r="E109" i="36"/>
  <c r="C105" i="36"/>
  <c r="E100" i="36"/>
  <c r="C96" i="36"/>
  <c r="C91" i="36"/>
  <c r="E86" i="36"/>
  <c r="C82" i="36"/>
  <c r="E76" i="36"/>
  <c r="C72" i="36"/>
  <c r="E67" i="36"/>
  <c r="G67" i="36" s="1"/>
  <c r="C63" i="36"/>
  <c r="C58" i="36"/>
  <c r="E53" i="36"/>
  <c r="C49" i="36"/>
  <c r="E44" i="36"/>
  <c r="C40" i="36"/>
  <c r="E35" i="36"/>
  <c r="C31" i="36"/>
  <c r="C26" i="36"/>
  <c r="E21" i="36"/>
  <c r="G21" i="36" s="1"/>
  <c r="E17" i="36"/>
  <c r="E13" i="36"/>
  <c r="E9" i="36"/>
  <c r="E254" i="36"/>
  <c r="C248" i="36"/>
  <c r="E242" i="36"/>
  <c r="C236" i="36"/>
  <c r="C254" i="36"/>
  <c r="E247" i="36"/>
  <c r="C242" i="36"/>
  <c r="E235" i="36"/>
  <c r="C230" i="36"/>
  <c r="E223" i="36"/>
  <c r="E217" i="36"/>
  <c r="C211" i="36"/>
  <c r="E205" i="36"/>
  <c r="C199" i="36"/>
  <c r="E193" i="36"/>
  <c r="C187" i="36"/>
  <c r="E181" i="36"/>
  <c r="E174" i="36"/>
  <c r="C169" i="36"/>
  <c r="E163" i="36"/>
  <c r="E158" i="36"/>
  <c r="E153" i="36"/>
  <c r="C148" i="36"/>
  <c r="C143" i="36"/>
  <c r="E137" i="36"/>
  <c r="C132" i="36"/>
  <c r="G132" i="36" s="1"/>
  <c r="C127" i="36"/>
  <c r="C122" i="36"/>
  <c r="C116" i="36"/>
  <c r="E110" i="36"/>
  <c r="E105" i="36"/>
  <c r="C100" i="36"/>
  <c r="E94" i="36"/>
  <c r="E89" i="36"/>
  <c r="E84" i="36"/>
  <c r="C79" i="36"/>
  <c r="C73" i="36"/>
  <c r="C68" i="36"/>
  <c r="G68" i="36" s="1"/>
  <c r="C62" i="36"/>
  <c r="C57" i="36"/>
  <c r="C52" i="36"/>
  <c r="C47" i="36"/>
  <c r="E41" i="36"/>
  <c r="E36" i="36"/>
  <c r="E31" i="36"/>
  <c r="E25" i="36"/>
  <c r="E20" i="36"/>
  <c r="C16" i="36"/>
  <c r="E11" i="36"/>
  <c r="C7" i="36"/>
  <c r="E253" i="36"/>
  <c r="C247" i="36"/>
  <c r="E241" i="36"/>
  <c r="C235" i="36"/>
  <c r="E229" i="36"/>
  <c r="E222" i="36"/>
  <c r="G222" i="36" s="1"/>
  <c r="C216" i="36"/>
  <c r="E210" i="36"/>
  <c r="C204" i="36"/>
  <c r="E198" i="36"/>
  <c r="C192" i="36"/>
  <c r="E186" i="36"/>
  <c r="E179" i="36"/>
  <c r="C174" i="36"/>
  <c r="C168" i="36"/>
  <c r="G168" i="36" s="1"/>
  <c r="C163" i="36"/>
  <c r="C158" i="36"/>
  <c r="C153" i="36"/>
  <c r="E147" i="36"/>
  <c r="C142" i="36"/>
  <c r="C137" i="36"/>
  <c r="E131" i="36"/>
  <c r="K21" i="38"/>
  <c r="F80" i="38"/>
  <c r="E13" i="35"/>
  <c r="C40" i="35"/>
  <c r="C68" i="35"/>
  <c r="E97" i="35"/>
  <c r="E127" i="35"/>
  <c r="E155" i="35"/>
  <c r="E189" i="35"/>
  <c r="E223" i="35"/>
  <c r="E16" i="35"/>
  <c r="C44" i="35"/>
  <c r="E72" i="35"/>
  <c r="E116" i="35"/>
  <c r="C177" i="35"/>
  <c r="E73" i="35"/>
  <c r="E25" i="35"/>
  <c r="C54" i="35"/>
  <c r="C84" i="35"/>
  <c r="C112" i="35"/>
  <c r="E141" i="35"/>
  <c r="E171" i="35"/>
  <c r="C206" i="35"/>
  <c r="C240" i="35"/>
  <c r="C6" i="35"/>
  <c r="C30" i="35"/>
  <c r="C58" i="35"/>
  <c r="C88" i="35"/>
  <c r="E101" i="35"/>
  <c r="E131" i="35"/>
  <c r="E145" i="35"/>
  <c r="C160" i="35"/>
  <c r="E194" i="35"/>
  <c r="E211" i="35"/>
  <c r="C229" i="35"/>
  <c r="E245" i="35"/>
  <c r="E251" i="35"/>
  <c r="E6" i="35"/>
  <c r="C18" i="35"/>
  <c r="C31" i="35"/>
  <c r="E45" i="35"/>
  <c r="E59" i="35"/>
  <c r="C89" i="35"/>
  <c r="C103" i="35"/>
  <c r="C117" i="35"/>
  <c r="C133" i="35"/>
  <c r="E146" i="35"/>
  <c r="C161" i="35"/>
  <c r="E178" i="35"/>
  <c r="E195" i="35"/>
  <c r="C213" i="35"/>
  <c r="E229" i="35"/>
  <c r="C246" i="35"/>
  <c r="C7" i="35"/>
  <c r="G7" i="35" s="1"/>
  <c r="E18" i="35"/>
  <c r="E31" i="35"/>
  <c r="C46" i="35"/>
  <c r="C60" i="35"/>
  <c r="C74" i="35"/>
  <c r="E89" i="35"/>
  <c r="C104" i="35"/>
  <c r="E117" i="35"/>
  <c r="E133" i="35"/>
  <c r="E147" i="35"/>
  <c r="E162" i="35"/>
  <c r="E179" i="35"/>
  <c r="C197" i="35"/>
  <c r="G197" i="35" s="1"/>
  <c r="E213" i="35"/>
  <c r="C230" i="35"/>
  <c r="C11" i="35"/>
  <c r="C23" i="35"/>
  <c r="E36" i="35"/>
  <c r="E51" i="35"/>
  <c r="E65" i="35"/>
  <c r="E80" i="35"/>
  <c r="C95" i="35"/>
  <c r="C109" i="35"/>
  <c r="C124" i="35"/>
  <c r="E138" i="35"/>
  <c r="C153" i="35"/>
  <c r="C169" i="35"/>
  <c r="C186" i="35"/>
  <c r="E202" i="35"/>
  <c r="E219" i="35"/>
  <c r="E237" i="35"/>
  <c r="C250" i="35"/>
  <c r="C233" i="35"/>
  <c r="C216" i="35"/>
  <c r="C198" i="35"/>
  <c r="E181" i="35"/>
  <c r="G181" i="35" s="1"/>
  <c r="C165" i="35"/>
  <c r="E149" i="35"/>
  <c r="G149" i="35" s="1"/>
  <c r="C142" i="35"/>
  <c r="C128" i="35"/>
  <c r="E112" i="35"/>
  <c r="E98" i="35"/>
  <c r="C91" i="35"/>
  <c r="C76" i="35"/>
  <c r="C62" i="35"/>
  <c r="E47" i="35"/>
  <c r="G47" i="35" s="1"/>
  <c r="E33" i="35"/>
  <c r="C26" i="35"/>
  <c r="C14" i="35"/>
  <c r="C241" i="35"/>
  <c r="C224" i="35"/>
  <c r="E207" i="35"/>
  <c r="C190" i="35"/>
  <c r="E173" i="35"/>
  <c r="C156" i="35"/>
  <c r="E134" i="35"/>
  <c r="G134" i="35" s="1"/>
  <c r="C121" i="35"/>
  <c r="E105" i="35"/>
  <c r="G105" i="35" s="1"/>
  <c r="E84" i="35"/>
  <c r="E68" i="35"/>
  <c r="C55" i="35"/>
  <c r="E40" i="35"/>
  <c r="C20" i="35"/>
  <c r="E11" i="35"/>
  <c r="C24" i="35"/>
  <c r="G24" i="35" s="1"/>
  <c r="C38" i="35"/>
  <c r="C52" i="35"/>
  <c r="G52" i="35" s="1"/>
  <c r="C67" i="35"/>
  <c r="G67" i="35" s="1"/>
  <c r="E81" i="35"/>
  <c r="C96" i="35"/>
  <c r="G96" i="35" s="1"/>
  <c r="E110" i="35"/>
  <c r="E125" i="35"/>
  <c r="E139" i="35"/>
  <c r="C154" i="35"/>
  <c r="G154" i="35" s="1"/>
  <c r="C170" i="35"/>
  <c r="G170" i="35" s="1"/>
  <c r="E186" i="35"/>
  <c r="E203" i="35"/>
  <c r="E221" i="35"/>
  <c r="C238" i="35"/>
  <c r="E8" i="35"/>
  <c r="E20" i="35"/>
  <c r="E41" i="35"/>
  <c r="C56" i="35"/>
  <c r="C70" i="35"/>
  <c r="C85" i="35"/>
  <c r="E106" i="35"/>
  <c r="C122" i="35"/>
  <c r="E143" i="35"/>
  <c r="C150" i="35"/>
  <c r="E165" i="35"/>
  <c r="C174" i="35"/>
  <c r="C182" i="35"/>
  <c r="E191" i="35"/>
  <c r="C200" i="35"/>
  <c r="C208" i="35"/>
  <c r="C217" i="35"/>
  <c r="C234" i="35"/>
  <c r="E242" i="35"/>
  <c r="E250" i="35"/>
  <c r="E9" i="35"/>
  <c r="E15" i="35"/>
  <c r="E21" i="35"/>
  <c r="C28" i="35"/>
  <c r="E35" i="35"/>
  <c r="C42" i="35"/>
  <c r="E49" i="35"/>
  <c r="E56" i="35"/>
  <c r="E63" i="35"/>
  <c r="C71" i="35"/>
  <c r="C79" i="35"/>
  <c r="E85" i="35"/>
  <c r="C93" i="35"/>
  <c r="E100" i="35"/>
  <c r="C107" i="35"/>
  <c r="E114" i="35"/>
  <c r="E122" i="35"/>
  <c r="E129" i="35"/>
  <c r="C137" i="35"/>
  <c r="C144" i="35"/>
  <c r="E150" i="35"/>
  <c r="C158" i="35"/>
  <c r="C166" i="35"/>
  <c r="E175" i="35"/>
  <c r="C184" i="35"/>
  <c r="C192" i="35"/>
  <c r="C201" i="35"/>
  <c r="C209" i="35"/>
  <c r="C218" i="35"/>
  <c r="E226" i="35"/>
  <c r="E234" i="35"/>
  <c r="E243" i="35"/>
  <c r="C252" i="35"/>
  <c r="E246" i="35"/>
  <c r="E241" i="35"/>
  <c r="C236" i="35"/>
  <c r="E230" i="35"/>
  <c r="E225" i="35"/>
  <c r="C220" i="35"/>
  <c r="E214" i="35"/>
  <c r="G214" i="35" s="1"/>
  <c r="E209" i="35"/>
  <c r="C204" i="35"/>
  <c r="E198" i="35"/>
  <c r="E193" i="35"/>
  <c r="C188" i="35"/>
  <c r="E182" i="35"/>
  <c r="E177" i="35"/>
  <c r="C172" i="35"/>
  <c r="E166" i="35"/>
  <c r="E161" i="35"/>
  <c r="C15" i="35"/>
  <c r="G15" i="35" s="1"/>
  <c r="E27" i="35"/>
  <c r="C35" i="35"/>
  <c r="E48" i="35"/>
  <c r="C63" i="35"/>
  <c r="E77" i="35"/>
  <c r="E92" i="35"/>
  <c r="C100" i="35"/>
  <c r="E113" i="35"/>
  <c r="C129" i="35"/>
  <c r="C136" i="35"/>
  <c r="E157" i="35"/>
  <c r="C225" i="35"/>
  <c r="E10" i="35"/>
  <c r="C16" i="35"/>
  <c r="E22" i="35"/>
  <c r="E29" i="35"/>
  <c r="C36" i="35"/>
  <c r="E43" i="35"/>
  <c r="C51" i="35"/>
  <c r="G51" i="35" s="1"/>
  <c r="E57" i="35"/>
  <c r="E64" i="35"/>
  <c r="C72" i="35"/>
  <c r="C80" i="35"/>
  <c r="C87" i="35"/>
  <c r="E94" i="35"/>
  <c r="C101" i="35"/>
  <c r="E108" i="35"/>
  <c r="C116" i="35"/>
  <c r="E123" i="35"/>
  <c r="E130" i="35"/>
  <c r="C138" i="35"/>
  <c r="C145" i="35"/>
  <c r="C152" i="35"/>
  <c r="E159" i="35"/>
  <c r="C168" i="35"/>
  <c r="C176" i="35"/>
  <c r="C185" i="35"/>
  <c r="C193" i="35"/>
  <c r="C202" i="35"/>
  <c r="E210" i="35"/>
  <c r="E218" i="35"/>
  <c r="E227" i="35"/>
  <c r="E235" i="35"/>
  <c r="C245" i="35"/>
  <c r="E253" i="35"/>
  <c r="C251" i="35"/>
  <c r="C247" i="35"/>
  <c r="C243" i="35"/>
  <c r="G243" i="35" s="1"/>
  <c r="C239" i="35"/>
  <c r="G239" i="35" s="1"/>
  <c r="C235" i="35"/>
  <c r="C231" i="35"/>
  <c r="C227" i="35"/>
  <c r="C223" i="35"/>
  <c r="C219" i="35"/>
  <c r="C215" i="35"/>
  <c r="C211" i="35"/>
  <c r="C207" i="35"/>
  <c r="C203" i="35"/>
  <c r="C199" i="35"/>
  <c r="C195" i="35"/>
  <c r="C191" i="35"/>
  <c r="C187" i="35"/>
  <c r="G187" i="35" s="1"/>
  <c r="C183" i="35"/>
  <c r="C179" i="35"/>
  <c r="C175" i="35"/>
  <c r="C171" i="35"/>
  <c r="C167" i="35"/>
  <c r="C163" i="35"/>
  <c r="G163" i="35" s="1"/>
  <c r="C159" i="35"/>
  <c r="C155" i="35"/>
  <c r="C151" i="35"/>
  <c r="C147" i="35"/>
  <c r="C143" i="35"/>
  <c r="C139" i="35"/>
  <c r="C135" i="35"/>
  <c r="C131" i="35"/>
  <c r="C127" i="35"/>
  <c r="C123" i="35"/>
  <c r="C118" i="35"/>
  <c r="C114" i="35"/>
  <c r="G114" i="35" s="1"/>
  <c r="C110" i="35"/>
  <c r="G110" i="35" s="1"/>
  <c r="C106" i="35"/>
  <c r="C102" i="35"/>
  <c r="C98" i="35"/>
  <c r="C94" i="35"/>
  <c r="C90" i="35"/>
  <c r="G90" i="35" s="1"/>
  <c r="C86" i="35"/>
  <c r="C82" i="35"/>
  <c r="G82" i="35" s="1"/>
  <c r="C77" i="35"/>
  <c r="C73" i="35"/>
  <c r="C69" i="35"/>
  <c r="C65" i="35"/>
  <c r="C61" i="35"/>
  <c r="G61" i="35" s="1"/>
  <c r="C57" i="35"/>
  <c r="C53" i="35"/>
  <c r="C49" i="35"/>
  <c r="C45" i="35"/>
  <c r="C41" i="35"/>
  <c r="C37" i="35"/>
  <c r="C33" i="35"/>
  <c r="C29" i="35"/>
  <c r="C25" i="35"/>
  <c r="C21" i="35"/>
  <c r="C17" i="35"/>
  <c r="C13" i="35"/>
  <c r="C9" i="35"/>
  <c r="E252" i="35"/>
  <c r="E248" i="35"/>
  <c r="G248" i="35" s="1"/>
  <c r="E244" i="35"/>
  <c r="E240" i="35"/>
  <c r="E236" i="35"/>
  <c r="E232" i="35"/>
  <c r="G232" i="35" s="1"/>
  <c r="E228" i="35"/>
  <c r="E224" i="35"/>
  <c r="E220" i="35"/>
  <c r="E216" i="35"/>
  <c r="E212" i="35"/>
  <c r="E208" i="35"/>
  <c r="E204" i="35"/>
  <c r="E200" i="35"/>
  <c r="E196" i="35"/>
  <c r="E192" i="35"/>
  <c r="E188" i="35"/>
  <c r="E184" i="35"/>
  <c r="E180" i="35"/>
  <c r="E176" i="35"/>
  <c r="E172" i="35"/>
  <c r="E168" i="35"/>
  <c r="E164" i="35"/>
  <c r="E160" i="35"/>
  <c r="E156" i="35"/>
  <c r="E152" i="35"/>
  <c r="E148" i="35"/>
  <c r="E144" i="35"/>
  <c r="E140" i="35"/>
  <c r="G140" i="35" s="1"/>
  <c r="E136" i="35"/>
  <c r="E132" i="35"/>
  <c r="E128" i="35"/>
  <c r="E124" i="35"/>
  <c r="E119" i="35"/>
  <c r="G119" i="35" s="1"/>
  <c r="E115" i="35"/>
  <c r="E111" i="35"/>
  <c r="G111" i="35" s="1"/>
  <c r="E107" i="35"/>
  <c r="E103" i="35"/>
  <c r="E99" i="35"/>
  <c r="E95" i="35"/>
  <c r="E91" i="35"/>
  <c r="E87" i="35"/>
  <c r="E83" i="35"/>
  <c r="E79" i="35"/>
  <c r="E74" i="35"/>
  <c r="E70" i="35"/>
  <c r="E66" i="35"/>
  <c r="E62" i="35"/>
  <c r="E58" i="35"/>
  <c r="E54" i="35"/>
  <c r="E50" i="35"/>
  <c r="E46" i="35"/>
  <c r="E42" i="35"/>
  <c r="E38" i="35"/>
  <c r="E34" i="35"/>
  <c r="E30" i="35"/>
  <c r="E26" i="35"/>
  <c r="C8" i="35"/>
  <c r="E12" i="35"/>
  <c r="G12" i="35" s="1"/>
  <c r="E17" i="35"/>
  <c r="C22" i="35"/>
  <c r="G22" i="35" s="1"/>
  <c r="C27" i="35"/>
  <c r="C32" i="35"/>
  <c r="G32" i="35" s="1"/>
  <c r="E37" i="35"/>
  <c r="C43" i="35"/>
  <c r="C48" i="35"/>
  <c r="E53" i="35"/>
  <c r="C59" i="35"/>
  <c r="G59" i="35" s="1"/>
  <c r="C64" i="35"/>
  <c r="E69" i="35"/>
  <c r="C75" i="35"/>
  <c r="G75" i="35" s="1"/>
  <c r="C81" i="35"/>
  <c r="E86" i="35"/>
  <c r="C92" i="35"/>
  <c r="C97" i="35"/>
  <c r="E102" i="35"/>
  <c r="C108" i="35"/>
  <c r="C113" i="35"/>
  <c r="G113" i="35" s="1"/>
  <c r="E118" i="35"/>
  <c r="C125" i="35"/>
  <c r="G125" i="35" s="1"/>
  <c r="M63" i="18" s="1"/>
  <c r="AC7" i="40" s="1"/>
  <c r="C130" i="35"/>
  <c r="E135" i="35"/>
  <c r="C141" i="35"/>
  <c r="C146" i="35"/>
  <c r="E151" i="35"/>
  <c r="C157" i="35"/>
  <c r="C162" i="35"/>
  <c r="E167" i="35"/>
  <c r="C173" i="35"/>
  <c r="C178" i="35"/>
  <c r="E183" i="35"/>
  <c r="C189" i="35"/>
  <c r="C194" i="35"/>
  <c r="E199" i="35"/>
  <c r="C205" i="35"/>
  <c r="G205" i="35" s="1"/>
  <c r="C210" i="35"/>
  <c r="E215" i="35"/>
  <c r="C221" i="35"/>
  <c r="C226" i="35"/>
  <c r="E231" i="35"/>
  <c r="C237" i="35"/>
  <c r="C242" i="35"/>
  <c r="E247" i="35"/>
  <c r="C253" i="35"/>
  <c r="C10" i="35"/>
  <c r="G10" i="35" s="1"/>
  <c r="E14" i="35"/>
  <c r="C19" i="35"/>
  <c r="G19" i="35" s="1"/>
  <c r="E23" i="35"/>
  <c r="E28" i="35"/>
  <c r="C34" i="35"/>
  <c r="E39" i="35"/>
  <c r="G39" i="35" s="1"/>
  <c r="E44" i="35"/>
  <c r="C50" i="35"/>
  <c r="E55" i="35"/>
  <c r="E60" i="35"/>
  <c r="C66" i="35"/>
  <c r="E71" i="35"/>
  <c r="E76" i="35"/>
  <c r="C83" i="35"/>
  <c r="E88" i="35"/>
  <c r="E93" i="35"/>
  <c r="C99" i="35"/>
  <c r="E104" i="35"/>
  <c r="E109" i="35"/>
  <c r="C115" i="35"/>
  <c r="E121" i="35"/>
  <c r="E126" i="35"/>
  <c r="G126" i="35" s="1"/>
  <c r="C132" i="35"/>
  <c r="E137" i="35"/>
  <c r="E142" i="35"/>
  <c r="C148" i="35"/>
  <c r="E153" i="35"/>
  <c r="E158" i="35"/>
  <c r="C164" i="35"/>
  <c r="E169" i="35"/>
  <c r="E174" i="35"/>
  <c r="C180" i="35"/>
  <c r="G180" i="35" s="1"/>
  <c r="E185" i="35"/>
  <c r="E190" i="35"/>
  <c r="C196" i="35"/>
  <c r="E201" i="35"/>
  <c r="E206" i="35"/>
  <c r="C212" i="35"/>
  <c r="E217" i="35"/>
  <c r="E222" i="35"/>
  <c r="G222" i="35" s="1"/>
  <c r="C228" i="35"/>
  <c r="E233" i="35"/>
  <c r="E238" i="35"/>
  <c r="C244" i="35"/>
  <c r="E249" i="35"/>
  <c r="G249" i="35" s="1"/>
  <c r="E254" i="35"/>
  <c r="G254" i="35" s="1"/>
  <c r="C251" i="34"/>
  <c r="E245" i="34"/>
  <c r="E240" i="34"/>
  <c r="C235" i="34"/>
  <c r="E229" i="34"/>
  <c r="E224" i="34"/>
  <c r="C219" i="34"/>
  <c r="E213" i="34"/>
  <c r="E208" i="34"/>
  <c r="C203" i="34"/>
  <c r="E197" i="34"/>
  <c r="E192" i="34"/>
  <c r="C187" i="34"/>
  <c r="E181" i="34"/>
  <c r="E176" i="34"/>
  <c r="C171" i="34"/>
  <c r="E165" i="34"/>
  <c r="E160" i="34"/>
  <c r="C155" i="34"/>
  <c r="E149" i="34"/>
  <c r="E144" i="34"/>
  <c r="C139" i="34"/>
  <c r="E133" i="34"/>
  <c r="E128" i="34"/>
  <c r="C123" i="34"/>
  <c r="E116" i="34"/>
  <c r="E111" i="34"/>
  <c r="C106" i="34"/>
  <c r="E100" i="34"/>
  <c r="E95" i="34"/>
  <c r="C90" i="34"/>
  <c r="E84" i="34"/>
  <c r="E79" i="34"/>
  <c r="C73" i="34"/>
  <c r="E67" i="34"/>
  <c r="E62" i="34"/>
  <c r="C57" i="34"/>
  <c r="E51" i="34"/>
  <c r="E46" i="34"/>
  <c r="C41" i="34"/>
  <c r="E35" i="34"/>
  <c r="E30" i="34"/>
  <c r="C25" i="34"/>
  <c r="E19" i="34"/>
  <c r="E14" i="34"/>
  <c r="C9" i="34"/>
  <c r="E244" i="34"/>
  <c r="C239" i="34"/>
  <c r="E228" i="34"/>
  <c r="C223" i="34"/>
  <c r="E212" i="34"/>
  <c r="E201" i="34"/>
  <c r="C191" i="34"/>
  <c r="E180" i="34"/>
  <c r="C175" i="34"/>
  <c r="E164" i="34"/>
  <c r="E153" i="34"/>
  <c r="C143" i="34"/>
  <c r="E137" i="34"/>
  <c r="C127" i="34"/>
  <c r="E115" i="34"/>
  <c r="E104" i="34"/>
  <c r="E99" i="34"/>
  <c r="E83" i="34"/>
  <c r="E71" i="34"/>
  <c r="C61" i="34"/>
  <c r="E55" i="34"/>
  <c r="C45" i="34"/>
  <c r="E34" i="34"/>
  <c r="C245" i="34"/>
  <c r="C240" i="34"/>
  <c r="E234" i="34"/>
  <c r="C229" i="34"/>
  <c r="C224" i="34"/>
  <c r="E218" i="34"/>
  <c r="C213" i="34"/>
  <c r="C208" i="34"/>
  <c r="E202" i="34"/>
  <c r="C197" i="34"/>
  <c r="C192" i="34"/>
  <c r="E186" i="34"/>
  <c r="C181" i="34"/>
  <c r="C176" i="34"/>
  <c r="E170" i="34"/>
  <c r="C165" i="34"/>
  <c r="C160" i="34"/>
  <c r="E154" i="34"/>
  <c r="C149" i="34"/>
  <c r="C144" i="34"/>
  <c r="E138" i="34"/>
  <c r="C133" i="34"/>
  <c r="C128" i="34"/>
  <c r="E122" i="34"/>
  <c r="C116" i="34"/>
  <c r="C111" i="34"/>
  <c r="E105" i="34"/>
  <c r="C100" i="34"/>
  <c r="C95" i="34"/>
  <c r="E89" i="34"/>
  <c r="C84" i="34"/>
  <c r="C79" i="34"/>
  <c r="E72" i="34"/>
  <c r="C67" i="34"/>
  <c r="C62" i="34"/>
  <c r="E56" i="34"/>
  <c r="C51" i="34"/>
  <c r="C46" i="34"/>
  <c r="E40" i="34"/>
  <c r="C35" i="34"/>
  <c r="C30" i="34"/>
  <c r="E24" i="34"/>
  <c r="C19" i="34"/>
  <c r="C14" i="34"/>
  <c r="E8" i="34"/>
  <c r="E249" i="34"/>
  <c r="E233" i="34"/>
  <c r="E217" i="34"/>
  <c r="C207" i="34"/>
  <c r="E196" i="34"/>
  <c r="E185" i="34"/>
  <c r="E169" i="34"/>
  <c r="C159" i="34"/>
  <c r="E148" i="34"/>
  <c r="E132" i="34"/>
  <c r="E121" i="34"/>
  <c r="C110" i="34"/>
  <c r="C94" i="34"/>
  <c r="E88" i="34"/>
  <c r="C77" i="34"/>
  <c r="E66" i="34"/>
  <c r="E50" i="34"/>
  <c r="E39" i="34"/>
  <c r="C29" i="34"/>
  <c r="E248" i="34"/>
  <c r="C241" i="34"/>
  <c r="C232" i="34"/>
  <c r="E222" i="34"/>
  <c r="C215" i="34"/>
  <c r="E205" i="34"/>
  <c r="E198" i="34"/>
  <c r="C189" i="34"/>
  <c r="C180" i="34"/>
  <c r="G180" i="34" s="1"/>
  <c r="E172" i="34"/>
  <c r="C163" i="34"/>
  <c r="C156" i="34"/>
  <c r="G156" i="34" s="1"/>
  <c r="E146" i="34"/>
  <c r="C137" i="34"/>
  <c r="G137" i="34" s="1"/>
  <c r="E129" i="34"/>
  <c r="E119" i="34"/>
  <c r="C112" i="34"/>
  <c r="C103" i="34"/>
  <c r="E93" i="34"/>
  <c r="C86" i="34"/>
  <c r="E75" i="34"/>
  <c r="E68" i="34"/>
  <c r="C59" i="34"/>
  <c r="C50" i="34"/>
  <c r="E42" i="34"/>
  <c r="C33" i="34"/>
  <c r="C26" i="34"/>
  <c r="C18" i="34"/>
  <c r="G18" i="34" s="1"/>
  <c r="C11" i="34"/>
  <c r="C248" i="34"/>
  <c r="E238" i="34"/>
  <c r="C231" i="34"/>
  <c r="E221" i="34"/>
  <c r="E214" i="34"/>
  <c r="C205" i="34"/>
  <c r="C196" i="34"/>
  <c r="E188" i="34"/>
  <c r="C179" i="34"/>
  <c r="C172" i="34"/>
  <c r="E162" i="34"/>
  <c r="C153" i="34"/>
  <c r="E145" i="34"/>
  <c r="E136" i="34"/>
  <c r="C129" i="34"/>
  <c r="C119" i="34"/>
  <c r="E109" i="34"/>
  <c r="C102" i="34"/>
  <c r="E92" i="34"/>
  <c r="E85" i="34"/>
  <c r="C75" i="34"/>
  <c r="C66" i="34"/>
  <c r="E58" i="34"/>
  <c r="C49" i="34"/>
  <c r="C42" i="34"/>
  <c r="E32" i="34"/>
  <c r="E23" i="34"/>
  <c r="C17" i="34"/>
  <c r="E10" i="34"/>
  <c r="C177" i="34"/>
  <c r="C125" i="34"/>
  <c r="C71" i="34"/>
  <c r="C47" i="34"/>
  <c r="E28" i="34"/>
  <c r="C15" i="34"/>
  <c r="E254" i="34"/>
  <c r="C247" i="34"/>
  <c r="E237" i="34"/>
  <c r="E230" i="34"/>
  <c r="C221" i="34"/>
  <c r="C212" i="34"/>
  <c r="G212" i="34" s="1"/>
  <c r="E204" i="34"/>
  <c r="C195" i="34"/>
  <c r="C188" i="34"/>
  <c r="E178" i="34"/>
  <c r="C169" i="34"/>
  <c r="E161" i="34"/>
  <c r="E152" i="34"/>
  <c r="C145" i="34"/>
  <c r="C136" i="34"/>
  <c r="E126" i="34"/>
  <c r="C118" i="34"/>
  <c r="E108" i="34"/>
  <c r="E101" i="34"/>
  <c r="C92" i="34"/>
  <c r="C83" i="34"/>
  <c r="E74" i="34"/>
  <c r="C65" i="34"/>
  <c r="C58" i="34"/>
  <c r="E48" i="34"/>
  <c r="C39" i="34"/>
  <c r="E31" i="34"/>
  <c r="C23" i="34"/>
  <c r="E16" i="34"/>
  <c r="C10" i="34"/>
  <c r="E253" i="34"/>
  <c r="E246" i="34"/>
  <c r="C237" i="34"/>
  <c r="C228" i="34"/>
  <c r="E220" i="34"/>
  <c r="C211" i="34"/>
  <c r="C204" i="34"/>
  <c r="E194" i="34"/>
  <c r="C185" i="34"/>
  <c r="E177" i="34"/>
  <c r="E168" i="34"/>
  <c r="C161" i="34"/>
  <c r="C152" i="34"/>
  <c r="E142" i="34"/>
  <c r="C135" i="34"/>
  <c r="E125" i="34"/>
  <c r="E117" i="34"/>
  <c r="C108" i="34"/>
  <c r="C99" i="34"/>
  <c r="E91" i="34"/>
  <c r="C82" i="34"/>
  <c r="C74" i="34"/>
  <c r="E64" i="34"/>
  <c r="C55" i="34"/>
  <c r="G55" i="34" s="1"/>
  <c r="E47" i="34"/>
  <c r="E38" i="34"/>
  <c r="C31" i="34"/>
  <c r="E22" i="34"/>
  <c r="E15" i="34"/>
  <c r="E7" i="34"/>
  <c r="C253" i="34"/>
  <c r="C244" i="34"/>
  <c r="E236" i="34"/>
  <c r="C227" i="34"/>
  <c r="C220" i="34"/>
  <c r="E210" i="34"/>
  <c r="C201" i="34"/>
  <c r="E193" i="34"/>
  <c r="E184" i="34"/>
  <c r="C168" i="34"/>
  <c r="E158" i="34"/>
  <c r="C151" i="34"/>
  <c r="E141" i="34"/>
  <c r="E134" i="34"/>
  <c r="C115" i="34"/>
  <c r="E107" i="34"/>
  <c r="G107" i="34" s="1"/>
  <c r="C98" i="34"/>
  <c r="C91" i="34"/>
  <c r="E81" i="34"/>
  <c r="E63" i="34"/>
  <c r="G63" i="34" s="1"/>
  <c r="E54" i="34"/>
  <c r="C38" i="34"/>
  <c r="C22" i="34"/>
  <c r="C7" i="34"/>
  <c r="G7" i="34" s="1"/>
  <c r="C43" i="34"/>
  <c r="E87" i="34"/>
  <c r="G87" i="34" s="1"/>
  <c r="C132" i="34"/>
  <c r="G132" i="34" s="1"/>
  <c r="E182" i="34"/>
  <c r="C249" i="34"/>
  <c r="E43" i="34"/>
  <c r="E113" i="34"/>
  <c r="C252" i="34"/>
  <c r="E26" i="34"/>
  <c r="C70" i="34"/>
  <c r="C96" i="34"/>
  <c r="E140" i="34"/>
  <c r="C164" i="34"/>
  <c r="C184" i="34"/>
  <c r="C209" i="34"/>
  <c r="E232" i="34"/>
  <c r="E112" i="34"/>
  <c r="C157" i="34"/>
  <c r="G157" i="34" s="1"/>
  <c r="E200" i="34"/>
  <c r="G200" i="34" s="1"/>
  <c r="E225" i="34"/>
  <c r="C21" i="34"/>
  <c r="C69" i="34"/>
  <c r="C88" i="34"/>
  <c r="G88" i="34" s="1"/>
  <c r="C140" i="34"/>
  <c r="E157" i="34"/>
  <c r="C183" i="34"/>
  <c r="E206" i="34"/>
  <c r="E226" i="34"/>
  <c r="C6" i="34"/>
  <c r="E44" i="34"/>
  <c r="C114" i="34"/>
  <c r="E252" i="34"/>
  <c r="E6" i="34"/>
  <c r="C27" i="34"/>
  <c r="E52" i="34"/>
  <c r="E70" i="34"/>
  <c r="E96" i="34"/>
  <c r="C121" i="34"/>
  <c r="C141" i="34"/>
  <c r="G141" i="34" s="1"/>
  <c r="E166" i="34"/>
  <c r="E189" i="34"/>
  <c r="E209" i="34"/>
  <c r="C233" i="34"/>
  <c r="G233" i="34" s="1"/>
  <c r="G225" i="34"/>
  <c r="E20" i="34"/>
  <c r="E11" i="34"/>
  <c r="E27" i="34"/>
  <c r="C53" i="34"/>
  <c r="E76" i="34"/>
  <c r="E97" i="34"/>
  <c r="C124" i="34"/>
  <c r="C147" i="34"/>
  <c r="C167" i="34"/>
  <c r="E190" i="34"/>
  <c r="C216" i="34"/>
  <c r="C236" i="34"/>
  <c r="E12" i="34"/>
  <c r="C34" i="34"/>
  <c r="C54" i="34"/>
  <c r="C80" i="34"/>
  <c r="E103" i="34"/>
  <c r="E124" i="34"/>
  <c r="C148" i="34"/>
  <c r="C173" i="34"/>
  <c r="C193" i="34"/>
  <c r="E216" i="34"/>
  <c r="E241" i="34"/>
  <c r="E250" i="34"/>
  <c r="C13" i="34"/>
  <c r="E36" i="34"/>
  <c r="E59" i="34"/>
  <c r="E80" i="34"/>
  <c r="C104" i="34"/>
  <c r="E130" i="34"/>
  <c r="E150" i="34"/>
  <c r="E173" i="34"/>
  <c r="C199" i="34"/>
  <c r="C217" i="34"/>
  <c r="E242" i="34"/>
  <c r="E251" i="34"/>
  <c r="E247" i="34"/>
  <c r="E243" i="34"/>
  <c r="G243" i="34" s="1"/>
  <c r="E239" i="34"/>
  <c r="E235" i="34"/>
  <c r="E231" i="34"/>
  <c r="E227" i="34"/>
  <c r="E223" i="34"/>
  <c r="E219" i="34"/>
  <c r="E215" i="34"/>
  <c r="E211" i="34"/>
  <c r="E207" i="34"/>
  <c r="E203" i="34"/>
  <c r="E199" i="34"/>
  <c r="E195" i="34"/>
  <c r="E191" i="34"/>
  <c r="E187" i="34"/>
  <c r="E183" i="34"/>
  <c r="E179" i="34"/>
  <c r="E175" i="34"/>
  <c r="E171" i="34"/>
  <c r="E167" i="34"/>
  <c r="E163" i="34"/>
  <c r="E159" i="34"/>
  <c r="E155" i="34"/>
  <c r="E151" i="34"/>
  <c r="E147" i="34"/>
  <c r="E143" i="34"/>
  <c r="E139" i="34"/>
  <c r="E135" i="34"/>
  <c r="E131" i="34"/>
  <c r="G131" i="34" s="1"/>
  <c r="E127" i="34"/>
  <c r="E123" i="34"/>
  <c r="E118" i="34"/>
  <c r="E114" i="34"/>
  <c r="E110" i="34"/>
  <c r="E106" i="34"/>
  <c r="E102" i="34"/>
  <c r="E98" i="34"/>
  <c r="E94" i="34"/>
  <c r="E90" i="34"/>
  <c r="E86" i="34"/>
  <c r="E82" i="34"/>
  <c r="E77" i="34"/>
  <c r="E73" i="34"/>
  <c r="E69" i="34"/>
  <c r="E65" i="34"/>
  <c r="E61" i="34"/>
  <c r="E57" i="34"/>
  <c r="E53" i="34"/>
  <c r="E49" i="34"/>
  <c r="E45" i="34"/>
  <c r="E41" i="34"/>
  <c r="E37" i="34"/>
  <c r="G37" i="34" s="1"/>
  <c r="E33" i="34"/>
  <c r="E29" i="34"/>
  <c r="E25" i="34"/>
  <c r="E21" i="34"/>
  <c r="E17" i="34"/>
  <c r="E13" i="34"/>
  <c r="E9" i="34"/>
  <c r="C254" i="34"/>
  <c r="C250" i="34"/>
  <c r="C246" i="34"/>
  <c r="C242" i="34"/>
  <c r="C238" i="34"/>
  <c r="C234" i="34"/>
  <c r="C230" i="34"/>
  <c r="C226" i="34"/>
  <c r="C222" i="34"/>
  <c r="C218" i="34"/>
  <c r="C214" i="34"/>
  <c r="C210" i="34"/>
  <c r="C206" i="34"/>
  <c r="C202" i="34"/>
  <c r="G202" i="34" s="1"/>
  <c r="C198" i="34"/>
  <c r="C194" i="34"/>
  <c r="C190" i="34"/>
  <c r="C186" i="34"/>
  <c r="C182" i="34"/>
  <c r="C178" i="34"/>
  <c r="C174" i="34"/>
  <c r="G174" i="34" s="1"/>
  <c r="C170" i="34"/>
  <c r="C166" i="34"/>
  <c r="C162" i="34"/>
  <c r="C158" i="34"/>
  <c r="C154" i="34"/>
  <c r="C150" i="34"/>
  <c r="C146" i="34"/>
  <c r="C142" i="34"/>
  <c r="C138" i="34"/>
  <c r="G138" i="34" s="1"/>
  <c r="C134" i="34"/>
  <c r="C130" i="34"/>
  <c r="C126" i="34"/>
  <c r="C122" i="34"/>
  <c r="C117" i="34"/>
  <c r="C113" i="34"/>
  <c r="C109" i="34"/>
  <c r="C105" i="34"/>
  <c r="C101" i="34"/>
  <c r="C97" i="34"/>
  <c r="C93" i="34"/>
  <c r="C89" i="34"/>
  <c r="C85" i="34"/>
  <c r="C81" i="34"/>
  <c r="C76" i="34"/>
  <c r="G76" i="34" s="1"/>
  <c r="C72" i="34"/>
  <c r="G72" i="34" s="1"/>
  <c r="C68" i="34"/>
  <c r="C64" i="34"/>
  <c r="C60" i="34"/>
  <c r="G60" i="34" s="1"/>
  <c r="C56" i="34"/>
  <c r="C52" i="34"/>
  <c r="C48" i="34"/>
  <c r="C44" i="34"/>
  <c r="C40" i="34"/>
  <c r="C36" i="34"/>
  <c r="C32" i="34"/>
  <c r="C28" i="34"/>
  <c r="C24" i="34"/>
  <c r="C20" i="34"/>
  <c r="C16" i="34"/>
  <c r="C12" i="34"/>
  <c r="G12" i="34" s="1"/>
  <c r="C8" i="34"/>
  <c r="G8" i="34" s="1"/>
  <c r="E124" i="29"/>
  <c r="E175" i="29"/>
  <c r="E208" i="29"/>
  <c r="E16" i="29"/>
  <c r="C31" i="29"/>
  <c r="E91" i="29"/>
  <c r="C125" i="29"/>
  <c r="E143" i="29"/>
  <c r="E161" i="29"/>
  <c r="E176" i="29"/>
  <c r="C194" i="29"/>
  <c r="E227" i="29"/>
  <c r="E245" i="29"/>
  <c r="C17" i="29"/>
  <c r="C36" i="29"/>
  <c r="E68" i="29"/>
  <c r="C92" i="29"/>
  <c r="E110" i="29"/>
  <c r="E129" i="29"/>
  <c r="E144" i="29"/>
  <c r="C162" i="29"/>
  <c r="C181" i="29"/>
  <c r="E195" i="29"/>
  <c r="E213" i="29"/>
  <c r="E232" i="29"/>
  <c r="C246" i="29"/>
  <c r="E17" i="29"/>
  <c r="E36" i="29"/>
  <c r="C55" i="29"/>
  <c r="C69" i="29"/>
  <c r="E96" i="29"/>
  <c r="E111" i="29"/>
  <c r="C130" i="29"/>
  <c r="C149" i="29"/>
  <c r="E163" i="29"/>
  <c r="E181" i="29"/>
  <c r="E200" i="29"/>
  <c r="C214" i="29"/>
  <c r="C233" i="29"/>
  <c r="E251" i="29"/>
  <c r="C23" i="29"/>
  <c r="C37" i="29"/>
  <c r="C56" i="29"/>
  <c r="E104" i="29"/>
  <c r="G104" i="29" s="1"/>
  <c r="C157" i="29"/>
  <c r="C226" i="29"/>
  <c r="C68" i="29"/>
  <c r="E80" i="29"/>
  <c r="E75" i="29"/>
  <c r="E71" i="29"/>
  <c r="E67" i="29"/>
  <c r="E63" i="29"/>
  <c r="G63" i="29" s="1"/>
  <c r="E59" i="29"/>
  <c r="E55" i="29"/>
  <c r="E51" i="29"/>
  <c r="E47" i="29"/>
  <c r="E43" i="29"/>
  <c r="E39" i="29"/>
  <c r="E35" i="29"/>
  <c r="E31" i="29"/>
  <c r="E27" i="29"/>
  <c r="E23" i="29"/>
  <c r="E19" i="29"/>
  <c r="E15" i="29"/>
  <c r="E11" i="29"/>
  <c r="E7" i="29"/>
  <c r="C252" i="29"/>
  <c r="C248" i="29"/>
  <c r="C244" i="29"/>
  <c r="C240" i="29"/>
  <c r="G240" i="29" s="1"/>
  <c r="C236" i="29"/>
  <c r="C232" i="29"/>
  <c r="C228" i="29"/>
  <c r="C224" i="29"/>
  <c r="C220" i="29"/>
  <c r="C216" i="29"/>
  <c r="C212" i="29"/>
  <c r="C208" i="29"/>
  <c r="C204" i="29"/>
  <c r="C200" i="29"/>
  <c r="C196" i="29"/>
  <c r="C192" i="29"/>
  <c r="C188" i="29"/>
  <c r="C184" i="29"/>
  <c r="C180" i="29"/>
  <c r="C176" i="29"/>
  <c r="C172" i="29"/>
  <c r="C168" i="29"/>
  <c r="C164" i="29"/>
  <c r="C160" i="29"/>
  <c r="C156" i="29"/>
  <c r="G156" i="29" s="1"/>
  <c r="C152" i="29"/>
  <c r="C148" i="29"/>
  <c r="C144" i="29"/>
  <c r="C140" i="29"/>
  <c r="C136" i="29"/>
  <c r="C132" i="29"/>
  <c r="C128" i="29"/>
  <c r="C124" i="29"/>
  <c r="C119" i="29"/>
  <c r="C115" i="29"/>
  <c r="C111" i="29"/>
  <c r="C107" i="29"/>
  <c r="C103" i="29"/>
  <c r="C99" i="29"/>
  <c r="C95" i="29"/>
  <c r="C91" i="29"/>
  <c r="C87" i="29"/>
  <c r="C83" i="29"/>
  <c r="E79" i="29"/>
  <c r="E74" i="29"/>
  <c r="E70" i="29"/>
  <c r="E66" i="29"/>
  <c r="E62" i="29"/>
  <c r="E58" i="29"/>
  <c r="E54" i="29"/>
  <c r="E50" i="29"/>
  <c r="E46" i="29"/>
  <c r="E42" i="29"/>
  <c r="E38" i="29"/>
  <c r="E34" i="29"/>
  <c r="E30" i="29"/>
  <c r="E26" i="29"/>
  <c r="E22" i="29"/>
  <c r="E18" i="29"/>
  <c r="E14" i="29"/>
  <c r="E10" i="29"/>
  <c r="E6" i="29"/>
  <c r="C251" i="29"/>
  <c r="C247" i="29"/>
  <c r="C243" i="29"/>
  <c r="C239" i="29"/>
  <c r="C235" i="29"/>
  <c r="C231" i="29"/>
  <c r="C227" i="29"/>
  <c r="C223" i="29"/>
  <c r="C219" i="29"/>
  <c r="C215" i="29"/>
  <c r="C211" i="29"/>
  <c r="C207" i="29"/>
  <c r="G207" i="29" s="1"/>
  <c r="C203" i="29"/>
  <c r="C199" i="29"/>
  <c r="C195" i="29"/>
  <c r="C191" i="29"/>
  <c r="C187" i="29"/>
  <c r="C183" i="29"/>
  <c r="C179" i="29"/>
  <c r="C175" i="29"/>
  <c r="C171" i="29"/>
  <c r="C167" i="29"/>
  <c r="C163" i="29"/>
  <c r="C159" i="29"/>
  <c r="C155" i="29"/>
  <c r="C151" i="29"/>
  <c r="C147" i="29"/>
  <c r="C143" i="29"/>
  <c r="C139" i="29"/>
  <c r="C135" i="29"/>
  <c r="C131" i="29"/>
  <c r="C127" i="29"/>
  <c r="C123" i="29"/>
  <c r="G123" i="29" s="1"/>
  <c r="C118" i="29"/>
  <c r="C114" i="29"/>
  <c r="C110" i="29"/>
  <c r="C106" i="29"/>
  <c r="C102" i="29"/>
  <c r="C98" i="29"/>
  <c r="C94" i="29"/>
  <c r="C90" i="29"/>
  <c r="C86" i="29"/>
  <c r="C82" i="29"/>
  <c r="C79" i="29"/>
  <c r="C74" i="29"/>
  <c r="C70" i="29"/>
  <c r="C66" i="29"/>
  <c r="C62" i="29"/>
  <c r="C58" i="29"/>
  <c r="C54" i="29"/>
  <c r="C50" i="29"/>
  <c r="C46" i="29"/>
  <c r="C42" i="29"/>
  <c r="C38" i="29"/>
  <c r="C34" i="29"/>
  <c r="C30" i="29"/>
  <c r="C26" i="29"/>
  <c r="C22" i="29"/>
  <c r="C18" i="29"/>
  <c r="C14" i="29"/>
  <c r="C10" i="29"/>
  <c r="C6" i="29"/>
  <c r="E254" i="29"/>
  <c r="E250" i="29"/>
  <c r="E246" i="29"/>
  <c r="E242" i="29"/>
  <c r="E238" i="29"/>
  <c r="E234" i="29"/>
  <c r="E230" i="29"/>
  <c r="E226" i="29"/>
  <c r="E222" i="29"/>
  <c r="E218" i="29"/>
  <c r="E214" i="29"/>
  <c r="E210" i="29"/>
  <c r="E206" i="29"/>
  <c r="E202" i="29"/>
  <c r="E198" i="29"/>
  <c r="E194" i="29"/>
  <c r="E190" i="29"/>
  <c r="E186" i="29"/>
  <c r="E182" i="29"/>
  <c r="E178" i="29"/>
  <c r="E174" i="29"/>
  <c r="G174" i="29" s="1"/>
  <c r="E170" i="29"/>
  <c r="E166" i="29"/>
  <c r="E162" i="29"/>
  <c r="E158" i="29"/>
  <c r="E154" i="29"/>
  <c r="E150" i="29"/>
  <c r="E146" i="29"/>
  <c r="E142" i="29"/>
  <c r="E138" i="29"/>
  <c r="E134" i="29"/>
  <c r="E130" i="29"/>
  <c r="E126" i="29"/>
  <c r="E122" i="29"/>
  <c r="E117" i="29"/>
  <c r="E113" i="29"/>
  <c r="E109" i="29"/>
  <c r="E105" i="29"/>
  <c r="E101" i="29"/>
  <c r="E97" i="29"/>
  <c r="E93" i="29"/>
  <c r="E89" i="29"/>
  <c r="E85" i="29"/>
  <c r="G85" i="29" s="1"/>
  <c r="E81" i="29"/>
  <c r="C73" i="29"/>
  <c r="G73" i="29" s="1"/>
  <c r="C67" i="29"/>
  <c r="E60" i="29"/>
  <c r="E53" i="29"/>
  <c r="C48" i="29"/>
  <c r="G48" i="29" s="1"/>
  <c r="C41" i="29"/>
  <c r="C35" i="29"/>
  <c r="E28" i="29"/>
  <c r="E21" i="29"/>
  <c r="C16" i="29"/>
  <c r="G16" i="29" s="1"/>
  <c r="C9" i="29"/>
  <c r="C250" i="29"/>
  <c r="E244" i="29"/>
  <c r="E237" i="29"/>
  <c r="E231" i="29"/>
  <c r="C225" i="29"/>
  <c r="G225" i="29" s="1"/>
  <c r="C218" i="29"/>
  <c r="E212" i="29"/>
  <c r="E205" i="29"/>
  <c r="E199" i="29"/>
  <c r="C193" i="29"/>
  <c r="C186" i="29"/>
  <c r="G186" i="29" s="1"/>
  <c r="E180" i="29"/>
  <c r="E173" i="29"/>
  <c r="E167" i="29"/>
  <c r="C161" i="29"/>
  <c r="C154" i="29"/>
  <c r="E148" i="29"/>
  <c r="E141" i="29"/>
  <c r="E135" i="29"/>
  <c r="C129" i="29"/>
  <c r="C122" i="29"/>
  <c r="E115" i="29"/>
  <c r="E108" i="29"/>
  <c r="E102" i="29"/>
  <c r="C96" i="29"/>
  <c r="C89" i="29"/>
  <c r="E83" i="29"/>
  <c r="E77" i="29"/>
  <c r="C72" i="29"/>
  <c r="C65" i="29"/>
  <c r="C59" i="29"/>
  <c r="E52" i="29"/>
  <c r="E45" i="29"/>
  <c r="C40" i="29"/>
  <c r="C33" i="29"/>
  <c r="C27" i="29"/>
  <c r="E20" i="29"/>
  <c r="E13" i="29"/>
  <c r="C8" i="29"/>
  <c r="C249" i="29"/>
  <c r="C242" i="29"/>
  <c r="E236" i="29"/>
  <c r="E229" i="29"/>
  <c r="E223" i="29"/>
  <c r="C210" i="29"/>
  <c r="G210" i="29" s="1"/>
  <c r="E204" i="29"/>
  <c r="E197" i="29"/>
  <c r="E191" i="29"/>
  <c r="C185" i="29"/>
  <c r="C178" i="29"/>
  <c r="E172" i="29"/>
  <c r="E159" i="29"/>
  <c r="C146" i="29"/>
  <c r="G146" i="29" s="1"/>
  <c r="E133" i="29"/>
  <c r="C121" i="29"/>
  <c r="E107" i="29"/>
  <c r="E94" i="29"/>
  <c r="C81" i="29"/>
  <c r="C80" i="29"/>
  <c r="G80" i="29" s="1"/>
  <c r="E72" i="29"/>
  <c r="E65" i="29"/>
  <c r="C60" i="29"/>
  <c r="C53" i="29"/>
  <c r="C47" i="29"/>
  <c r="E40" i="29"/>
  <c r="E33" i="29"/>
  <c r="C28" i="29"/>
  <c r="C21" i="29"/>
  <c r="C15" i="29"/>
  <c r="E8" i="29"/>
  <c r="E249" i="29"/>
  <c r="E243" i="29"/>
  <c r="C237" i="29"/>
  <c r="C230" i="29"/>
  <c r="E224" i="29"/>
  <c r="E217" i="29"/>
  <c r="E211" i="29"/>
  <c r="C205" i="29"/>
  <c r="C198" i="29"/>
  <c r="E192" i="29"/>
  <c r="E185" i="29"/>
  <c r="E179" i="29"/>
  <c r="C173" i="29"/>
  <c r="C166" i="29"/>
  <c r="E160" i="29"/>
  <c r="E153" i="29"/>
  <c r="E147" i="29"/>
  <c r="C141" i="29"/>
  <c r="C134" i="29"/>
  <c r="E128" i="29"/>
  <c r="E121" i="29"/>
  <c r="E114" i="29"/>
  <c r="C108" i="29"/>
  <c r="C101" i="29"/>
  <c r="E95" i="29"/>
  <c r="E88" i="29"/>
  <c r="E82" i="29"/>
  <c r="C217" i="29"/>
  <c r="E165" i="29"/>
  <c r="C153" i="29"/>
  <c r="E140" i="29"/>
  <c r="E127" i="29"/>
  <c r="C113" i="29"/>
  <c r="E100" i="29"/>
  <c r="C88" i="29"/>
  <c r="C77" i="29"/>
  <c r="C71" i="29"/>
  <c r="E64" i="29"/>
  <c r="E57" i="29"/>
  <c r="C52" i="29"/>
  <c r="C45" i="29"/>
  <c r="C39" i="29"/>
  <c r="E32" i="29"/>
  <c r="E25" i="29"/>
  <c r="C20" i="29"/>
  <c r="C13" i="29"/>
  <c r="C7" i="29"/>
  <c r="G7" i="29" s="1"/>
  <c r="C254" i="29"/>
  <c r="E248" i="29"/>
  <c r="E241" i="29"/>
  <c r="E235" i="29"/>
  <c r="C229" i="29"/>
  <c r="C222" i="29"/>
  <c r="E216" i="29"/>
  <c r="E209" i="29"/>
  <c r="E203" i="29"/>
  <c r="C197" i="29"/>
  <c r="G197" i="29" s="1"/>
  <c r="C190" i="29"/>
  <c r="E184" i="29"/>
  <c r="E177" i="29"/>
  <c r="E171" i="29"/>
  <c r="C165" i="29"/>
  <c r="C158" i="29"/>
  <c r="E152" i="29"/>
  <c r="E145" i="29"/>
  <c r="E139" i="29"/>
  <c r="C133" i="29"/>
  <c r="C126" i="29"/>
  <c r="G126" i="29" s="1"/>
  <c r="E119" i="29"/>
  <c r="E112" i="29"/>
  <c r="E106" i="29"/>
  <c r="C100" i="29"/>
  <c r="C93" i="29"/>
  <c r="E87" i="29"/>
  <c r="E76" i="29"/>
  <c r="E69" i="29"/>
  <c r="C64" i="29"/>
  <c r="C57" i="29"/>
  <c r="C51" i="29"/>
  <c r="E44" i="29"/>
  <c r="E37" i="29"/>
  <c r="C32" i="29"/>
  <c r="C25" i="29"/>
  <c r="C19" i="29"/>
  <c r="G19" i="29" s="1"/>
  <c r="E12" i="29"/>
  <c r="G12" i="29" s="1"/>
  <c r="E253" i="29"/>
  <c r="E247" i="29"/>
  <c r="C241" i="29"/>
  <c r="C234" i="29"/>
  <c r="G234" i="29" s="1"/>
  <c r="E228" i="29"/>
  <c r="E221" i="29"/>
  <c r="E215" i="29"/>
  <c r="C209" i="29"/>
  <c r="C202" i="29"/>
  <c r="E196" i="29"/>
  <c r="E189" i="29"/>
  <c r="G189" i="29" s="1"/>
  <c r="E183" i="29"/>
  <c r="C177" i="29"/>
  <c r="C170" i="29"/>
  <c r="E164" i="29"/>
  <c r="E157" i="29"/>
  <c r="E151" i="29"/>
  <c r="C145" i="29"/>
  <c r="C138" i="29"/>
  <c r="E132" i="29"/>
  <c r="E125" i="29"/>
  <c r="E118" i="29"/>
  <c r="C112" i="29"/>
  <c r="C105" i="29"/>
  <c r="E99" i="29"/>
  <c r="E92" i="29"/>
  <c r="E86" i="29"/>
  <c r="C109" i="29"/>
  <c r="E49" i="29"/>
  <c r="G49" i="29" s="1"/>
  <c r="C97" i="29"/>
  <c r="G97" i="29" s="1"/>
  <c r="C116" i="29"/>
  <c r="E131" i="29"/>
  <c r="E149" i="29"/>
  <c r="E168" i="29"/>
  <c r="C182" i="29"/>
  <c r="G182" i="29" s="1"/>
  <c r="C201" i="29"/>
  <c r="E219" i="29"/>
  <c r="E233" i="29"/>
  <c r="E252" i="29"/>
  <c r="C24" i="29"/>
  <c r="E41" i="29"/>
  <c r="E56" i="29"/>
  <c r="C75" i="29"/>
  <c r="G75" i="29" s="1"/>
  <c r="C84" i="29"/>
  <c r="E98" i="29"/>
  <c r="E116" i="29"/>
  <c r="E136" i="29"/>
  <c r="C150" i="29"/>
  <c r="C169" i="29"/>
  <c r="E187" i="29"/>
  <c r="E201" i="29"/>
  <c r="E220" i="29"/>
  <c r="C238" i="29"/>
  <c r="C253" i="29"/>
  <c r="E9" i="29"/>
  <c r="E24" i="29"/>
  <c r="C43" i="29"/>
  <c r="G43" i="29" s="1"/>
  <c r="C61" i="29"/>
  <c r="C76" i="29"/>
  <c r="E90" i="29"/>
  <c r="C142" i="29"/>
  <c r="E193" i="29"/>
  <c r="C245" i="29"/>
  <c r="C213" i="29"/>
  <c r="E84" i="29"/>
  <c r="E103" i="29"/>
  <c r="C117" i="29"/>
  <c r="G117" i="29" s="1"/>
  <c r="O61" i="18" s="1"/>
  <c r="AA7" i="44" s="1"/>
  <c r="C137" i="29"/>
  <c r="G137" i="29" s="1"/>
  <c r="E155" i="29"/>
  <c r="E169" i="29"/>
  <c r="E188" i="29"/>
  <c r="C206" i="29"/>
  <c r="C221" i="29"/>
  <c r="E239" i="29"/>
  <c r="C11" i="29"/>
  <c r="G11" i="29" s="1"/>
  <c r="C29" i="29"/>
  <c r="G29" i="29" s="1"/>
  <c r="C44" i="29"/>
  <c r="E61" i="29"/>
  <c r="C99" i="14"/>
  <c r="E99" i="14"/>
  <c r="C44" i="14"/>
  <c r="G44" i="14" s="1"/>
  <c r="C44" i="13"/>
  <c r="F6" i="16"/>
  <c r="F178" i="16" s="1"/>
  <c r="E44" i="13"/>
  <c r="E99" i="13"/>
  <c r="G99" i="13" s="1"/>
  <c r="P43" i="18" s="1"/>
  <c r="F31" i="16"/>
  <c r="E99" i="12"/>
  <c r="G99" i="12" s="1"/>
  <c r="Q43" i="18" s="1"/>
  <c r="F6" i="15"/>
  <c r="F172" i="15" s="1"/>
  <c r="G44" i="12"/>
  <c r="Q18" i="18" s="1"/>
  <c r="F7" i="11"/>
  <c r="F163" i="11" s="1"/>
  <c r="F31" i="11"/>
  <c r="G99" i="1"/>
  <c r="R43" i="18" s="1"/>
  <c r="C44" i="1"/>
  <c r="G44" i="1" s="1"/>
  <c r="R18" i="18" s="1"/>
  <c r="C99" i="22"/>
  <c r="E99" i="22"/>
  <c r="G59" i="36" l="1"/>
  <c r="G209" i="36"/>
  <c r="G170" i="36"/>
  <c r="G201" i="36"/>
  <c r="AF7" i="39"/>
  <c r="F46" i="46"/>
  <c r="F47" i="46" s="1"/>
  <c r="G122" i="36"/>
  <c r="G219" i="35"/>
  <c r="G109" i="34"/>
  <c r="G16" i="34"/>
  <c r="G146" i="34"/>
  <c r="G166" i="36"/>
  <c r="G218" i="36"/>
  <c r="G181" i="36"/>
  <c r="G141" i="36"/>
  <c r="G100" i="36"/>
  <c r="G104" i="36"/>
  <c r="G211" i="36"/>
  <c r="G236" i="36"/>
  <c r="G138" i="36"/>
  <c r="G204" i="36"/>
  <c r="G26" i="36"/>
  <c r="G251" i="36"/>
  <c r="G101" i="36"/>
  <c r="G175" i="36"/>
  <c r="G23" i="36"/>
  <c r="G78" i="22"/>
  <c r="G120" i="22"/>
  <c r="G70" i="29"/>
  <c r="G44" i="29"/>
  <c r="O18" i="18" s="1"/>
  <c r="M7" i="44" s="1"/>
  <c r="G142" i="29"/>
  <c r="G238" i="29"/>
  <c r="G39" i="29"/>
  <c r="G249" i="29"/>
  <c r="G106" i="29"/>
  <c r="G180" i="29"/>
  <c r="G212" i="29"/>
  <c r="G113" i="29"/>
  <c r="G110" i="29"/>
  <c r="G22" i="29"/>
  <c r="G54" i="29"/>
  <c r="G164" i="35"/>
  <c r="G237" i="35"/>
  <c r="G34" i="35"/>
  <c r="G65" i="35"/>
  <c r="G195" i="35"/>
  <c r="G50" i="35"/>
  <c r="G250" i="35"/>
  <c r="G148" i="34"/>
  <c r="G152" i="34"/>
  <c r="G184" i="34"/>
  <c r="G75" i="34"/>
  <c r="G33" i="34"/>
  <c r="G241" i="34"/>
  <c r="G67" i="34"/>
  <c r="G111" i="34"/>
  <c r="G197" i="34"/>
  <c r="G240" i="34"/>
  <c r="G90" i="34"/>
  <c r="G219" i="34"/>
  <c r="G117" i="34"/>
  <c r="N61" i="18" s="1"/>
  <c r="AA7" i="42" s="1"/>
  <c r="G216" i="34"/>
  <c r="G89" i="34"/>
  <c r="V7" i="42" s="1"/>
  <c r="G80" i="34"/>
  <c r="G188" i="34"/>
  <c r="G30" i="34"/>
  <c r="G116" i="34"/>
  <c r="G160" i="34"/>
  <c r="G245" i="34"/>
  <c r="G218" i="34"/>
  <c r="G114" i="34"/>
  <c r="G66" i="34"/>
  <c r="G28" i="34"/>
  <c r="G158" i="34"/>
  <c r="G32" i="34"/>
  <c r="G64" i="34"/>
  <c r="G97" i="34"/>
  <c r="G68" i="34"/>
  <c r="G101" i="34"/>
  <c r="G50" i="34"/>
  <c r="G57" i="29"/>
  <c r="G209" i="29"/>
  <c r="G20" i="29"/>
  <c r="G71" i="29"/>
  <c r="G173" i="29"/>
  <c r="G28" i="29"/>
  <c r="G30" i="29"/>
  <c r="G62" i="29"/>
  <c r="G232" i="29"/>
  <c r="G178" i="29"/>
  <c r="G163" i="29"/>
  <c r="G129" i="29"/>
  <c r="G245" i="29"/>
  <c r="G81" i="29"/>
  <c r="G253" i="29"/>
  <c r="G170" i="29"/>
  <c r="G133" i="29"/>
  <c r="G88" i="29"/>
  <c r="G134" i="29"/>
  <c r="G242" i="29"/>
  <c r="G102" i="29"/>
  <c r="G167" i="29"/>
  <c r="G231" i="29"/>
  <c r="G144" i="29"/>
  <c r="G214" i="29"/>
  <c r="G181" i="29"/>
  <c r="G17" i="29"/>
  <c r="G84" i="36"/>
  <c r="G19" i="36"/>
  <c r="G16" i="36"/>
  <c r="G232" i="36"/>
  <c r="G70" i="36"/>
  <c r="D27" i="18" s="1"/>
  <c r="P7" i="39" s="1"/>
  <c r="G219" i="36"/>
  <c r="G199" i="36"/>
  <c r="G207" i="36"/>
  <c r="G43" i="35"/>
  <c r="G57" i="35"/>
  <c r="G148" i="35"/>
  <c r="G64" i="35"/>
  <c r="G202" i="35"/>
  <c r="G80" i="35"/>
  <c r="G123" i="35"/>
  <c r="G16" i="35"/>
  <c r="G184" i="35"/>
  <c r="G242" i="35"/>
  <c r="G49" i="35"/>
  <c r="G179" i="35"/>
  <c r="G211" i="35"/>
  <c r="G137" i="35"/>
  <c r="G13" i="35"/>
  <c r="G251" i="35"/>
  <c r="G72" i="35"/>
  <c r="G227" i="34"/>
  <c r="G58" i="34"/>
  <c r="G195" i="34"/>
  <c r="G189" i="34"/>
  <c r="G29" i="34"/>
  <c r="G35" i="34"/>
  <c r="G79" i="34"/>
  <c r="G165" i="34"/>
  <c r="G208" i="34"/>
  <c r="G191" i="34"/>
  <c r="G161" i="34"/>
  <c r="K14" i="42" s="1"/>
  <c r="E14" i="42" s="1"/>
  <c r="G166" i="34"/>
  <c r="G142" i="34"/>
  <c r="G230" i="34"/>
  <c r="G228" i="34"/>
  <c r="G222" i="34"/>
  <c r="G236" i="34"/>
  <c r="G21" i="34"/>
  <c r="G108" i="34"/>
  <c r="G15" i="34"/>
  <c r="G57" i="34"/>
  <c r="G187" i="34"/>
  <c r="G20" i="34"/>
  <c r="G85" i="34"/>
  <c r="G150" i="34"/>
  <c r="G214" i="34"/>
  <c r="G104" i="34"/>
  <c r="G96" i="34"/>
  <c r="G185" i="34"/>
  <c r="G65" i="34"/>
  <c r="G136" i="34"/>
  <c r="G172" i="34"/>
  <c r="G84" i="34"/>
  <c r="G128" i="34"/>
  <c r="G213" i="34"/>
  <c r="G45" i="34"/>
  <c r="G105" i="34"/>
  <c r="G234" i="34"/>
  <c r="G147" i="34"/>
  <c r="G164" i="34"/>
  <c r="G54" i="34"/>
  <c r="G42" i="34"/>
  <c r="G179" i="34"/>
  <c r="G248" i="34"/>
  <c r="G155" i="34"/>
  <c r="G103" i="34"/>
  <c r="G220" i="34"/>
  <c r="G113" i="34"/>
  <c r="G70" i="34"/>
  <c r="G244" i="34"/>
  <c r="G93" i="34"/>
  <c r="G173" i="34"/>
  <c r="G53" i="34"/>
  <c r="G83" i="34"/>
  <c r="G51" i="34"/>
  <c r="G95" i="34"/>
  <c r="G181" i="34"/>
  <c r="G224" i="34"/>
  <c r="G13" i="34"/>
  <c r="G44" i="34"/>
  <c r="N18" i="18" s="1"/>
  <c r="M7" i="42" s="1"/>
  <c r="G31" i="34"/>
  <c r="G48" i="34"/>
  <c r="G151" i="34"/>
  <c r="G183" i="34"/>
  <c r="G168" i="34"/>
  <c r="G126" i="34"/>
  <c r="G190" i="34"/>
  <c r="G254" i="34"/>
  <c r="G130" i="34"/>
  <c r="G194" i="34"/>
  <c r="G226" i="34"/>
  <c r="G252" i="34"/>
  <c r="G74" i="34"/>
  <c r="G211" i="34"/>
  <c r="G125" i="34"/>
  <c r="N63" i="18" s="1"/>
  <c r="AC7" i="42" s="1"/>
  <c r="G123" i="34"/>
  <c r="G251" i="34"/>
  <c r="G65" i="29"/>
  <c r="G211" i="29"/>
  <c r="G91" i="29"/>
  <c r="G96" i="29"/>
  <c r="G222" i="29"/>
  <c r="G205" i="29"/>
  <c r="G18" i="29"/>
  <c r="G50" i="29"/>
  <c r="G114" i="29"/>
  <c r="G147" i="29"/>
  <c r="G220" i="29"/>
  <c r="G145" i="29"/>
  <c r="G108" i="29"/>
  <c r="C255" i="29"/>
  <c r="G138" i="29"/>
  <c r="G101" i="29"/>
  <c r="E255" i="29"/>
  <c r="G150" i="29"/>
  <c r="G105" i="29"/>
  <c r="G64" i="29"/>
  <c r="G33" i="29"/>
  <c r="G41" i="29"/>
  <c r="G94" i="29"/>
  <c r="G127" i="29"/>
  <c r="G159" i="29"/>
  <c r="G191" i="29"/>
  <c r="G223" i="29"/>
  <c r="G38" i="29"/>
  <c r="G103" i="29"/>
  <c r="G136" i="29"/>
  <c r="G168" i="29"/>
  <c r="G200" i="29"/>
  <c r="G23" i="29"/>
  <c r="G130" i="29"/>
  <c r="G92" i="29"/>
  <c r="G194" i="29"/>
  <c r="G52" i="29"/>
  <c r="G60" i="29"/>
  <c r="G202" i="29"/>
  <c r="G116" i="29"/>
  <c r="G112" i="29"/>
  <c r="G77" i="29"/>
  <c r="G217" i="29"/>
  <c r="G230" i="29"/>
  <c r="G40" i="29"/>
  <c r="G34" i="29"/>
  <c r="G66" i="29"/>
  <c r="G98" i="29"/>
  <c r="G195" i="29"/>
  <c r="G227" i="29"/>
  <c r="G107" i="29"/>
  <c r="G140" i="29"/>
  <c r="G204" i="29"/>
  <c r="G68" i="29"/>
  <c r="G192" i="36"/>
  <c r="G241" i="36"/>
  <c r="G31" i="36"/>
  <c r="G73" i="36"/>
  <c r="G205" i="36"/>
  <c r="G254" i="36"/>
  <c r="G58" i="36"/>
  <c r="G133" i="36"/>
  <c r="G80" i="36"/>
  <c r="G32" i="36"/>
  <c r="G210" i="36"/>
  <c r="G149" i="36"/>
  <c r="G90" i="36"/>
  <c r="G125" i="36"/>
  <c r="D63" i="18" s="1"/>
  <c r="AH7" i="39" s="1"/>
  <c r="G206" i="36"/>
  <c r="G182" i="36"/>
  <c r="G126" i="36"/>
  <c r="G223" i="36"/>
  <c r="G88" i="36"/>
  <c r="G185" i="36"/>
  <c r="G35" i="35"/>
  <c r="G36" i="35"/>
  <c r="G201" i="35"/>
  <c r="G194" i="35"/>
  <c r="G138" i="35"/>
  <c r="G85" i="35"/>
  <c r="G230" i="35"/>
  <c r="G162" i="35"/>
  <c r="G45" i="35"/>
  <c r="G196" i="35"/>
  <c r="G157" i="35"/>
  <c r="G147" i="35"/>
  <c r="G145" i="35"/>
  <c r="G11" i="35"/>
  <c r="G99" i="35"/>
  <c r="M43" i="18" s="1"/>
  <c r="Y7" i="40" s="1"/>
  <c r="G25" i="35"/>
  <c r="G193" i="35"/>
  <c r="G252" i="35"/>
  <c r="G182" i="35"/>
  <c r="G95" i="35"/>
  <c r="G27" i="35"/>
  <c r="G189" i="35"/>
  <c r="G226" i="35"/>
  <c r="G94" i="35"/>
  <c r="G159" i="35"/>
  <c r="G66" i="35"/>
  <c r="G128" i="35"/>
  <c r="G228" i="35"/>
  <c r="G132" i="35"/>
  <c r="G178" i="35"/>
  <c r="G48" i="35"/>
  <c r="G8" i="35"/>
  <c r="G98" i="35"/>
  <c r="G127" i="35"/>
  <c r="G221" i="35"/>
  <c r="G33" i="35"/>
  <c r="G131" i="35"/>
  <c r="G227" i="35"/>
  <c r="G245" i="35"/>
  <c r="G116" i="35"/>
  <c r="G225" i="35"/>
  <c r="G220" i="35"/>
  <c r="G107" i="35"/>
  <c r="G76" i="35"/>
  <c r="G83" i="35"/>
  <c r="G37" i="35"/>
  <c r="G167" i="35"/>
  <c r="G158" i="35"/>
  <c r="G42" i="35"/>
  <c r="G150" i="35"/>
  <c r="L15" i="40" s="1"/>
  <c r="E15" i="40" s="1"/>
  <c r="G224" i="35"/>
  <c r="G60" i="35"/>
  <c r="G30" i="35"/>
  <c r="G133" i="35"/>
  <c r="G146" i="35"/>
  <c r="G155" i="35"/>
  <c r="G141" i="35"/>
  <c r="G97" i="35"/>
  <c r="G191" i="35"/>
  <c r="G212" i="35"/>
  <c r="G73" i="35"/>
  <c r="G203" i="35"/>
  <c r="G104" i="35"/>
  <c r="G246" i="35"/>
  <c r="E20" i="38" s="1"/>
  <c r="G253" i="35"/>
  <c r="G81" i="35"/>
  <c r="G244" i="35"/>
  <c r="G77" i="35"/>
  <c r="G143" i="35"/>
  <c r="G175" i="35"/>
  <c r="G161" i="35"/>
  <c r="K14" i="40" s="1"/>
  <c r="E14" i="40" s="1"/>
  <c r="G160" i="35"/>
  <c r="G89" i="36"/>
  <c r="G11" i="36"/>
  <c r="G230" i="36"/>
  <c r="G191" i="36"/>
  <c r="G234" i="36"/>
  <c r="G183" i="36"/>
  <c r="G105" i="36"/>
  <c r="G148" i="36"/>
  <c r="G244" i="36"/>
  <c r="G51" i="36"/>
  <c r="G35" i="36"/>
  <c r="G154" i="36"/>
  <c r="G39" i="36"/>
  <c r="G99" i="14"/>
  <c r="F43" i="18" s="1"/>
  <c r="H20" i="44"/>
  <c r="E20" i="44" s="1"/>
  <c r="H20" i="42"/>
  <c r="E20" i="42" s="1"/>
  <c r="G113" i="36"/>
  <c r="G111" i="36"/>
  <c r="G129" i="36"/>
  <c r="C255" i="36"/>
  <c r="G247" i="36"/>
  <c r="G79" i="36"/>
  <c r="G123" i="36"/>
  <c r="G25" i="36"/>
  <c r="G226" i="36"/>
  <c r="G162" i="36"/>
  <c r="G60" i="36"/>
  <c r="G13" i="36"/>
  <c r="G77" i="36"/>
  <c r="G161" i="36"/>
  <c r="K14" i="39" s="1"/>
  <c r="E14" i="39" s="1"/>
  <c r="G11" i="45" s="1"/>
  <c r="G176" i="36"/>
  <c r="G243" i="36"/>
  <c r="G46" i="36"/>
  <c r="G253" i="36"/>
  <c r="G127" i="36"/>
  <c r="G180" i="36"/>
  <c r="G213" i="36"/>
  <c r="G50" i="36"/>
  <c r="G171" i="36"/>
  <c r="G37" i="36"/>
  <c r="G155" i="36"/>
  <c r="G8" i="36"/>
  <c r="G135" i="36"/>
  <c r="G47" i="36"/>
  <c r="G72" i="36"/>
  <c r="G186" i="36"/>
  <c r="G177" i="36"/>
  <c r="G144" i="36"/>
  <c r="G44" i="36"/>
  <c r="D18" i="18" s="1"/>
  <c r="M7" i="39" s="1"/>
  <c r="G110" i="36"/>
  <c r="G53" i="36"/>
  <c r="G64" i="36"/>
  <c r="G221" i="36"/>
  <c r="G215" i="36"/>
  <c r="G121" i="36"/>
  <c r="G27" i="36"/>
  <c r="G225" i="36"/>
  <c r="G212" i="36"/>
  <c r="G165" i="36"/>
  <c r="G52" i="36"/>
  <c r="G137" i="36"/>
  <c r="G136" i="36"/>
  <c r="G55" i="36"/>
  <c r="G143" i="36"/>
  <c r="G6" i="35"/>
  <c r="H20" i="40"/>
  <c r="E20" i="40" s="1"/>
  <c r="G44" i="22"/>
  <c r="T51" i="39"/>
  <c r="E51" i="39" s="1"/>
  <c r="Q57" i="39"/>
  <c r="S57" i="39"/>
  <c r="H57" i="39"/>
  <c r="G87" i="36"/>
  <c r="G38" i="36"/>
  <c r="G157" i="36"/>
  <c r="G9" i="36"/>
  <c r="G42" i="36"/>
  <c r="G128" i="36"/>
  <c r="F7" i="38" s="1"/>
  <c r="F10" i="38" s="1"/>
  <c r="G65" i="36"/>
  <c r="G134" i="36"/>
  <c r="G17" i="36"/>
  <c r="E255" i="36"/>
  <c r="G158" i="36"/>
  <c r="G237" i="36"/>
  <c r="G116" i="36"/>
  <c r="G198" i="36"/>
  <c r="G15" i="36"/>
  <c r="G97" i="36"/>
  <c r="G160" i="36"/>
  <c r="G197" i="36"/>
  <c r="G6" i="36"/>
  <c r="G216" i="36"/>
  <c r="G40" i="36"/>
  <c r="G114" i="36"/>
  <c r="G57" i="36"/>
  <c r="G196" i="36"/>
  <c r="G217" i="36"/>
  <c r="G188" i="36"/>
  <c r="G150" i="36"/>
  <c r="L15" i="39" s="1"/>
  <c r="E15" i="39" s="1"/>
  <c r="G12" i="45" s="1"/>
  <c r="G14" i="36"/>
  <c r="G36" i="36"/>
  <c r="G178" i="36"/>
  <c r="G107" i="36"/>
  <c r="G231" i="36"/>
  <c r="G179" i="36"/>
  <c r="G74" i="36"/>
  <c r="G203" i="36"/>
  <c r="G92" i="36"/>
  <c r="G43" i="36"/>
  <c r="G184" i="36"/>
  <c r="G115" i="36"/>
  <c r="G140" i="36"/>
  <c r="G41" i="36"/>
  <c r="G83" i="36"/>
  <c r="G94" i="36"/>
  <c r="G112" i="36"/>
  <c r="G200" i="36"/>
  <c r="G173" i="36"/>
  <c r="G220" i="36"/>
  <c r="G54" i="36"/>
  <c r="G163" i="36"/>
  <c r="G248" i="36"/>
  <c r="G147" i="36"/>
  <c r="G227" i="36"/>
  <c r="G164" i="36"/>
  <c r="G61" i="36"/>
  <c r="G30" i="36"/>
  <c r="G48" i="36"/>
  <c r="G224" i="36"/>
  <c r="G174" i="36"/>
  <c r="G187" i="36"/>
  <c r="G82" i="36"/>
  <c r="G156" i="36"/>
  <c r="G239" i="36"/>
  <c r="G98" i="36"/>
  <c r="G66" i="36"/>
  <c r="G194" i="36"/>
  <c r="G85" i="36"/>
  <c r="G245" i="36"/>
  <c r="G118" i="36"/>
  <c r="D59" i="18" s="1"/>
  <c r="G151" i="36"/>
  <c r="G249" i="36"/>
  <c r="G229" i="36"/>
  <c r="G62" i="36"/>
  <c r="G242" i="36"/>
  <c r="G49" i="36"/>
  <c r="G124" i="36"/>
  <c r="G202" i="36"/>
  <c r="G142" i="36"/>
  <c r="G235" i="36"/>
  <c r="G153" i="36"/>
  <c r="G91" i="36"/>
  <c r="G250" i="36"/>
  <c r="G193" i="36"/>
  <c r="G20" i="36"/>
  <c r="G195" i="36"/>
  <c r="G86" i="36"/>
  <c r="G71" i="36"/>
  <c r="G24" i="36"/>
  <c r="G109" i="36"/>
  <c r="G29" i="36"/>
  <c r="G189" i="36"/>
  <c r="G76" i="36"/>
  <c r="G75" i="36"/>
  <c r="G99" i="36"/>
  <c r="D43" i="18" s="1"/>
  <c r="G208" i="36"/>
  <c r="G146" i="36"/>
  <c r="G233" i="36"/>
  <c r="G169" i="36"/>
  <c r="G103" i="36"/>
  <c r="G18" i="36"/>
  <c r="G152" i="36"/>
  <c r="G252" i="36"/>
  <c r="G34" i="36"/>
  <c r="G167" i="36"/>
  <c r="G63" i="36"/>
  <c r="G119" i="36"/>
  <c r="G131" i="36"/>
  <c r="G102" i="36"/>
  <c r="G7" i="36"/>
  <c r="G139" i="36"/>
  <c r="G12" i="36"/>
  <c r="G22" i="36"/>
  <c r="G28" i="36"/>
  <c r="G96" i="36"/>
  <c r="G95" i="36"/>
  <c r="G92" i="35"/>
  <c r="G176" i="35"/>
  <c r="G63" i="35"/>
  <c r="G166" i="35"/>
  <c r="G173" i="35"/>
  <c r="G102" i="35"/>
  <c r="G231" i="35"/>
  <c r="G168" i="35"/>
  <c r="G91" i="35"/>
  <c r="G169" i="35"/>
  <c r="G210" i="35"/>
  <c r="G9" i="35"/>
  <c r="G41" i="35"/>
  <c r="G106" i="35"/>
  <c r="G139" i="35"/>
  <c r="G171" i="35"/>
  <c r="G235" i="35"/>
  <c r="G101" i="35"/>
  <c r="G136" i="35"/>
  <c r="G188" i="35"/>
  <c r="G218" i="35"/>
  <c r="G93" i="35"/>
  <c r="G217" i="35"/>
  <c r="G241" i="35"/>
  <c r="G216" i="35"/>
  <c r="G153" i="35"/>
  <c r="G103" i="35"/>
  <c r="G88" i="35"/>
  <c r="G112" i="35"/>
  <c r="G38" i="35"/>
  <c r="G186" i="35"/>
  <c r="G130" i="35"/>
  <c r="G69" i="35"/>
  <c r="G135" i="35"/>
  <c r="G199" i="35"/>
  <c r="G234" i="35"/>
  <c r="G198" i="35"/>
  <c r="G117" i="35"/>
  <c r="M61" i="18" s="1"/>
  <c r="AA7" i="40" s="1"/>
  <c r="C255" i="35"/>
  <c r="G115" i="35"/>
  <c r="G207" i="35"/>
  <c r="G152" i="35"/>
  <c r="G129" i="35"/>
  <c r="G236" i="35"/>
  <c r="G209" i="35"/>
  <c r="G144" i="35"/>
  <c r="G28" i="35"/>
  <c r="G208" i="35"/>
  <c r="G122" i="35"/>
  <c r="G238" i="35"/>
  <c r="G121" i="35"/>
  <c r="G14" i="35"/>
  <c r="G233" i="35"/>
  <c r="G23" i="35"/>
  <c r="G74" i="35"/>
  <c r="G213" i="35"/>
  <c r="G89" i="35"/>
  <c r="V7" i="40" s="1"/>
  <c r="G229" i="35"/>
  <c r="G58" i="35"/>
  <c r="G84" i="35"/>
  <c r="G177" i="35"/>
  <c r="G17" i="35"/>
  <c r="G87" i="35"/>
  <c r="G79" i="35"/>
  <c r="G200" i="35"/>
  <c r="G26" i="35"/>
  <c r="G124" i="35"/>
  <c r="G54" i="35"/>
  <c r="G108" i="35"/>
  <c r="G21" i="35"/>
  <c r="G53" i="35"/>
  <c r="G86" i="35"/>
  <c r="G118" i="35"/>
  <c r="M59" i="18" s="1"/>
  <c r="Z7" i="40" s="1"/>
  <c r="G151" i="35"/>
  <c r="G183" i="35"/>
  <c r="G215" i="35"/>
  <c r="G247" i="35"/>
  <c r="G100" i="35"/>
  <c r="G204" i="35"/>
  <c r="G192" i="35"/>
  <c r="G71" i="35"/>
  <c r="G20" i="35"/>
  <c r="G156" i="35"/>
  <c r="G142" i="35"/>
  <c r="G109" i="35"/>
  <c r="G46" i="35"/>
  <c r="G68" i="35"/>
  <c r="E255" i="35"/>
  <c r="G70" i="35"/>
  <c r="G31" i="35"/>
  <c r="G240" i="35"/>
  <c r="G44" i="35"/>
  <c r="M18" i="18" s="1"/>
  <c r="M7" i="40" s="1"/>
  <c r="G40" i="35"/>
  <c r="G29" i="35"/>
  <c r="G223" i="35"/>
  <c r="G185" i="35"/>
  <c r="G172" i="35"/>
  <c r="G174" i="35"/>
  <c r="G56" i="35"/>
  <c r="G55" i="35"/>
  <c r="G190" i="35"/>
  <c r="G62" i="35"/>
  <c r="G165" i="35"/>
  <c r="G18" i="35"/>
  <c r="G206" i="35"/>
  <c r="G145" i="34"/>
  <c r="G162" i="34"/>
  <c r="G59" i="34"/>
  <c r="G127" i="34"/>
  <c r="G106" i="34"/>
  <c r="G235" i="34"/>
  <c r="G36" i="34"/>
  <c r="G134" i="34"/>
  <c r="G198" i="34"/>
  <c r="G199" i="34"/>
  <c r="G91" i="34"/>
  <c r="G10" i="34"/>
  <c r="G47" i="34"/>
  <c r="G46" i="34"/>
  <c r="G133" i="34"/>
  <c r="G176" i="34"/>
  <c r="G25" i="34"/>
  <c r="G40" i="34"/>
  <c r="G170" i="34"/>
  <c r="G167" i="34"/>
  <c r="G140" i="34"/>
  <c r="G43" i="34"/>
  <c r="G98" i="34"/>
  <c r="G253" i="34"/>
  <c r="G135" i="34"/>
  <c r="G204" i="34"/>
  <c r="G221" i="34"/>
  <c r="G71" i="34"/>
  <c r="G49" i="34"/>
  <c r="G119" i="34"/>
  <c r="G11" i="34"/>
  <c r="G215" i="34"/>
  <c r="G159" i="34"/>
  <c r="G61" i="34"/>
  <c r="G143" i="34"/>
  <c r="G223" i="34"/>
  <c r="G73" i="34"/>
  <c r="G203" i="34"/>
  <c r="G231" i="34"/>
  <c r="G217" i="34"/>
  <c r="G27" i="34"/>
  <c r="G102" i="34"/>
  <c r="G206" i="34"/>
  <c r="G238" i="34"/>
  <c r="E255" i="34"/>
  <c r="G23" i="34"/>
  <c r="G92" i="34"/>
  <c r="G129" i="34"/>
  <c r="G196" i="34"/>
  <c r="G86" i="34"/>
  <c r="G77" i="34"/>
  <c r="G14" i="34"/>
  <c r="G100" i="34"/>
  <c r="G144" i="34"/>
  <c r="G229" i="34"/>
  <c r="G81" i="34"/>
  <c r="G178" i="34"/>
  <c r="G210" i="34"/>
  <c r="G242" i="34"/>
  <c r="G124" i="34"/>
  <c r="G121" i="34"/>
  <c r="G69" i="34"/>
  <c r="G209" i="34"/>
  <c r="G22" i="34"/>
  <c r="G115" i="34"/>
  <c r="G201" i="34"/>
  <c r="G82" i="34"/>
  <c r="G169" i="34"/>
  <c r="G177" i="34"/>
  <c r="G205" i="34"/>
  <c r="G26" i="34"/>
  <c r="G163" i="34"/>
  <c r="G232" i="34"/>
  <c r="G19" i="34"/>
  <c r="G62" i="34"/>
  <c r="G149" i="34"/>
  <c r="G192" i="34"/>
  <c r="G239" i="34"/>
  <c r="G41" i="34"/>
  <c r="G171" i="34"/>
  <c r="G52" i="34"/>
  <c r="G182" i="34"/>
  <c r="G246" i="34"/>
  <c r="D20" i="38" s="1"/>
  <c r="G34" i="34"/>
  <c r="C255" i="34"/>
  <c r="G38" i="34"/>
  <c r="G39" i="34"/>
  <c r="G247" i="34"/>
  <c r="G94" i="34"/>
  <c r="G175" i="34"/>
  <c r="G6" i="34"/>
  <c r="N8" i="18" s="1"/>
  <c r="G24" i="34"/>
  <c r="G56" i="34"/>
  <c r="G122" i="34"/>
  <c r="G154" i="34"/>
  <c r="G186" i="34"/>
  <c r="G250" i="34"/>
  <c r="G193" i="34"/>
  <c r="G249" i="34"/>
  <c r="G99" i="34"/>
  <c r="N43" i="18" s="1"/>
  <c r="Y7" i="42" s="1"/>
  <c r="G237" i="34"/>
  <c r="G118" i="34"/>
  <c r="N59" i="18" s="1"/>
  <c r="Z7" i="42" s="1"/>
  <c r="G17" i="34"/>
  <c r="G153" i="34"/>
  <c r="G112" i="34"/>
  <c r="G110" i="34"/>
  <c r="G207" i="34"/>
  <c r="G9" i="34"/>
  <c r="G139" i="34"/>
  <c r="G131" i="29"/>
  <c r="G236" i="29"/>
  <c r="G25" i="29"/>
  <c r="G237" i="29"/>
  <c r="G199" i="29"/>
  <c r="G208" i="29"/>
  <c r="G226" i="29"/>
  <c r="G6" i="29"/>
  <c r="G177" i="29"/>
  <c r="G32" i="29"/>
  <c r="G141" i="29"/>
  <c r="G47" i="29"/>
  <c r="G154" i="29"/>
  <c r="G9" i="29"/>
  <c r="G42" i="29"/>
  <c r="G171" i="29"/>
  <c r="G235" i="29"/>
  <c r="G115" i="29"/>
  <c r="G244" i="29"/>
  <c r="G157" i="29"/>
  <c r="G250" i="29"/>
  <c r="G135" i="29"/>
  <c r="G190" i="29"/>
  <c r="G10" i="29"/>
  <c r="G74" i="29"/>
  <c r="G139" i="29"/>
  <c r="G203" i="29"/>
  <c r="G83" i="29"/>
  <c r="G148" i="29"/>
  <c r="G69" i="29"/>
  <c r="G84" i="29"/>
  <c r="G201" i="29"/>
  <c r="G109" i="29"/>
  <c r="G93" i="29"/>
  <c r="G45" i="29"/>
  <c r="G198" i="29"/>
  <c r="G53" i="29"/>
  <c r="G121" i="29"/>
  <c r="G8" i="29"/>
  <c r="G59" i="29"/>
  <c r="G161" i="29"/>
  <c r="K14" i="44" s="1"/>
  <c r="E14" i="44" s="1"/>
  <c r="G67" i="29"/>
  <c r="G14" i="29"/>
  <c r="G46" i="29"/>
  <c r="G79" i="29"/>
  <c r="G143" i="29"/>
  <c r="G175" i="29"/>
  <c r="G239" i="29"/>
  <c r="G87" i="29"/>
  <c r="G119" i="29"/>
  <c r="G152" i="29"/>
  <c r="G184" i="29"/>
  <c r="G216" i="29"/>
  <c r="G248" i="29"/>
  <c r="G55" i="29"/>
  <c r="G162" i="29"/>
  <c r="G36" i="29"/>
  <c r="G125" i="29"/>
  <c r="O63" i="18" s="1"/>
  <c r="AC7" i="44" s="1"/>
  <c r="G193" i="29"/>
  <c r="G172" i="29"/>
  <c r="G176" i="29"/>
  <c r="G233" i="29"/>
  <c r="G241" i="29"/>
  <c r="G218" i="29"/>
  <c r="G82" i="29"/>
  <c r="G221" i="29"/>
  <c r="G61" i="29"/>
  <c r="G51" i="29"/>
  <c r="G158" i="29"/>
  <c r="G15" i="29"/>
  <c r="G72" i="29"/>
  <c r="G122" i="29"/>
  <c r="G86" i="29"/>
  <c r="G118" i="29"/>
  <c r="O59" i="18" s="1"/>
  <c r="Z7" i="44" s="1"/>
  <c r="G151" i="29"/>
  <c r="G183" i="29"/>
  <c r="G215" i="29"/>
  <c r="G247" i="29"/>
  <c r="G95" i="29"/>
  <c r="G128" i="29"/>
  <c r="G160" i="29"/>
  <c r="G192" i="29"/>
  <c r="G224" i="29"/>
  <c r="G56" i="29"/>
  <c r="G31" i="29"/>
  <c r="G24" i="29"/>
  <c r="G229" i="29"/>
  <c r="G89" i="29"/>
  <c r="V7" i="44" s="1"/>
  <c r="G185" i="29"/>
  <c r="G111" i="29"/>
  <c r="G76" i="29"/>
  <c r="G100" i="29"/>
  <c r="G254" i="29"/>
  <c r="G179" i="29"/>
  <c r="G243" i="29"/>
  <c r="G124" i="29"/>
  <c r="G188" i="29"/>
  <c r="G252" i="29"/>
  <c r="G206" i="29"/>
  <c r="G213" i="29"/>
  <c r="G169" i="29"/>
  <c r="G165" i="29"/>
  <c r="G13" i="29"/>
  <c r="G153" i="29"/>
  <c r="G166" i="29"/>
  <c r="G21" i="29"/>
  <c r="G27" i="29"/>
  <c r="G35" i="29"/>
  <c r="G26" i="29"/>
  <c r="G58" i="29"/>
  <c r="G90" i="29"/>
  <c r="G155" i="29"/>
  <c r="G187" i="29"/>
  <c r="G219" i="29"/>
  <c r="G251" i="29"/>
  <c r="G99" i="29"/>
  <c r="O43" i="18" s="1"/>
  <c r="Y7" i="44" s="1"/>
  <c r="G132" i="29"/>
  <c r="G164" i="29"/>
  <c r="G196" i="29"/>
  <c r="G228" i="29"/>
  <c r="G37" i="29"/>
  <c r="G149" i="29"/>
  <c r="G246" i="29"/>
  <c r="C20" i="38" s="1"/>
  <c r="F179" i="17"/>
  <c r="G44" i="13"/>
  <c r="P18" i="18" s="1"/>
  <c r="F179" i="23"/>
  <c r="G99" i="22"/>
  <c r="H43" i="18" s="1"/>
  <c r="K43" i="18" l="1"/>
  <c r="D46" i="18"/>
  <c r="D9" i="18"/>
  <c r="G7" i="39" s="1"/>
  <c r="D29" i="18"/>
  <c r="R7" i="39" s="1"/>
  <c r="N27" i="18"/>
  <c r="P7" i="42" s="1"/>
  <c r="Z7" i="39"/>
  <c r="Z6" i="25"/>
  <c r="U7" i="39"/>
  <c r="D41" i="18"/>
  <c r="AE7" i="39"/>
  <c r="C46" i="46"/>
  <c r="C47" i="46" s="1"/>
  <c r="E22" i="38"/>
  <c r="D12" i="18"/>
  <c r="J7" i="39" s="1"/>
  <c r="D19" i="18"/>
  <c r="N7" i="39" s="1"/>
  <c r="G57" i="45"/>
  <c r="O11" i="18"/>
  <c r="I7" i="44" s="1"/>
  <c r="O12" i="18"/>
  <c r="J7" i="44" s="1"/>
  <c r="O62" i="18"/>
  <c r="AB7" i="44" s="1"/>
  <c r="Z6" i="39"/>
  <c r="Z7" i="25"/>
  <c r="N9" i="18"/>
  <c r="G7" i="42" s="1"/>
  <c r="N33" i="18"/>
  <c r="U7" i="42" s="1"/>
  <c r="O33" i="18"/>
  <c r="U7" i="44" s="1"/>
  <c r="O20" i="18"/>
  <c r="O7" i="44" s="1"/>
  <c r="M20" i="18"/>
  <c r="O7" i="40" s="1"/>
  <c r="N12" i="18"/>
  <c r="J7" i="42" s="1"/>
  <c r="N16" i="18"/>
  <c r="K7" i="42" s="1"/>
  <c r="N42" i="18"/>
  <c r="N51" i="18" s="1"/>
  <c r="F7" i="42"/>
  <c r="N17" i="18"/>
  <c r="L7" i="42" s="1"/>
  <c r="N62" i="18"/>
  <c r="AB7" i="42" s="1"/>
  <c r="N20" i="18"/>
  <c r="O7" i="42" s="1"/>
  <c r="N35" i="18"/>
  <c r="W7" i="42" s="1"/>
  <c r="D11" i="38"/>
  <c r="L15" i="42"/>
  <c r="E15" i="42" s="1"/>
  <c r="D15" i="38"/>
  <c r="D22" i="38"/>
  <c r="N11" i="18"/>
  <c r="I7" i="42" s="1"/>
  <c r="N29" i="18"/>
  <c r="R7" i="42" s="1"/>
  <c r="D7" i="38"/>
  <c r="R7" i="44"/>
  <c r="O8" i="18"/>
  <c r="F7" i="44" s="1"/>
  <c r="O16" i="18"/>
  <c r="K7" i="44" s="1"/>
  <c r="O17" i="18"/>
  <c r="L7" i="44" s="1"/>
  <c r="G255" i="29"/>
  <c r="O27" i="18"/>
  <c r="C22" i="38"/>
  <c r="O9" i="18"/>
  <c r="G7" i="44" s="1"/>
  <c r="C11" i="38"/>
  <c r="L15" i="44"/>
  <c r="E15" i="44" s="1"/>
  <c r="C15" i="38"/>
  <c r="C7" i="38"/>
  <c r="O35" i="18"/>
  <c r="W7" i="44" s="1"/>
  <c r="O42" i="18"/>
  <c r="O51" i="18" s="1"/>
  <c r="D20" i="18"/>
  <c r="O7" i="39" s="1"/>
  <c r="M8" i="18"/>
  <c r="F7" i="40" s="1"/>
  <c r="H49" i="44"/>
  <c r="H49" i="42"/>
  <c r="M33" i="18"/>
  <c r="U7" i="40" s="1"/>
  <c r="F22" i="38"/>
  <c r="G255" i="36"/>
  <c r="Y6" i="40"/>
  <c r="Y8" i="40" s="1"/>
  <c r="Y6" i="42"/>
  <c r="Y8" i="42" s="1"/>
  <c r="Y17" i="42" s="1"/>
  <c r="Y49" i="42" s="1"/>
  <c r="Y6" i="44"/>
  <c r="Y8" i="44" s="1"/>
  <c r="Y17" i="44" s="1"/>
  <c r="Y49" i="44" s="1"/>
  <c r="D35" i="18"/>
  <c r="D62" i="18"/>
  <c r="M12" i="18"/>
  <c r="J7" i="40" s="1"/>
  <c r="M17" i="18"/>
  <c r="L7" i="40" s="1"/>
  <c r="E15" i="38"/>
  <c r="M27" i="18"/>
  <c r="P7" i="40" s="1"/>
  <c r="E11" i="38"/>
  <c r="M16" i="18"/>
  <c r="K7" i="40" s="1"/>
  <c r="M62" i="18"/>
  <c r="AB7" i="40" s="1"/>
  <c r="E7" i="38"/>
  <c r="M11" i="18"/>
  <c r="I7" i="40" s="1"/>
  <c r="G255" i="35"/>
  <c r="M9" i="18"/>
  <c r="G7" i="40" s="1"/>
  <c r="M35" i="18"/>
  <c r="W7" i="40" s="1"/>
  <c r="M42" i="18"/>
  <c r="M51" i="18" s="1"/>
  <c r="H49" i="40"/>
  <c r="T57" i="39"/>
  <c r="D11" i="18"/>
  <c r="I7" i="39" s="1"/>
  <c r="D8" i="18"/>
  <c r="D42" i="18"/>
  <c r="Y7" i="39" s="1"/>
  <c r="D17" i="18"/>
  <c r="L7" i="39" s="1"/>
  <c r="D16" i="18"/>
  <c r="K7" i="39" s="1"/>
  <c r="F11" i="38"/>
  <c r="F12" i="38" s="1"/>
  <c r="G255" i="34"/>
  <c r="E116" i="22"/>
  <c r="C116" i="22"/>
  <c r="E252" i="22"/>
  <c r="C252" i="22"/>
  <c r="E252" i="1"/>
  <c r="C252" i="1"/>
  <c r="G252" i="1" s="1"/>
  <c r="E254" i="12"/>
  <c r="C254" i="12"/>
  <c r="E253" i="12"/>
  <c r="C253" i="12"/>
  <c r="E252" i="12"/>
  <c r="C252" i="12"/>
  <c r="G252" i="12" s="1"/>
  <c r="E251" i="12"/>
  <c r="C251" i="12"/>
  <c r="E250" i="12"/>
  <c r="C250" i="12"/>
  <c r="E249" i="12"/>
  <c r="C249" i="12"/>
  <c r="E248" i="12"/>
  <c r="C248" i="12"/>
  <c r="E247" i="12"/>
  <c r="C247" i="12"/>
  <c r="E246" i="12"/>
  <c r="C246" i="12"/>
  <c r="E245" i="12"/>
  <c r="C245" i="12"/>
  <c r="E244" i="12"/>
  <c r="C244" i="12"/>
  <c r="E243" i="12"/>
  <c r="C243" i="12"/>
  <c r="E242" i="12"/>
  <c r="C242" i="12"/>
  <c r="E241" i="12"/>
  <c r="C241" i="12"/>
  <c r="E240" i="12"/>
  <c r="C240" i="12"/>
  <c r="E239" i="12"/>
  <c r="C239" i="12"/>
  <c r="E238" i="12"/>
  <c r="C238" i="12"/>
  <c r="E237" i="12"/>
  <c r="C237" i="12"/>
  <c r="E236" i="12"/>
  <c r="C236" i="12"/>
  <c r="E235" i="12"/>
  <c r="C235" i="12"/>
  <c r="E234" i="12"/>
  <c r="C234" i="12"/>
  <c r="E233" i="12"/>
  <c r="C233" i="12"/>
  <c r="E232" i="12"/>
  <c r="C232" i="12"/>
  <c r="E231" i="12"/>
  <c r="C231" i="12"/>
  <c r="E230" i="12"/>
  <c r="C230" i="12"/>
  <c r="E229" i="12"/>
  <c r="C229" i="12"/>
  <c r="E228" i="12"/>
  <c r="C228" i="12"/>
  <c r="E227" i="12"/>
  <c r="C227" i="12"/>
  <c r="E226" i="12"/>
  <c r="C226" i="12"/>
  <c r="E225" i="12"/>
  <c r="C225" i="12"/>
  <c r="E224" i="12"/>
  <c r="C224" i="12"/>
  <c r="E223" i="12"/>
  <c r="C223" i="12"/>
  <c r="E222" i="12"/>
  <c r="C222" i="12"/>
  <c r="E221" i="12"/>
  <c r="C221" i="12"/>
  <c r="E220" i="12"/>
  <c r="C220" i="12"/>
  <c r="E219" i="12"/>
  <c r="C219" i="12"/>
  <c r="E218" i="12"/>
  <c r="C218" i="12"/>
  <c r="E217" i="12"/>
  <c r="C217" i="12"/>
  <c r="E216" i="12"/>
  <c r="C216" i="12"/>
  <c r="E215" i="12"/>
  <c r="C215" i="12"/>
  <c r="E214" i="12"/>
  <c r="C214" i="12"/>
  <c r="E213" i="12"/>
  <c r="C213" i="12"/>
  <c r="E212" i="12"/>
  <c r="C212" i="12"/>
  <c r="E211" i="12"/>
  <c r="C211" i="12"/>
  <c r="E210" i="12"/>
  <c r="C210" i="12"/>
  <c r="E209" i="12"/>
  <c r="C209" i="12"/>
  <c r="E208" i="12"/>
  <c r="C208" i="12"/>
  <c r="E207" i="12"/>
  <c r="C207" i="12"/>
  <c r="E206" i="12"/>
  <c r="C206" i="12"/>
  <c r="E205" i="12"/>
  <c r="C205" i="12"/>
  <c r="E204" i="12"/>
  <c r="C204" i="12"/>
  <c r="E203" i="12"/>
  <c r="C203" i="12"/>
  <c r="E202" i="12"/>
  <c r="C202" i="12"/>
  <c r="E201" i="12"/>
  <c r="C201" i="12"/>
  <c r="E200" i="12"/>
  <c r="C200" i="12"/>
  <c r="E199" i="12"/>
  <c r="C199" i="12"/>
  <c r="E198" i="12"/>
  <c r="C198" i="12"/>
  <c r="E197" i="12"/>
  <c r="C197" i="12"/>
  <c r="E196" i="12"/>
  <c r="C196" i="12"/>
  <c r="E195" i="12"/>
  <c r="C195" i="12"/>
  <c r="E194" i="12"/>
  <c r="C194" i="12"/>
  <c r="E193" i="12"/>
  <c r="C193" i="12"/>
  <c r="E192" i="12"/>
  <c r="C192" i="12"/>
  <c r="E191" i="12"/>
  <c r="C191" i="12"/>
  <c r="E190" i="12"/>
  <c r="C190" i="12"/>
  <c r="E189" i="12"/>
  <c r="C189" i="12"/>
  <c r="E188" i="12"/>
  <c r="C188" i="12"/>
  <c r="E187" i="12"/>
  <c r="C187" i="12"/>
  <c r="E186" i="12"/>
  <c r="C186" i="12"/>
  <c r="E185" i="12"/>
  <c r="C185" i="12"/>
  <c r="E184" i="12"/>
  <c r="C184" i="12"/>
  <c r="E183" i="12"/>
  <c r="C183" i="12"/>
  <c r="E182" i="12"/>
  <c r="C182" i="12"/>
  <c r="E181" i="12"/>
  <c r="C181" i="12"/>
  <c r="E180" i="12"/>
  <c r="C180" i="12"/>
  <c r="E179" i="12"/>
  <c r="C179" i="12"/>
  <c r="E178" i="12"/>
  <c r="C178" i="12"/>
  <c r="E177" i="12"/>
  <c r="C177" i="12"/>
  <c r="E176" i="12"/>
  <c r="C176" i="12"/>
  <c r="E175" i="12"/>
  <c r="C175" i="12"/>
  <c r="E174" i="12"/>
  <c r="C174" i="12"/>
  <c r="E173" i="12"/>
  <c r="C173" i="12"/>
  <c r="E172" i="12"/>
  <c r="C172" i="12"/>
  <c r="E171" i="12"/>
  <c r="C171" i="12"/>
  <c r="E170" i="12"/>
  <c r="C170" i="12"/>
  <c r="E169" i="12"/>
  <c r="C169" i="12"/>
  <c r="E168" i="12"/>
  <c r="C168" i="12"/>
  <c r="E167" i="12"/>
  <c r="C167" i="12"/>
  <c r="E166" i="12"/>
  <c r="C166" i="12"/>
  <c r="E165" i="12"/>
  <c r="C165" i="12"/>
  <c r="E164" i="12"/>
  <c r="C164" i="12"/>
  <c r="E163" i="12"/>
  <c r="C163" i="12"/>
  <c r="E162" i="12"/>
  <c r="C162" i="12"/>
  <c r="E161" i="12"/>
  <c r="C161" i="12"/>
  <c r="E160" i="12"/>
  <c r="C160" i="12"/>
  <c r="E159" i="12"/>
  <c r="C159" i="12"/>
  <c r="E158" i="12"/>
  <c r="C158" i="12"/>
  <c r="E157" i="12"/>
  <c r="C157" i="12"/>
  <c r="E156" i="12"/>
  <c r="C156" i="12"/>
  <c r="E155" i="12"/>
  <c r="C155" i="12"/>
  <c r="E154" i="12"/>
  <c r="C154" i="12"/>
  <c r="E153" i="12"/>
  <c r="C153" i="12"/>
  <c r="E152" i="12"/>
  <c r="C152" i="12"/>
  <c r="E151" i="12"/>
  <c r="C151" i="12"/>
  <c r="E150" i="12"/>
  <c r="C150" i="12"/>
  <c r="E149" i="12"/>
  <c r="C149" i="12"/>
  <c r="E148" i="12"/>
  <c r="C148" i="12"/>
  <c r="E147" i="12"/>
  <c r="C147" i="12"/>
  <c r="E146" i="12"/>
  <c r="C146" i="12"/>
  <c r="E145" i="12"/>
  <c r="C145" i="12"/>
  <c r="E144" i="12"/>
  <c r="C144" i="12"/>
  <c r="E143" i="12"/>
  <c r="C143" i="12"/>
  <c r="E142" i="12"/>
  <c r="C142" i="12"/>
  <c r="E141" i="12"/>
  <c r="C141" i="12"/>
  <c r="E140" i="12"/>
  <c r="C140" i="12"/>
  <c r="E139" i="12"/>
  <c r="C139" i="12"/>
  <c r="E138" i="12"/>
  <c r="C138" i="12"/>
  <c r="E137" i="12"/>
  <c r="C137" i="12"/>
  <c r="E136" i="12"/>
  <c r="C136" i="12"/>
  <c r="E135" i="12"/>
  <c r="C135" i="12"/>
  <c r="E134" i="12"/>
  <c r="C134" i="12"/>
  <c r="E133" i="12"/>
  <c r="C133" i="12"/>
  <c r="E132" i="12"/>
  <c r="C132" i="12"/>
  <c r="E131" i="12"/>
  <c r="C131" i="12"/>
  <c r="E130" i="12"/>
  <c r="C130" i="12"/>
  <c r="E129" i="12"/>
  <c r="C129" i="12"/>
  <c r="E128" i="12"/>
  <c r="C128" i="12"/>
  <c r="E127" i="12"/>
  <c r="C127" i="12"/>
  <c r="E126" i="12"/>
  <c r="C126" i="12"/>
  <c r="E125" i="12"/>
  <c r="C125" i="12"/>
  <c r="E124" i="12"/>
  <c r="C124" i="12"/>
  <c r="E123" i="12"/>
  <c r="C123" i="12"/>
  <c r="E122" i="12"/>
  <c r="C122" i="12"/>
  <c r="E121" i="12"/>
  <c r="C121" i="12"/>
  <c r="E119" i="12"/>
  <c r="C119" i="12"/>
  <c r="E118" i="12"/>
  <c r="C118" i="12"/>
  <c r="E117" i="12"/>
  <c r="C117" i="12"/>
  <c r="E116" i="12"/>
  <c r="C116" i="12"/>
  <c r="E115" i="12"/>
  <c r="C115" i="12"/>
  <c r="E114" i="12"/>
  <c r="C114" i="12"/>
  <c r="E113" i="12"/>
  <c r="C113" i="12"/>
  <c r="E112" i="12"/>
  <c r="C112" i="12"/>
  <c r="E111" i="12"/>
  <c r="C111" i="12"/>
  <c r="E110" i="12"/>
  <c r="C110" i="12"/>
  <c r="E109" i="12"/>
  <c r="C109" i="12"/>
  <c r="E108" i="12"/>
  <c r="C108" i="12"/>
  <c r="E107" i="12"/>
  <c r="C107" i="12"/>
  <c r="E106" i="12"/>
  <c r="C106" i="12"/>
  <c r="E105" i="12"/>
  <c r="C105" i="12"/>
  <c r="E104" i="12"/>
  <c r="C104" i="12"/>
  <c r="E103" i="12"/>
  <c r="C103" i="12"/>
  <c r="E102" i="12"/>
  <c r="C102" i="12"/>
  <c r="E101" i="12"/>
  <c r="C101" i="12"/>
  <c r="E100" i="12"/>
  <c r="C100" i="12"/>
  <c r="E98" i="12"/>
  <c r="C98" i="12"/>
  <c r="E97" i="12"/>
  <c r="C97" i="12"/>
  <c r="E96" i="12"/>
  <c r="C96" i="12"/>
  <c r="E95" i="12"/>
  <c r="C95" i="12"/>
  <c r="E94" i="12"/>
  <c r="C94" i="12"/>
  <c r="E93" i="12"/>
  <c r="C93" i="12"/>
  <c r="E92" i="12"/>
  <c r="C92" i="12"/>
  <c r="E91" i="12"/>
  <c r="C91" i="12"/>
  <c r="E90" i="12"/>
  <c r="C90" i="12"/>
  <c r="E89" i="12"/>
  <c r="C89" i="12"/>
  <c r="E88" i="12"/>
  <c r="C88" i="12"/>
  <c r="E87" i="12"/>
  <c r="C87" i="12"/>
  <c r="E86" i="12"/>
  <c r="C86" i="12"/>
  <c r="E85" i="12"/>
  <c r="C85" i="12"/>
  <c r="E84" i="12"/>
  <c r="C84" i="12"/>
  <c r="E83" i="12"/>
  <c r="C83" i="12"/>
  <c r="E82" i="12"/>
  <c r="C82" i="12"/>
  <c r="E81" i="12"/>
  <c r="C81" i="12"/>
  <c r="E80" i="12"/>
  <c r="C80" i="12"/>
  <c r="E79" i="12"/>
  <c r="C79" i="12"/>
  <c r="E77" i="12"/>
  <c r="C77" i="12"/>
  <c r="E76" i="12"/>
  <c r="C76" i="12"/>
  <c r="E75" i="12"/>
  <c r="C75" i="12"/>
  <c r="E74" i="12"/>
  <c r="C74" i="12"/>
  <c r="E73" i="12"/>
  <c r="C73" i="12"/>
  <c r="E72" i="12"/>
  <c r="C72" i="12"/>
  <c r="E71" i="12"/>
  <c r="C71" i="12"/>
  <c r="E70" i="12"/>
  <c r="C70" i="12"/>
  <c r="E69" i="12"/>
  <c r="C69" i="12"/>
  <c r="E68" i="12"/>
  <c r="C68" i="12"/>
  <c r="E67" i="12"/>
  <c r="C67" i="12"/>
  <c r="E66" i="12"/>
  <c r="C66" i="12"/>
  <c r="E65" i="12"/>
  <c r="C65" i="12"/>
  <c r="E64" i="12"/>
  <c r="C64" i="12"/>
  <c r="E63" i="12"/>
  <c r="C63" i="12"/>
  <c r="E62" i="12"/>
  <c r="C62" i="12"/>
  <c r="E61" i="12"/>
  <c r="C61" i="12"/>
  <c r="E60" i="12"/>
  <c r="C60" i="12"/>
  <c r="E59" i="12"/>
  <c r="C59" i="12"/>
  <c r="E58" i="12"/>
  <c r="C58" i="12"/>
  <c r="E57" i="12"/>
  <c r="C57" i="12"/>
  <c r="E56" i="12"/>
  <c r="C56" i="12"/>
  <c r="E55" i="12"/>
  <c r="C55" i="12"/>
  <c r="E54" i="12"/>
  <c r="C54" i="12"/>
  <c r="E53" i="12"/>
  <c r="C53" i="12"/>
  <c r="E52" i="12"/>
  <c r="C52" i="12"/>
  <c r="E51" i="12"/>
  <c r="C51" i="12"/>
  <c r="E50" i="12"/>
  <c r="C50" i="12"/>
  <c r="E49" i="12"/>
  <c r="C49" i="12"/>
  <c r="E48" i="12"/>
  <c r="C48" i="12"/>
  <c r="E47" i="12"/>
  <c r="C47" i="12"/>
  <c r="E46" i="12"/>
  <c r="C46" i="12"/>
  <c r="E45" i="12"/>
  <c r="C45" i="12"/>
  <c r="E43" i="12"/>
  <c r="C43" i="12"/>
  <c r="E42" i="12"/>
  <c r="C42" i="12"/>
  <c r="E41" i="12"/>
  <c r="C41" i="12"/>
  <c r="E40" i="12"/>
  <c r="C40" i="12"/>
  <c r="E39" i="12"/>
  <c r="C39" i="12"/>
  <c r="E38" i="12"/>
  <c r="C38" i="12"/>
  <c r="E37" i="12"/>
  <c r="C37" i="12"/>
  <c r="E36" i="12"/>
  <c r="C36" i="12"/>
  <c r="E35" i="12"/>
  <c r="C35" i="12"/>
  <c r="E34" i="12"/>
  <c r="C34" i="12"/>
  <c r="E33" i="12"/>
  <c r="C33" i="12"/>
  <c r="E32" i="12"/>
  <c r="C32" i="12"/>
  <c r="E31" i="12"/>
  <c r="C31" i="12"/>
  <c r="E30" i="12"/>
  <c r="C30" i="12"/>
  <c r="E29" i="12"/>
  <c r="C29" i="12"/>
  <c r="E28" i="12"/>
  <c r="C28" i="12"/>
  <c r="E27" i="12"/>
  <c r="C27" i="12"/>
  <c r="E26" i="12"/>
  <c r="C26" i="12"/>
  <c r="E25" i="12"/>
  <c r="C25" i="12"/>
  <c r="E24" i="12"/>
  <c r="C24" i="12"/>
  <c r="E23" i="12"/>
  <c r="C23" i="12"/>
  <c r="E22" i="12"/>
  <c r="C22" i="12"/>
  <c r="E21" i="12"/>
  <c r="C21" i="12"/>
  <c r="E20" i="12"/>
  <c r="C20" i="12"/>
  <c r="E19" i="12"/>
  <c r="C19" i="12"/>
  <c r="E18" i="12"/>
  <c r="C18" i="12"/>
  <c r="E17" i="12"/>
  <c r="C17" i="12"/>
  <c r="E16" i="12"/>
  <c r="C16" i="12"/>
  <c r="E15" i="12"/>
  <c r="C15" i="12"/>
  <c r="E14" i="12"/>
  <c r="C14" i="12"/>
  <c r="E13" i="12"/>
  <c r="C13" i="12"/>
  <c r="E12" i="12"/>
  <c r="C12" i="12"/>
  <c r="E11" i="12"/>
  <c r="C11" i="12"/>
  <c r="E10" i="12"/>
  <c r="C10" i="12"/>
  <c r="E9" i="12"/>
  <c r="C9" i="12"/>
  <c r="E8" i="12"/>
  <c r="C8" i="12"/>
  <c r="E7" i="12"/>
  <c r="C7" i="12"/>
  <c r="E6" i="12"/>
  <c r="C6" i="12"/>
  <c r="E254" i="13"/>
  <c r="C254" i="13"/>
  <c r="E253" i="13"/>
  <c r="C253" i="13"/>
  <c r="E252" i="13"/>
  <c r="C252" i="13"/>
  <c r="E251" i="13"/>
  <c r="C251" i="13"/>
  <c r="E250" i="13"/>
  <c r="C250" i="13"/>
  <c r="E249" i="13"/>
  <c r="C249" i="13"/>
  <c r="E248" i="13"/>
  <c r="C248" i="13"/>
  <c r="E247" i="13"/>
  <c r="C247" i="13"/>
  <c r="E246" i="13"/>
  <c r="C246" i="13"/>
  <c r="E245" i="13"/>
  <c r="C245" i="13"/>
  <c r="E244" i="13"/>
  <c r="C244" i="13"/>
  <c r="E243" i="13"/>
  <c r="C243" i="13"/>
  <c r="E242" i="13"/>
  <c r="C242" i="13"/>
  <c r="E241" i="13"/>
  <c r="C241" i="13"/>
  <c r="E240" i="13"/>
  <c r="C240" i="13"/>
  <c r="E239" i="13"/>
  <c r="C239" i="13"/>
  <c r="E238" i="13"/>
  <c r="C238" i="13"/>
  <c r="E237" i="13"/>
  <c r="C237" i="13"/>
  <c r="E236" i="13"/>
  <c r="C236" i="13"/>
  <c r="E235" i="13"/>
  <c r="C235" i="13"/>
  <c r="E234" i="13"/>
  <c r="C234" i="13"/>
  <c r="E233" i="13"/>
  <c r="C233" i="13"/>
  <c r="E232" i="13"/>
  <c r="C232" i="13"/>
  <c r="E231" i="13"/>
  <c r="C231" i="13"/>
  <c r="E230" i="13"/>
  <c r="C230" i="13"/>
  <c r="E229" i="13"/>
  <c r="C229" i="13"/>
  <c r="E228" i="13"/>
  <c r="C228" i="13"/>
  <c r="E227" i="13"/>
  <c r="C227" i="13"/>
  <c r="E226" i="13"/>
  <c r="C226" i="13"/>
  <c r="E225" i="13"/>
  <c r="C225" i="13"/>
  <c r="E224" i="13"/>
  <c r="C224" i="13"/>
  <c r="E223" i="13"/>
  <c r="C223" i="13"/>
  <c r="E222" i="13"/>
  <c r="C222" i="13"/>
  <c r="E221" i="13"/>
  <c r="C221" i="13"/>
  <c r="E220" i="13"/>
  <c r="C220" i="13"/>
  <c r="E219" i="13"/>
  <c r="C219" i="13"/>
  <c r="E218" i="13"/>
  <c r="C218" i="13"/>
  <c r="E217" i="13"/>
  <c r="C217" i="13"/>
  <c r="E216" i="13"/>
  <c r="C216" i="13"/>
  <c r="E215" i="13"/>
  <c r="C215" i="13"/>
  <c r="E214" i="13"/>
  <c r="C214" i="13"/>
  <c r="E213" i="13"/>
  <c r="C213" i="13"/>
  <c r="E212" i="13"/>
  <c r="C212" i="13"/>
  <c r="E211" i="13"/>
  <c r="C211" i="13"/>
  <c r="E210" i="13"/>
  <c r="C210" i="13"/>
  <c r="E209" i="13"/>
  <c r="C209" i="13"/>
  <c r="E208" i="13"/>
  <c r="C208" i="13"/>
  <c r="E207" i="13"/>
  <c r="C207" i="13"/>
  <c r="E206" i="13"/>
  <c r="C206" i="13"/>
  <c r="E205" i="13"/>
  <c r="C205" i="13"/>
  <c r="E204" i="13"/>
  <c r="C204" i="13"/>
  <c r="E203" i="13"/>
  <c r="C203" i="13"/>
  <c r="E202" i="13"/>
  <c r="C202" i="13"/>
  <c r="E201" i="13"/>
  <c r="C201" i="13"/>
  <c r="E200" i="13"/>
  <c r="C200" i="13"/>
  <c r="E199" i="13"/>
  <c r="C199" i="13"/>
  <c r="E198" i="13"/>
  <c r="C198" i="13"/>
  <c r="E197" i="13"/>
  <c r="C197" i="13"/>
  <c r="E196" i="13"/>
  <c r="C196" i="13"/>
  <c r="E195" i="13"/>
  <c r="C195" i="13"/>
  <c r="E194" i="13"/>
  <c r="C194" i="13"/>
  <c r="E193" i="13"/>
  <c r="C193" i="13"/>
  <c r="E192" i="13"/>
  <c r="C192" i="13"/>
  <c r="E191" i="13"/>
  <c r="C191" i="13"/>
  <c r="E190" i="13"/>
  <c r="C190" i="13"/>
  <c r="E189" i="13"/>
  <c r="C189" i="13"/>
  <c r="E188" i="13"/>
  <c r="C188" i="13"/>
  <c r="E187" i="13"/>
  <c r="C187" i="13"/>
  <c r="E186" i="13"/>
  <c r="C186" i="13"/>
  <c r="E185" i="13"/>
  <c r="C185" i="13"/>
  <c r="E184" i="13"/>
  <c r="C184" i="13"/>
  <c r="E183" i="13"/>
  <c r="C183" i="13"/>
  <c r="E182" i="13"/>
  <c r="C182" i="13"/>
  <c r="E181" i="13"/>
  <c r="C181" i="13"/>
  <c r="E180" i="13"/>
  <c r="C180" i="13"/>
  <c r="E179" i="13"/>
  <c r="C179" i="13"/>
  <c r="E178" i="13"/>
  <c r="C178" i="13"/>
  <c r="E177" i="13"/>
  <c r="C177" i="13"/>
  <c r="E176" i="13"/>
  <c r="C176" i="13"/>
  <c r="E175" i="13"/>
  <c r="C175" i="13"/>
  <c r="E174" i="13"/>
  <c r="C174" i="13"/>
  <c r="E173" i="13"/>
  <c r="C173" i="13"/>
  <c r="E172" i="13"/>
  <c r="C172" i="13"/>
  <c r="E171" i="13"/>
  <c r="C171" i="13"/>
  <c r="E170" i="13"/>
  <c r="C170" i="13"/>
  <c r="E169" i="13"/>
  <c r="C169" i="13"/>
  <c r="E168" i="13"/>
  <c r="C168" i="13"/>
  <c r="E167" i="13"/>
  <c r="C167" i="13"/>
  <c r="E166" i="13"/>
  <c r="C166" i="13"/>
  <c r="E165" i="13"/>
  <c r="C165" i="13"/>
  <c r="E164" i="13"/>
  <c r="C164" i="13"/>
  <c r="E163" i="13"/>
  <c r="C163" i="13"/>
  <c r="E162" i="13"/>
  <c r="C162" i="13"/>
  <c r="E161" i="13"/>
  <c r="C161" i="13"/>
  <c r="E160" i="13"/>
  <c r="C160" i="13"/>
  <c r="E159" i="13"/>
  <c r="C159" i="13"/>
  <c r="E158" i="13"/>
  <c r="C158" i="13"/>
  <c r="E157" i="13"/>
  <c r="C157" i="13"/>
  <c r="E156" i="13"/>
  <c r="C156" i="13"/>
  <c r="E155" i="13"/>
  <c r="C155" i="13"/>
  <c r="E154" i="13"/>
  <c r="C154" i="13"/>
  <c r="E153" i="13"/>
  <c r="C153" i="13"/>
  <c r="E152" i="13"/>
  <c r="C152" i="13"/>
  <c r="E151" i="13"/>
  <c r="C151" i="13"/>
  <c r="E150" i="13"/>
  <c r="C150" i="13"/>
  <c r="E149" i="13"/>
  <c r="C149" i="13"/>
  <c r="E148" i="13"/>
  <c r="C148" i="13"/>
  <c r="E147" i="13"/>
  <c r="C147" i="13"/>
  <c r="E146" i="13"/>
  <c r="C146" i="13"/>
  <c r="E145" i="13"/>
  <c r="C145" i="13"/>
  <c r="E144" i="13"/>
  <c r="C144" i="13"/>
  <c r="E143" i="13"/>
  <c r="C143" i="13"/>
  <c r="E142" i="13"/>
  <c r="C142" i="13"/>
  <c r="E141" i="13"/>
  <c r="C141" i="13"/>
  <c r="E140" i="13"/>
  <c r="C140" i="13"/>
  <c r="E139" i="13"/>
  <c r="C139" i="13"/>
  <c r="E138" i="13"/>
  <c r="C138" i="13"/>
  <c r="E137" i="13"/>
  <c r="C137" i="13"/>
  <c r="E136" i="13"/>
  <c r="C136" i="13"/>
  <c r="E135" i="13"/>
  <c r="C135" i="13"/>
  <c r="E134" i="13"/>
  <c r="C134" i="13"/>
  <c r="E133" i="13"/>
  <c r="C133" i="13"/>
  <c r="E132" i="13"/>
  <c r="C132" i="13"/>
  <c r="E131" i="13"/>
  <c r="C131" i="13"/>
  <c r="E130" i="13"/>
  <c r="C130" i="13"/>
  <c r="E129" i="13"/>
  <c r="C129" i="13"/>
  <c r="E128" i="13"/>
  <c r="C128" i="13"/>
  <c r="E127" i="13"/>
  <c r="C127" i="13"/>
  <c r="E126" i="13"/>
  <c r="C126" i="13"/>
  <c r="E125" i="13"/>
  <c r="C125" i="13"/>
  <c r="E124" i="13"/>
  <c r="C124" i="13"/>
  <c r="E123" i="13"/>
  <c r="C123" i="13"/>
  <c r="E122" i="13"/>
  <c r="C122" i="13"/>
  <c r="E121" i="13"/>
  <c r="C121" i="13"/>
  <c r="E119" i="13"/>
  <c r="C119" i="13"/>
  <c r="E118" i="13"/>
  <c r="C118" i="13"/>
  <c r="E117" i="13"/>
  <c r="C117" i="13"/>
  <c r="E116" i="13"/>
  <c r="C116" i="13"/>
  <c r="E115" i="13"/>
  <c r="C115" i="13"/>
  <c r="E114" i="13"/>
  <c r="C114" i="13"/>
  <c r="E113" i="13"/>
  <c r="C113" i="13"/>
  <c r="E112" i="13"/>
  <c r="C112" i="13"/>
  <c r="E111" i="13"/>
  <c r="C111" i="13"/>
  <c r="E110" i="13"/>
  <c r="C110" i="13"/>
  <c r="E109" i="13"/>
  <c r="C109" i="13"/>
  <c r="E108" i="13"/>
  <c r="C108" i="13"/>
  <c r="E107" i="13"/>
  <c r="C107" i="13"/>
  <c r="E106" i="13"/>
  <c r="C106" i="13"/>
  <c r="E105" i="13"/>
  <c r="C105" i="13"/>
  <c r="E104" i="13"/>
  <c r="C104" i="13"/>
  <c r="E103" i="13"/>
  <c r="C103" i="13"/>
  <c r="E102" i="13"/>
  <c r="C102" i="13"/>
  <c r="E101" i="13"/>
  <c r="C101" i="13"/>
  <c r="E100" i="13"/>
  <c r="C100" i="13"/>
  <c r="E98" i="13"/>
  <c r="C98" i="13"/>
  <c r="E97" i="13"/>
  <c r="C97" i="13"/>
  <c r="E96" i="13"/>
  <c r="C96" i="13"/>
  <c r="E95" i="13"/>
  <c r="C95" i="13"/>
  <c r="E94" i="13"/>
  <c r="C94" i="13"/>
  <c r="E93" i="13"/>
  <c r="C93" i="13"/>
  <c r="E92" i="13"/>
  <c r="C92" i="13"/>
  <c r="E91" i="13"/>
  <c r="C91" i="13"/>
  <c r="E90" i="13"/>
  <c r="C90" i="13"/>
  <c r="E89" i="13"/>
  <c r="C89" i="13"/>
  <c r="E88" i="13"/>
  <c r="C88" i="13"/>
  <c r="E87" i="13"/>
  <c r="C87" i="13"/>
  <c r="E86" i="13"/>
  <c r="C86" i="13"/>
  <c r="E85" i="13"/>
  <c r="C85" i="13"/>
  <c r="E84" i="13"/>
  <c r="C84" i="13"/>
  <c r="E83" i="13"/>
  <c r="C83" i="13"/>
  <c r="E82" i="13"/>
  <c r="C82" i="13"/>
  <c r="E81" i="13"/>
  <c r="C81" i="13"/>
  <c r="E80" i="13"/>
  <c r="C80" i="13"/>
  <c r="E79" i="13"/>
  <c r="C79" i="13"/>
  <c r="E77" i="13"/>
  <c r="C77" i="13"/>
  <c r="E76" i="13"/>
  <c r="C76" i="13"/>
  <c r="E75" i="13"/>
  <c r="C75" i="13"/>
  <c r="E74" i="13"/>
  <c r="C74" i="13"/>
  <c r="E73" i="13"/>
  <c r="C73" i="13"/>
  <c r="E72" i="13"/>
  <c r="C72" i="13"/>
  <c r="E71" i="13"/>
  <c r="C71" i="13"/>
  <c r="E70" i="13"/>
  <c r="C70" i="13"/>
  <c r="E69" i="13"/>
  <c r="C69" i="13"/>
  <c r="E68" i="13"/>
  <c r="C68" i="13"/>
  <c r="E67" i="13"/>
  <c r="C67" i="13"/>
  <c r="E66" i="13"/>
  <c r="C66" i="13"/>
  <c r="E65" i="13"/>
  <c r="C65" i="13"/>
  <c r="E64" i="13"/>
  <c r="C64" i="13"/>
  <c r="E63" i="13"/>
  <c r="C63" i="13"/>
  <c r="E62" i="13"/>
  <c r="C62" i="13"/>
  <c r="E61" i="13"/>
  <c r="C61" i="13"/>
  <c r="E60" i="13"/>
  <c r="C60" i="13"/>
  <c r="E59" i="13"/>
  <c r="C59" i="13"/>
  <c r="E58" i="13"/>
  <c r="C58" i="13"/>
  <c r="E57" i="13"/>
  <c r="C57" i="13"/>
  <c r="E56" i="13"/>
  <c r="C56" i="13"/>
  <c r="E55" i="13"/>
  <c r="C55" i="13"/>
  <c r="E54" i="13"/>
  <c r="C54" i="13"/>
  <c r="E53" i="13"/>
  <c r="C53" i="13"/>
  <c r="E52" i="13"/>
  <c r="C52" i="13"/>
  <c r="E51" i="13"/>
  <c r="C51" i="13"/>
  <c r="E50" i="13"/>
  <c r="C50" i="13"/>
  <c r="E49" i="13"/>
  <c r="C49" i="13"/>
  <c r="E48" i="13"/>
  <c r="C48" i="13"/>
  <c r="E47" i="13"/>
  <c r="C47" i="13"/>
  <c r="E46" i="13"/>
  <c r="C46" i="13"/>
  <c r="E45" i="13"/>
  <c r="C45" i="13"/>
  <c r="E43" i="13"/>
  <c r="C43" i="13"/>
  <c r="E42" i="13"/>
  <c r="C42" i="13"/>
  <c r="E41" i="13"/>
  <c r="C41" i="13"/>
  <c r="E40" i="13"/>
  <c r="C40" i="13"/>
  <c r="E39" i="13"/>
  <c r="C39" i="13"/>
  <c r="E38" i="13"/>
  <c r="C38" i="13"/>
  <c r="E37" i="13"/>
  <c r="C37" i="13"/>
  <c r="E36" i="13"/>
  <c r="C36" i="13"/>
  <c r="E35" i="13"/>
  <c r="C35" i="13"/>
  <c r="E34" i="13"/>
  <c r="C34" i="13"/>
  <c r="E33" i="13"/>
  <c r="C33" i="13"/>
  <c r="E32" i="13"/>
  <c r="C32" i="13"/>
  <c r="E31" i="13"/>
  <c r="C31" i="13"/>
  <c r="E30" i="13"/>
  <c r="C30" i="13"/>
  <c r="E29" i="13"/>
  <c r="C29" i="13"/>
  <c r="E28" i="13"/>
  <c r="C28" i="13"/>
  <c r="E27" i="13"/>
  <c r="C27" i="13"/>
  <c r="E26" i="13"/>
  <c r="C26" i="13"/>
  <c r="E25" i="13"/>
  <c r="C25" i="13"/>
  <c r="E24" i="13"/>
  <c r="C24" i="13"/>
  <c r="E23" i="13"/>
  <c r="C23" i="13"/>
  <c r="E22" i="13"/>
  <c r="C22" i="13"/>
  <c r="E21" i="13"/>
  <c r="C21" i="13"/>
  <c r="E20" i="13"/>
  <c r="C20" i="13"/>
  <c r="E19" i="13"/>
  <c r="C19" i="13"/>
  <c r="E18" i="13"/>
  <c r="C18" i="13"/>
  <c r="E17" i="13"/>
  <c r="C17" i="13"/>
  <c r="E16" i="13"/>
  <c r="C16" i="13"/>
  <c r="E15" i="13"/>
  <c r="C15" i="13"/>
  <c r="E14" i="13"/>
  <c r="C14" i="13"/>
  <c r="E13" i="13"/>
  <c r="C13" i="13"/>
  <c r="E12" i="13"/>
  <c r="C12" i="13"/>
  <c r="E11" i="13"/>
  <c r="C11" i="13"/>
  <c r="E10" i="13"/>
  <c r="C10" i="13"/>
  <c r="E9" i="13"/>
  <c r="C9" i="13"/>
  <c r="E8" i="13"/>
  <c r="C8" i="13"/>
  <c r="E7" i="13"/>
  <c r="C7" i="13"/>
  <c r="E6" i="13"/>
  <c r="C6" i="13"/>
  <c r="Z8" i="25" l="1"/>
  <c r="E76" i="38"/>
  <c r="F76" i="38"/>
  <c r="D51" i="18"/>
  <c r="AA7" i="39"/>
  <c r="Z8" i="39"/>
  <c r="AG7" i="39"/>
  <c r="H46" i="46"/>
  <c r="H47" i="46" s="1"/>
  <c r="F7" i="39"/>
  <c r="G71" i="45"/>
  <c r="E69" i="38"/>
  <c r="E71" i="38" s="1"/>
  <c r="E62" i="38"/>
  <c r="N14" i="18"/>
  <c r="N22" i="18" s="1"/>
  <c r="E63" i="38"/>
  <c r="X7" i="42"/>
  <c r="D12" i="38"/>
  <c r="D17" i="38" s="1"/>
  <c r="D24" i="38" s="1"/>
  <c r="D33" i="38" s="1"/>
  <c r="N39" i="18"/>
  <c r="C63" i="38"/>
  <c r="D63" i="38"/>
  <c r="C76" i="38"/>
  <c r="D76" i="38"/>
  <c r="X7" i="44"/>
  <c r="P7" i="44"/>
  <c r="O39" i="18"/>
  <c r="O14" i="18"/>
  <c r="O22" i="18" s="1"/>
  <c r="C62" i="38"/>
  <c r="D62" i="38"/>
  <c r="C12" i="38"/>
  <c r="C17" i="38" s="1"/>
  <c r="C24" i="38" s="1"/>
  <c r="C33" i="38" s="1"/>
  <c r="C69" i="38"/>
  <c r="C71" i="38" s="1"/>
  <c r="D69" i="38"/>
  <c r="D71" i="38" s="1"/>
  <c r="X7" i="40"/>
  <c r="M39" i="18"/>
  <c r="R7" i="40"/>
  <c r="Y17" i="40"/>
  <c r="Y49" i="40" s="1"/>
  <c r="M14" i="18"/>
  <c r="M22" i="18" s="1"/>
  <c r="E12" i="38"/>
  <c r="E17" i="38" s="1"/>
  <c r="E24" i="38" s="1"/>
  <c r="E33" i="38" s="1"/>
  <c r="F62" i="38"/>
  <c r="F63" i="38"/>
  <c r="F69" i="38"/>
  <c r="F71" i="38" s="1"/>
  <c r="G116" i="22"/>
  <c r="G252" i="22"/>
  <c r="G252" i="13"/>
  <c r="E252" i="14"/>
  <c r="C252" i="14"/>
  <c r="C76" i="22"/>
  <c r="C171" i="22"/>
  <c r="C14" i="22"/>
  <c r="E14" i="22"/>
  <c r="B3" i="22"/>
  <c r="C8" i="22"/>
  <c r="E32" i="22"/>
  <c r="C92" i="22"/>
  <c r="C105" i="22"/>
  <c r="C124" i="22"/>
  <c r="C132" i="22"/>
  <c r="C140" i="22"/>
  <c r="E147" i="22"/>
  <c r="E155" i="22"/>
  <c r="E163" i="22"/>
  <c r="E170" i="22"/>
  <c r="E178" i="22"/>
  <c r="E186" i="22"/>
  <c r="E200" i="22"/>
  <c r="C206" i="22"/>
  <c r="C212" i="22"/>
  <c r="E223" i="22"/>
  <c r="E229" i="22"/>
  <c r="E235" i="22"/>
  <c r="C241" i="22"/>
  <c r="Z21" i="39" l="1"/>
  <c r="Z57" i="39" s="1"/>
  <c r="Z21" i="25"/>
  <c r="Z56" i="25" s="1"/>
  <c r="N53" i="18"/>
  <c r="C65" i="38"/>
  <c r="C73" i="38" s="1"/>
  <c r="C78" i="38" s="1"/>
  <c r="C82" i="38" s="1"/>
  <c r="M53" i="18"/>
  <c r="M64" i="18"/>
  <c r="M66" i="18" s="1"/>
  <c r="E65" i="38"/>
  <c r="E73" i="38" s="1"/>
  <c r="E78" i="38" s="1"/>
  <c r="E82" i="38" s="1"/>
  <c r="D65" i="38"/>
  <c r="D73" i="38" s="1"/>
  <c r="D78" i="38" s="1"/>
  <c r="D82" i="38" s="1"/>
  <c r="N64" i="18"/>
  <c r="O53" i="18"/>
  <c r="O64" i="18"/>
  <c r="G252" i="14"/>
  <c r="F65" i="38"/>
  <c r="F73" i="38" s="1"/>
  <c r="F78" i="38" s="1"/>
  <c r="F82" i="38" s="1"/>
  <c r="G14" i="22"/>
  <c r="E234" i="22"/>
  <c r="E199" i="22"/>
  <c r="E154" i="22"/>
  <c r="E138" i="22"/>
  <c r="C104" i="22"/>
  <c r="C32" i="22"/>
  <c r="G32" i="22" s="1"/>
  <c r="E250" i="22"/>
  <c r="C233" i="22"/>
  <c r="E227" i="22"/>
  <c r="E221" i="22"/>
  <c r="E215" i="22"/>
  <c r="C204" i="22"/>
  <c r="C198" i="22"/>
  <c r="E183" i="22"/>
  <c r="E175" i="22"/>
  <c r="E167" i="22"/>
  <c r="E160" i="22"/>
  <c r="E152" i="22"/>
  <c r="E144" i="22"/>
  <c r="C137" i="22"/>
  <c r="C129" i="22"/>
  <c r="C121" i="22"/>
  <c r="C101" i="22"/>
  <c r="E75" i="22"/>
  <c r="E51" i="22"/>
  <c r="C26" i="22"/>
  <c r="C250" i="22"/>
  <c r="E244" i="22"/>
  <c r="E238" i="22"/>
  <c r="C227" i="22"/>
  <c r="C221" i="22"/>
  <c r="C215" i="22"/>
  <c r="E209" i="22"/>
  <c r="E190" i="22"/>
  <c r="E182" i="22"/>
  <c r="C175" i="22"/>
  <c r="C167" i="22"/>
  <c r="C159" i="22"/>
  <c r="C152" i="22"/>
  <c r="C144" i="22"/>
  <c r="C136" i="22"/>
  <c r="E88" i="22"/>
  <c r="C51" i="22"/>
  <c r="C15" i="22"/>
  <c r="C253" i="22"/>
  <c r="E205" i="22"/>
  <c r="E131" i="22"/>
  <c r="E57" i="22"/>
  <c r="C238" i="22"/>
  <c r="C197" i="22"/>
  <c r="E119" i="22"/>
  <c r="E86" i="22"/>
  <c r="E237" i="22"/>
  <c r="C214" i="22"/>
  <c r="E196" i="22"/>
  <c r="E173" i="22"/>
  <c r="C150" i="22"/>
  <c r="E118" i="22"/>
  <c r="E109" i="22"/>
  <c r="E97" i="22"/>
  <c r="E45" i="22"/>
  <c r="C20" i="22"/>
  <c r="C246" i="22"/>
  <c r="C217" i="22"/>
  <c r="C193" i="22"/>
  <c r="E123" i="22"/>
  <c r="E91" i="22"/>
  <c r="E232" i="22"/>
  <c r="C209" i="22"/>
  <c r="C190" i="22"/>
  <c r="E151" i="22"/>
  <c r="E135" i="22"/>
  <c r="E110" i="22"/>
  <c r="E20" i="22"/>
  <c r="E243" i="22"/>
  <c r="E231" i="22"/>
  <c r="C220" i="22"/>
  <c r="E208" i="22"/>
  <c r="E202" i="22"/>
  <c r="E189" i="22"/>
  <c r="E181" i="22"/>
  <c r="C166" i="22"/>
  <c r="C158" i="22"/>
  <c r="E254" i="22"/>
  <c r="E247" i="22"/>
  <c r="C236" i="22"/>
  <c r="C230" i="22"/>
  <c r="E224" i="22"/>
  <c r="E218" i="22"/>
  <c r="C201" i="22"/>
  <c r="C195" i="22"/>
  <c r="E187" i="22"/>
  <c r="E179" i="22"/>
  <c r="C172" i="22"/>
  <c r="C164" i="22"/>
  <c r="C156" i="22"/>
  <c r="E125" i="22"/>
  <c r="E115" i="22"/>
  <c r="C107" i="22"/>
  <c r="E94" i="22"/>
  <c r="C64" i="22"/>
  <c r="E240" i="22"/>
  <c r="E211" i="22"/>
  <c r="C185" i="22"/>
  <c r="E146" i="22"/>
  <c r="E113" i="22"/>
  <c r="C244" i="22"/>
  <c r="E226" i="22"/>
  <c r="E203" i="22"/>
  <c r="C182" i="22"/>
  <c r="E143" i="22"/>
  <c r="E128" i="22"/>
  <c r="C98" i="22"/>
  <c r="C70" i="22"/>
  <c r="C249" i="22"/>
  <c r="C254" i="22"/>
  <c r="G254" i="22" s="1"/>
  <c r="C247" i="22"/>
  <c r="G247" i="22" s="1"/>
  <c r="E241" i="22"/>
  <c r="G241" i="22" s="1"/>
  <c r="C224" i="22"/>
  <c r="C218" i="22"/>
  <c r="E212" i="22"/>
  <c r="G212" i="22" s="1"/>
  <c r="E206" i="22"/>
  <c r="G206" i="22" s="1"/>
  <c r="C194" i="22"/>
  <c r="C187" i="22"/>
  <c r="C179" i="22"/>
  <c r="E140" i="22"/>
  <c r="G140" i="22" s="1"/>
  <c r="E132" i="22"/>
  <c r="G132" i="22" s="1"/>
  <c r="E124" i="22"/>
  <c r="G124" i="22" s="1"/>
  <c r="C115" i="22"/>
  <c r="C94" i="22"/>
  <c r="E82" i="22"/>
  <c r="E38" i="22"/>
  <c r="E23" i="22"/>
  <c r="E35" i="22"/>
  <c r="C61" i="22"/>
  <c r="C73" i="22"/>
  <c r="C11" i="22"/>
  <c r="E29" i="22"/>
  <c r="C55" i="22"/>
  <c r="C80" i="22"/>
  <c r="C17" i="22"/>
  <c r="E41" i="22"/>
  <c r="C67" i="22"/>
  <c r="E36" i="22"/>
  <c r="C42" i="22"/>
  <c r="E49" i="22"/>
  <c r="C68" i="22"/>
  <c r="E30" i="22"/>
  <c r="C24" i="22"/>
  <c r="C12" i="22"/>
  <c r="C6" i="22"/>
  <c r="E253" i="22"/>
  <c r="E249" i="22"/>
  <c r="E246" i="22"/>
  <c r="C235" i="22"/>
  <c r="G235" i="22" s="1"/>
  <c r="C232" i="22"/>
  <c r="G232" i="22" s="1"/>
  <c r="C229" i="22"/>
  <c r="G229" i="22" s="1"/>
  <c r="C226" i="22"/>
  <c r="C223" i="22"/>
  <c r="G223" i="22" s="1"/>
  <c r="E220" i="22"/>
  <c r="E217" i="22"/>
  <c r="E214" i="22"/>
  <c r="C203" i="22"/>
  <c r="C200" i="22"/>
  <c r="G200" i="22" s="1"/>
  <c r="E193" i="22"/>
  <c r="E185" i="22"/>
  <c r="C178" i="22"/>
  <c r="G178" i="22" s="1"/>
  <c r="C170" i="22"/>
  <c r="G170" i="22" s="1"/>
  <c r="E166" i="22"/>
  <c r="C162" i="22"/>
  <c r="E158" i="22"/>
  <c r="C155" i="22"/>
  <c r="G155" i="22" s="1"/>
  <c r="E150" i="22"/>
  <c r="C147" i="22"/>
  <c r="G147" i="22" s="1"/>
  <c r="C143" i="22"/>
  <c r="C139" i="22"/>
  <c r="C135" i="22"/>
  <c r="C127" i="22"/>
  <c r="C119" i="22"/>
  <c r="G119" i="22" s="1"/>
  <c r="C110" i="22"/>
  <c r="E104" i="22"/>
  <c r="C86" i="22"/>
  <c r="E80" i="22"/>
  <c r="E73" i="22"/>
  <c r="E67" i="22"/>
  <c r="E61" i="22"/>
  <c r="E55" i="22"/>
  <c r="C49" i="22"/>
  <c r="C36" i="22"/>
  <c r="C30" i="22"/>
  <c r="E17" i="22"/>
  <c r="E11" i="22"/>
  <c r="C237" i="22"/>
  <c r="E228" i="22"/>
  <c r="E222" i="22"/>
  <c r="C205" i="22"/>
  <c r="C202" i="22"/>
  <c r="C199" i="22"/>
  <c r="C196" i="22"/>
  <c r="G196" i="22" s="1"/>
  <c r="E188" i="22"/>
  <c r="C181" i="22"/>
  <c r="G181" i="22" s="1"/>
  <c r="C173" i="22"/>
  <c r="E169" i="22"/>
  <c r="C165" i="22"/>
  <c r="E161" i="22"/>
  <c r="E153" i="22"/>
  <c r="C146" i="22"/>
  <c r="C138" i="22"/>
  <c r="E134" i="22"/>
  <c r="C130" i="22"/>
  <c r="E126" i="22"/>
  <c r="C123" i="22"/>
  <c r="E117" i="22"/>
  <c r="C113" i="22"/>
  <c r="C97" i="22"/>
  <c r="C91" i="22"/>
  <c r="E85" i="22"/>
  <c r="E79" i="22"/>
  <c r="E60" i="22"/>
  <c r="E54" i="22"/>
  <c r="E48" i="22"/>
  <c r="C41" i="22"/>
  <c r="G41" i="22" s="1"/>
  <c r="C35" i="22"/>
  <c r="C29" i="22"/>
  <c r="C23" i="22"/>
  <c r="E10" i="22"/>
  <c r="C243" i="22"/>
  <c r="C234" i="22"/>
  <c r="C208" i="22"/>
  <c r="E251" i="22"/>
  <c r="E248" i="22"/>
  <c r="E245" i="22"/>
  <c r="E242" i="22"/>
  <c r="E239" i="22"/>
  <c r="C228" i="22"/>
  <c r="C225" i="22"/>
  <c r="C222" i="22"/>
  <c r="E219" i="22"/>
  <c r="E216" i="22"/>
  <c r="E213" i="22"/>
  <c r="E210" i="22"/>
  <c r="E207" i="22"/>
  <c r="E192" i="22"/>
  <c r="C188" i="22"/>
  <c r="E184" i="22"/>
  <c r="E176" i="22"/>
  <c r="C169" i="22"/>
  <c r="C161" i="22"/>
  <c r="E157" i="22"/>
  <c r="C153" i="22"/>
  <c r="E149" i="22"/>
  <c r="E141" i="22"/>
  <c r="C134" i="22"/>
  <c r="C126" i="22"/>
  <c r="E122" i="22"/>
  <c r="C117" i="22"/>
  <c r="E112" i="22"/>
  <c r="C102" i="22"/>
  <c r="C95" i="22"/>
  <c r="E89" i="22"/>
  <c r="E83" i="22"/>
  <c r="C71" i="22"/>
  <c r="C65" i="22"/>
  <c r="E58" i="22"/>
  <c r="E52" i="22"/>
  <c r="E46" i="22"/>
  <c r="E39" i="22"/>
  <c r="C33" i="22"/>
  <c r="C27" i="22"/>
  <c r="C21" i="22"/>
  <c r="E9" i="22"/>
  <c r="E18" i="22"/>
  <c r="C22" i="22"/>
  <c r="C28" i="22"/>
  <c r="C31" i="22"/>
  <c r="C37" i="22"/>
  <c r="C40" i="22"/>
  <c r="C43" i="22"/>
  <c r="E47" i="22"/>
  <c r="C50" i="22"/>
  <c r="E53" i="22"/>
  <c r="E56" i="22"/>
  <c r="C59" i="22"/>
  <c r="E62" i="22"/>
  <c r="E74" i="22"/>
  <c r="E77" i="22"/>
  <c r="E81" i="22"/>
  <c r="C84" i="22"/>
  <c r="C87" i="22"/>
  <c r="C90" i="22"/>
  <c r="C93" i="22"/>
  <c r="C96" i="22"/>
  <c r="E108" i="22"/>
  <c r="E111" i="22"/>
  <c r="E114" i="22"/>
  <c r="C118" i="22"/>
  <c r="C122" i="22"/>
  <c r="C125" i="22"/>
  <c r="C128" i="22"/>
  <c r="C131" i="22"/>
  <c r="E142" i="22"/>
  <c r="E145" i="22"/>
  <c r="E148" i="22"/>
  <c r="C151" i="22"/>
  <c r="C154" i="22"/>
  <c r="C157" i="22"/>
  <c r="C160" i="22"/>
  <c r="C163" i="22"/>
  <c r="G163" i="22" s="1"/>
  <c r="E174" i="22"/>
  <c r="E177" i="22"/>
  <c r="E180" i="22"/>
  <c r="C183" i="22"/>
  <c r="C186" i="22"/>
  <c r="G186" i="22" s="1"/>
  <c r="C189" i="22"/>
  <c r="C192" i="22"/>
  <c r="C7" i="22"/>
  <c r="C13" i="22"/>
  <c r="C16" i="22"/>
  <c r="C19" i="22"/>
  <c r="E22" i="22"/>
  <c r="C25" i="22"/>
  <c r="E28" i="22"/>
  <c r="E31" i="22"/>
  <c r="C34" i="22"/>
  <c r="E37" i="22"/>
  <c r="E40" i="22"/>
  <c r="E43" i="22"/>
  <c r="E50" i="22"/>
  <c r="E59" i="22"/>
  <c r="C63" i="22"/>
  <c r="C66" i="22"/>
  <c r="C69" i="22"/>
  <c r="C72" i="22"/>
  <c r="E84" i="22"/>
  <c r="E87" i="22"/>
  <c r="E90" i="22"/>
  <c r="E93" i="22"/>
  <c r="E96" i="22"/>
  <c r="C100" i="22"/>
  <c r="C103" i="22"/>
  <c r="C106" i="22"/>
  <c r="E7" i="22"/>
  <c r="C10" i="22"/>
  <c r="E13" i="22"/>
  <c r="E16" i="22"/>
  <c r="E19" i="22"/>
  <c r="E25" i="22"/>
  <c r="E34" i="22"/>
  <c r="C38" i="22"/>
  <c r="C45" i="22"/>
  <c r="C48" i="22"/>
  <c r="C54" i="22"/>
  <c r="C57" i="22"/>
  <c r="C60" i="22"/>
  <c r="E63" i="22"/>
  <c r="E66" i="22"/>
  <c r="E69" i="22"/>
  <c r="E72" i="22"/>
  <c r="C75" i="22"/>
  <c r="C79" i="22"/>
  <c r="C82" i="22"/>
  <c r="C85" i="22"/>
  <c r="C88" i="22"/>
  <c r="E100" i="22"/>
  <c r="E103" i="22"/>
  <c r="E106" i="22"/>
  <c r="C109" i="22"/>
  <c r="E6" i="22"/>
  <c r="C9" i="22"/>
  <c r="E12" i="22"/>
  <c r="E15" i="22"/>
  <c r="C18" i="22"/>
  <c r="E21" i="22"/>
  <c r="E24" i="22"/>
  <c r="E27" i="22"/>
  <c r="E33" i="22"/>
  <c r="E42" i="22"/>
  <c r="C47" i="22"/>
  <c r="C53" i="22"/>
  <c r="C56" i="22"/>
  <c r="C62" i="22"/>
  <c r="E65" i="22"/>
  <c r="E68" i="22"/>
  <c r="E71" i="22"/>
  <c r="C74" i="22"/>
  <c r="C77" i="22"/>
  <c r="C81" i="22"/>
  <c r="E92" i="22"/>
  <c r="G92" i="22" s="1"/>
  <c r="E95" i="22"/>
  <c r="E98" i="22"/>
  <c r="E102" i="22"/>
  <c r="E105" i="22"/>
  <c r="G105" i="22" s="1"/>
  <c r="C108" i="22"/>
  <c r="C111" i="22"/>
  <c r="C114" i="22"/>
  <c r="E127" i="22"/>
  <c r="E130" i="22"/>
  <c r="E133" i="22"/>
  <c r="E136" i="22"/>
  <c r="E139" i="22"/>
  <c r="C142" i="22"/>
  <c r="C145" i="22"/>
  <c r="C148" i="22"/>
  <c r="E159" i="22"/>
  <c r="E162" i="22"/>
  <c r="E165" i="22"/>
  <c r="E168" i="22"/>
  <c r="E171" i="22"/>
  <c r="G171" i="22" s="1"/>
  <c r="C174" i="22"/>
  <c r="C177" i="22"/>
  <c r="C180" i="22"/>
  <c r="E191" i="22"/>
  <c r="E194" i="22"/>
  <c r="E197" i="22"/>
  <c r="C240" i="22"/>
  <c r="C231" i="22"/>
  <c r="E225" i="22"/>
  <c r="C211" i="22"/>
  <c r="C251" i="22"/>
  <c r="C248" i="22"/>
  <c r="C245" i="22"/>
  <c r="C242" i="22"/>
  <c r="C239" i="22"/>
  <c r="E236" i="22"/>
  <c r="E233" i="22"/>
  <c r="E230" i="22"/>
  <c r="C219" i="22"/>
  <c r="C216" i="22"/>
  <c r="C213" i="22"/>
  <c r="C210" i="22"/>
  <c r="C207" i="22"/>
  <c r="E204" i="22"/>
  <c r="E201" i="22"/>
  <c r="E198" i="22"/>
  <c r="E195" i="22"/>
  <c r="C191" i="22"/>
  <c r="C184" i="22"/>
  <c r="G184" i="22" s="1"/>
  <c r="C176" i="22"/>
  <c r="G176" i="22" s="1"/>
  <c r="E172" i="22"/>
  <c r="C168" i="22"/>
  <c r="E164" i="22"/>
  <c r="E156" i="22"/>
  <c r="C149" i="22"/>
  <c r="C141" i="22"/>
  <c r="E137" i="22"/>
  <c r="C133" i="22"/>
  <c r="E129" i="22"/>
  <c r="E121" i="22"/>
  <c r="C112" i="22"/>
  <c r="E107" i="22"/>
  <c r="E101" i="22"/>
  <c r="C89" i="22"/>
  <c r="C83" i="22"/>
  <c r="G83" i="22" s="1"/>
  <c r="E76" i="22"/>
  <c r="G76" i="22" s="1"/>
  <c r="E70" i="22"/>
  <c r="E64" i="22"/>
  <c r="C58" i="22"/>
  <c r="C52" i="22"/>
  <c r="C46" i="22"/>
  <c r="C39" i="22"/>
  <c r="E26" i="22"/>
  <c r="E8" i="22"/>
  <c r="G8" i="22" s="1"/>
  <c r="F24" i="38" l="1"/>
  <c r="F28" i="38" s="1"/>
  <c r="M68" i="18"/>
  <c r="M76" i="18" s="1"/>
  <c r="G192" i="22"/>
  <c r="AD7" i="40"/>
  <c r="AF7" i="40" s="1"/>
  <c r="N66" i="18"/>
  <c r="N68" i="18" s="1"/>
  <c r="N76" i="18" s="1"/>
  <c r="AD7" i="42"/>
  <c r="AF7" i="42" s="1"/>
  <c r="O66" i="18"/>
  <c r="O68" i="18" s="1"/>
  <c r="O76" i="18" s="1"/>
  <c r="AD7" i="44"/>
  <c r="AF7" i="44" s="1"/>
  <c r="G133" i="22"/>
  <c r="G110" i="22"/>
  <c r="G143" i="22"/>
  <c r="G179" i="22"/>
  <c r="G187" i="22"/>
  <c r="G75" i="22"/>
  <c r="G39" i="22"/>
  <c r="G244" i="22"/>
  <c r="G168" i="22"/>
  <c r="G151" i="22"/>
  <c r="G202" i="22"/>
  <c r="G131" i="22"/>
  <c r="G80" i="22"/>
  <c r="G211" i="22"/>
  <c r="G47" i="22"/>
  <c r="G189" i="22"/>
  <c r="G167" i="22"/>
  <c r="G160" i="22"/>
  <c r="G128" i="22"/>
  <c r="G9" i="22"/>
  <c r="G57" i="22"/>
  <c r="G122" i="22"/>
  <c r="G87" i="22"/>
  <c r="G22" i="22"/>
  <c r="G135" i="22"/>
  <c r="G11" i="22"/>
  <c r="G85" i="22"/>
  <c r="G157" i="22"/>
  <c r="G125" i="22"/>
  <c r="G90" i="22"/>
  <c r="G102" i="22"/>
  <c r="G123" i="22"/>
  <c r="G49" i="22"/>
  <c r="G198" i="22"/>
  <c r="G205" i="22"/>
  <c r="G203" i="22"/>
  <c r="G68" i="22"/>
  <c r="G194" i="22"/>
  <c r="G249" i="22"/>
  <c r="G107" i="22"/>
  <c r="G175" i="22"/>
  <c r="G137" i="22"/>
  <c r="G104" i="22"/>
  <c r="G174" i="22"/>
  <c r="G108" i="22"/>
  <c r="G142" i="22"/>
  <c r="G74" i="22"/>
  <c r="G23" i="22"/>
  <c r="G193" i="22"/>
  <c r="G48" i="22"/>
  <c r="G15" i="22"/>
  <c r="G177" i="22"/>
  <c r="G111" i="22"/>
  <c r="G63" i="22"/>
  <c r="G153" i="22"/>
  <c r="G98" i="22"/>
  <c r="G231" i="22"/>
  <c r="G79" i="22"/>
  <c r="G118" i="22"/>
  <c r="G165" i="22"/>
  <c r="G195" i="22"/>
  <c r="G145" i="22"/>
  <c r="G77" i="22"/>
  <c r="AA6" i="25" s="1"/>
  <c r="G60" i="22"/>
  <c r="G82" i="22"/>
  <c r="G25" i="22"/>
  <c r="G154" i="22"/>
  <c r="G240" i="22"/>
  <c r="G65" i="22"/>
  <c r="G188" i="22"/>
  <c r="G234" i="22"/>
  <c r="G199" i="22"/>
  <c r="G89" i="22"/>
  <c r="G141" i="22"/>
  <c r="G191" i="22"/>
  <c r="G149" i="22"/>
  <c r="G219" i="22"/>
  <c r="G251" i="22"/>
  <c r="G62" i="22"/>
  <c r="G106" i="22"/>
  <c r="G72" i="22"/>
  <c r="G40" i="22"/>
  <c r="G208" i="22"/>
  <c r="G35" i="22"/>
  <c r="G224" i="22"/>
  <c r="G190" i="22"/>
  <c r="G152" i="22"/>
  <c r="G221" i="22"/>
  <c r="G88" i="22"/>
  <c r="G36" i="22"/>
  <c r="G209" i="22"/>
  <c r="G253" i="22"/>
  <c r="G159" i="22"/>
  <c r="G227" i="22"/>
  <c r="G84" i="22"/>
  <c r="G117" i="22"/>
  <c r="G161" i="22"/>
  <c r="G130" i="22"/>
  <c r="G173" i="22"/>
  <c r="G127" i="22"/>
  <c r="G162" i="22"/>
  <c r="G201" i="22"/>
  <c r="G166" i="22"/>
  <c r="G197" i="22"/>
  <c r="G51" i="22"/>
  <c r="G250" i="22"/>
  <c r="G207" i="22"/>
  <c r="G129" i="22"/>
  <c r="G54" i="22"/>
  <c r="G204" i="22"/>
  <c r="G213" i="22"/>
  <c r="G10" i="22"/>
  <c r="G19" i="22"/>
  <c r="G42" i="22"/>
  <c r="G216" i="22"/>
  <c r="G248" i="22"/>
  <c r="G45" i="22"/>
  <c r="E255" i="22"/>
  <c r="G16" i="22"/>
  <c r="G43" i="22"/>
  <c r="G21" i="22"/>
  <c r="G71" i="22"/>
  <c r="G126" i="22"/>
  <c r="G29" i="22"/>
  <c r="G91" i="22"/>
  <c r="G138" i="22"/>
  <c r="G139" i="22"/>
  <c r="G73" i="22"/>
  <c r="G218" i="22"/>
  <c r="G185" i="22"/>
  <c r="G156" i="22"/>
  <c r="G217" i="22"/>
  <c r="G150" i="22"/>
  <c r="G238" i="22"/>
  <c r="G26" i="22"/>
  <c r="G121" i="22"/>
  <c r="G237" i="22"/>
  <c r="G115" i="22"/>
  <c r="G27" i="22"/>
  <c r="G134" i="22"/>
  <c r="G222" i="22"/>
  <c r="G97" i="22"/>
  <c r="G146" i="22"/>
  <c r="G6" i="22"/>
  <c r="G67" i="22"/>
  <c r="G61" i="22"/>
  <c r="G164" i="22"/>
  <c r="G230" i="22"/>
  <c r="G246" i="22"/>
  <c r="H20" i="19" s="1"/>
  <c r="G136" i="22"/>
  <c r="G239" i="22"/>
  <c r="G210" i="22"/>
  <c r="G50" i="22"/>
  <c r="G70" i="22"/>
  <c r="G245" i="22"/>
  <c r="G38" i="22"/>
  <c r="G52" i="22"/>
  <c r="G56" i="22"/>
  <c r="G18" i="22"/>
  <c r="G103" i="22"/>
  <c r="G69" i="22"/>
  <c r="G34" i="22"/>
  <c r="C255" i="22"/>
  <c r="G7" i="22"/>
  <c r="G96" i="22"/>
  <c r="G37" i="22"/>
  <c r="G33" i="22"/>
  <c r="G225" i="22"/>
  <c r="G113" i="22"/>
  <c r="G30" i="22"/>
  <c r="G86" i="22"/>
  <c r="G226" i="22"/>
  <c r="G12" i="22"/>
  <c r="G182" i="22"/>
  <c r="G172" i="22"/>
  <c r="G236" i="22"/>
  <c r="G144" i="22"/>
  <c r="G215" i="22"/>
  <c r="G233" i="22"/>
  <c r="G28" i="22"/>
  <c r="G55" i="22"/>
  <c r="G158" i="22"/>
  <c r="G242" i="22"/>
  <c r="G183" i="22"/>
  <c r="G94" i="22"/>
  <c r="G109" i="22"/>
  <c r="G169" i="22"/>
  <c r="G46" i="22"/>
  <c r="G13" i="22"/>
  <c r="G58" i="22"/>
  <c r="G112" i="22"/>
  <c r="G180" i="22"/>
  <c r="G148" i="22"/>
  <c r="G114" i="22"/>
  <c r="G81" i="22"/>
  <c r="G53" i="22"/>
  <c r="G100" i="22"/>
  <c r="G66" i="22"/>
  <c r="G93" i="22"/>
  <c r="G59" i="22"/>
  <c r="G31" i="22"/>
  <c r="G95" i="22"/>
  <c r="G228" i="22"/>
  <c r="G243" i="22"/>
  <c r="G24" i="22"/>
  <c r="G17" i="22"/>
  <c r="G64" i="22"/>
  <c r="G220" i="22"/>
  <c r="G20" i="22"/>
  <c r="G214" i="22"/>
  <c r="G101" i="22"/>
  <c r="J26" i="46" l="1"/>
  <c r="K26" i="46" s="1"/>
  <c r="AI11" i="39"/>
  <c r="F33" i="38"/>
  <c r="F36" i="38" s="1"/>
  <c r="D64" i="18"/>
  <c r="J46" i="46" s="1"/>
  <c r="H29" i="18"/>
  <c r="H15" i="19"/>
  <c r="G255" i="22"/>
  <c r="AI7" i="39" l="1"/>
  <c r="AK7" i="39" s="1"/>
  <c r="E116" i="14"/>
  <c r="C116" i="14"/>
  <c r="G116" i="13"/>
  <c r="E116" i="1"/>
  <c r="C116" i="1"/>
  <c r="G116" i="1" l="1"/>
  <c r="G116" i="14"/>
  <c r="G116" i="12"/>
  <c r="H63" i="18" l="1"/>
  <c r="I38" i="46" s="1"/>
  <c r="I39" i="46" s="1"/>
  <c r="E125" i="1"/>
  <c r="C125" i="14"/>
  <c r="H18" i="18"/>
  <c r="F18" i="18"/>
  <c r="E54" i="25"/>
  <c r="E53" i="25"/>
  <c r="E52" i="25"/>
  <c r="E51" i="25"/>
  <c r="E46" i="25"/>
  <c r="I41" i="45" s="1"/>
  <c r="E45" i="25"/>
  <c r="E44" i="25"/>
  <c r="E43" i="25"/>
  <c r="E42" i="25"/>
  <c r="E41" i="25"/>
  <c r="E36" i="25"/>
  <c r="E35" i="25"/>
  <c r="E22" i="25"/>
  <c r="E13" i="25"/>
  <c r="E12" i="25"/>
  <c r="T7" i="25"/>
  <c r="S7" i="25"/>
  <c r="Q7" i="25"/>
  <c r="H7" i="25"/>
  <c r="T6" i="25"/>
  <c r="S6" i="25"/>
  <c r="Q6" i="25"/>
  <c r="H6" i="25"/>
  <c r="M6" i="25" l="1"/>
  <c r="K18" i="18"/>
  <c r="M6" i="40"/>
  <c r="M8" i="40" s="1"/>
  <c r="M17" i="40" s="1"/>
  <c r="E17" i="40" s="1"/>
  <c r="M6" i="42"/>
  <c r="M8" i="42" s="1"/>
  <c r="M6" i="44"/>
  <c r="M8" i="44" s="1"/>
  <c r="M7" i="25"/>
  <c r="M6" i="39"/>
  <c r="M8" i="39" s="1"/>
  <c r="M21" i="39" s="1"/>
  <c r="AH6" i="25"/>
  <c r="E125" i="14"/>
  <c r="G125" i="14" s="1"/>
  <c r="F63" i="18" s="1"/>
  <c r="K63" i="18" s="1"/>
  <c r="G125" i="13"/>
  <c r="P63" i="18" s="1"/>
  <c r="G125" i="12"/>
  <c r="Q63" i="18" s="1"/>
  <c r="C125" i="1"/>
  <c r="G125" i="1" s="1"/>
  <c r="R63" i="18" s="1"/>
  <c r="H8" i="25"/>
  <c r="Q8" i="25"/>
  <c r="T8" i="25"/>
  <c r="T56" i="25" s="1"/>
  <c r="S8" i="25"/>
  <c r="M8" i="25" l="1"/>
  <c r="I46" i="46"/>
  <c r="I47" i="46" s="1"/>
  <c r="I42" i="46"/>
  <c r="I43" i="46" s="1"/>
  <c r="M49" i="40"/>
  <c r="M17" i="44"/>
  <c r="E17" i="44" s="1"/>
  <c r="M17" i="42"/>
  <c r="E17" i="42" s="1"/>
  <c r="AC6" i="40"/>
  <c r="AC8" i="40" s="1"/>
  <c r="AC41" i="40" s="1"/>
  <c r="E41" i="40" s="1"/>
  <c r="AC6" i="42"/>
  <c r="AC8" i="42" s="1"/>
  <c r="AC6" i="44"/>
  <c r="AC8" i="44" s="1"/>
  <c r="AH7" i="25"/>
  <c r="AH8" i="25" s="1"/>
  <c r="AH47" i="25" s="1"/>
  <c r="E47" i="25" s="1"/>
  <c r="I44" i="45" s="1"/>
  <c r="AH6" i="39"/>
  <c r="AH8" i="39" s="1"/>
  <c r="E21" i="39"/>
  <c r="S50" i="25"/>
  <c r="Q28" i="25"/>
  <c r="E28" i="25" s="1"/>
  <c r="I24" i="45" s="1"/>
  <c r="H24" i="25"/>
  <c r="E24" i="25" s="1"/>
  <c r="I20" i="45" s="1"/>
  <c r="M21" i="25" l="1"/>
  <c r="E21" i="25" s="1"/>
  <c r="M57" i="39"/>
  <c r="M49" i="44"/>
  <c r="AC49" i="40"/>
  <c r="M49" i="42"/>
  <c r="AC41" i="42"/>
  <c r="E41" i="42" s="1"/>
  <c r="AC41" i="44"/>
  <c r="E41" i="44" s="1"/>
  <c r="AH48" i="39"/>
  <c r="E48" i="39" s="1"/>
  <c r="G44" i="45" s="1"/>
  <c r="M56" i="25"/>
  <c r="S56" i="25"/>
  <c r="H56" i="25"/>
  <c r="AH56" i="25"/>
  <c r="Q56" i="25"/>
  <c r="AC49" i="44" l="1"/>
  <c r="AH57" i="39"/>
  <c r="AC49" i="42"/>
  <c r="J1" i="24"/>
  <c r="M1" i="24"/>
  <c r="D1" i="24"/>
  <c r="G1" i="24"/>
  <c r="O34" i="19"/>
  <c r="M15" i="24" s="1"/>
  <c r="M28" i="24" s="1"/>
  <c r="M32" i="24" s="1"/>
  <c r="Q32" i="19"/>
  <c r="Q31" i="19"/>
  <c r="Q30" i="19"/>
  <c r="Q29" i="19"/>
  <c r="Q28" i="19"/>
  <c r="Q27" i="19"/>
  <c r="Q26" i="19"/>
  <c r="Q25" i="19"/>
  <c r="Q24" i="19"/>
  <c r="Q23" i="19"/>
  <c r="Q22" i="19"/>
  <c r="Q34" i="19" l="1"/>
  <c r="H34" i="19" s="1"/>
  <c r="G15" i="24"/>
  <c r="G28" i="24" s="1"/>
  <c r="J15" i="24"/>
  <c r="J28" i="24" s="1"/>
  <c r="K4" i="24"/>
  <c r="K15" i="24" s="1"/>
  <c r="N4" i="24"/>
  <c r="N15" i="24" s="1"/>
  <c r="E4" i="24"/>
  <c r="E15" i="24" s="1"/>
  <c r="D15" i="24"/>
  <c r="D28" i="24" s="1"/>
  <c r="H4" i="24"/>
  <c r="H15" i="24" s="1"/>
  <c r="H26" i="19"/>
  <c r="H21" i="19"/>
  <c r="E254" i="14"/>
  <c r="C254" i="14"/>
  <c r="E253" i="14"/>
  <c r="C253" i="14"/>
  <c r="E251" i="14"/>
  <c r="C251" i="14"/>
  <c r="E250" i="14"/>
  <c r="C250" i="14"/>
  <c r="E249" i="14"/>
  <c r="C249" i="14"/>
  <c r="E248" i="14"/>
  <c r="C248" i="14"/>
  <c r="E247" i="14"/>
  <c r="C247" i="14"/>
  <c r="E246" i="14"/>
  <c r="C246" i="14"/>
  <c r="E245" i="14"/>
  <c r="C245" i="14"/>
  <c r="E244" i="14"/>
  <c r="C244" i="14"/>
  <c r="E243" i="14"/>
  <c r="C243" i="14"/>
  <c r="E242" i="14"/>
  <c r="C242" i="14"/>
  <c r="E241" i="14"/>
  <c r="C241" i="14"/>
  <c r="E240" i="14"/>
  <c r="C240" i="14"/>
  <c r="E239" i="14"/>
  <c r="C239" i="14"/>
  <c r="E238" i="14"/>
  <c r="C238" i="14"/>
  <c r="E237" i="14"/>
  <c r="C237" i="14"/>
  <c r="E236" i="14"/>
  <c r="C236" i="14"/>
  <c r="E235" i="14"/>
  <c r="C235" i="14"/>
  <c r="E234" i="14"/>
  <c r="C234" i="14"/>
  <c r="E233" i="14"/>
  <c r="C233" i="14"/>
  <c r="E232" i="14"/>
  <c r="C232" i="14"/>
  <c r="E231" i="14"/>
  <c r="C231" i="14"/>
  <c r="E230" i="14"/>
  <c r="C230" i="14"/>
  <c r="E229" i="14"/>
  <c r="C229" i="14"/>
  <c r="E228" i="14"/>
  <c r="C228" i="14"/>
  <c r="E227" i="14"/>
  <c r="C227" i="14"/>
  <c r="E226" i="14"/>
  <c r="C226" i="14"/>
  <c r="E225" i="14"/>
  <c r="C225" i="14"/>
  <c r="E224" i="14"/>
  <c r="C224" i="14"/>
  <c r="E223" i="14"/>
  <c r="C223" i="14"/>
  <c r="E222" i="14"/>
  <c r="C222" i="14"/>
  <c r="E221" i="14"/>
  <c r="C221" i="14"/>
  <c r="E220" i="14"/>
  <c r="C220" i="14"/>
  <c r="E219" i="14"/>
  <c r="C219" i="14"/>
  <c r="E218" i="14"/>
  <c r="C218" i="14"/>
  <c r="E217" i="14"/>
  <c r="C217" i="14"/>
  <c r="E216" i="14"/>
  <c r="C216" i="14"/>
  <c r="E215" i="14"/>
  <c r="C215" i="14"/>
  <c r="E214" i="14"/>
  <c r="C214" i="14"/>
  <c r="E213" i="14"/>
  <c r="C213" i="14"/>
  <c r="E212" i="14"/>
  <c r="C212" i="14"/>
  <c r="E211" i="14"/>
  <c r="C211" i="14"/>
  <c r="E210" i="14"/>
  <c r="C210" i="14"/>
  <c r="E209" i="14"/>
  <c r="C209" i="14"/>
  <c r="E208" i="14"/>
  <c r="C208" i="14"/>
  <c r="E207" i="14"/>
  <c r="C207" i="14"/>
  <c r="E206" i="14"/>
  <c r="C206" i="14"/>
  <c r="E205" i="14"/>
  <c r="C205" i="14"/>
  <c r="E204" i="14"/>
  <c r="C204" i="14"/>
  <c r="E203" i="14"/>
  <c r="C203" i="14"/>
  <c r="E202" i="14"/>
  <c r="C202" i="14"/>
  <c r="E201" i="14"/>
  <c r="C201" i="14"/>
  <c r="E200" i="14"/>
  <c r="C200" i="14"/>
  <c r="E199" i="14"/>
  <c r="C199" i="14"/>
  <c r="E198" i="14"/>
  <c r="C198" i="14"/>
  <c r="E197" i="14"/>
  <c r="C197" i="14"/>
  <c r="E196" i="14"/>
  <c r="C196" i="14"/>
  <c r="E195" i="14"/>
  <c r="C195" i="14"/>
  <c r="E194" i="14"/>
  <c r="C194" i="14"/>
  <c r="E193" i="14"/>
  <c r="C193" i="14"/>
  <c r="E192" i="14"/>
  <c r="C192" i="14"/>
  <c r="E191" i="14"/>
  <c r="C191" i="14"/>
  <c r="E190" i="14"/>
  <c r="C190" i="14"/>
  <c r="E189" i="14"/>
  <c r="C189" i="14"/>
  <c r="E188" i="14"/>
  <c r="C188" i="14"/>
  <c r="E187" i="14"/>
  <c r="C187" i="14"/>
  <c r="E186" i="14"/>
  <c r="C186" i="14"/>
  <c r="E185" i="14"/>
  <c r="C185" i="14"/>
  <c r="E184" i="14"/>
  <c r="C184" i="14"/>
  <c r="E183" i="14"/>
  <c r="C183" i="14"/>
  <c r="E182" i="14"/>
  <c r="C182" i="14"/>
  <c r="E181" i="14"/>
  <c r="C181" i="14"/>
  <c r="E180" i="14"/>
  <c r="C180" i="14"/>
  <c r="E179" i="14"/>
  <c r="C179" i="14"/>
  <c r="E178" i="14"/>
  <c r="C178" i="14"/>
  <c r="E177" i="14"/>
  <c r="C177" i="14"/>
  <c r="E176" i="14"/>
  <c r="C176" i="14"/>
  <c r="E175" i="14"/>
  <c r="C175" i="14"/>
  <c r="E174" i="14"/>
  <c r="C174" i="14"/>
  <c r="E173" i="14"/>
  <c r="C173" i="14"/>
  <c r="E172" i="14"/>
  <c r="C172" i="14"/>
  <c r="E171" i="14"/>
  <c r="C171" i="14"/>
  <c r="E170" i="14"/>
  <c r="C170" i="14"/>
  <c r="E169" i="14"/>
  <c r="C169" i="14"/>
  <c r="E168" i="14"/>
  <c r="C168" i="14"/>
  <c r="E167" i="14"/>
  <c r="C167" i="14"/>
  <c r="E166" i="14"/>
  <c r="C166" i="14"/>
  <c r="E165" i="14"/>
  <c r="C165" i="14"/>
  <c r="E164" i="14"/>
  <c r="C164" i="14"/>
  <c r="E163" i="14"/>
  <c r="C163" i="14"/>
  <c r="E162" i="14"/>
  <c r="C162" i="14"/>
  <c r="E161" i="14"/>
  <c r="C161" i="14"/>
  <c r="E160" i="14"/>
  <c r="C160" i="14"/>
  <c r="E159" i="14"/>
  <c r="C159" i="14"/>
  <c r="E158" i="14"/>
  <c r="C158" i="14"/>
  <c r="E157" i="14"/>
  <c r="C157" i="14"/>
  <c r="E156" i="14"/>
  <c r="C156" i="14"/>
  <c r="E155" i="14"/>
  <c r="C155" i="14"/>
  <c r="E154" i="14"/>
  <c r="C154" i="14"/>
  <c r="E153" i="14"/>
  <c r="C153" i="14"/>
  <c r="E152" i="14"/>
  <c r="C152" i="14"/>
  <c r="E151" i="14"/>
  <c r="C151" i="14"/>
  <c r="E150" i="14"/>
  <c r="C150" i="14"/>
  <c r="E149" i="14"/>
  <c r="C149" i="14"/>
  <c r="E148" i="14"/>
  <c r="C148" i="14"/>
  <c r="E147" i="14"/>
  <c r="C147" i="14"/>
  <c r="E146" i="14"/>
  <c r="C146" i="14"/>
  <c r="E145" i="14"/>
  <c r="C145" i="14"/>
  <c r="E144" i="14"/>
  <c r="C144" i="14"/>
  <c r="E143" i="14"/>
  <c r="C143" i="14"/>
  <c r="E142" i="14"/>
  <c r="C142" i="14"/>
  <c r="E141" i="14"/>
  <c r="C141" i="14"/>
  <c r="E140" i="14"/>
  <c r="C140" i="14"/>
  <c r="E139" i="14"/>
  <c r="C139" i="14"/>
  <c r="E138" i="14"/>
  <c r="C138" i="14"/>
  <c r="E137" i="14"/>
  <c r="C137" i="14"/>
  <c r="E136" i="14"/>
  <c r="C136" i="14"/>
  <c r="E135" i="14"/>
  <c r="C135" i="14"/>
  <c r="E134" i="14"/>
  <c r="C134" i="14"/>
  <c r="E133" i="14"/>
  <c r="C133" i="14"/>
  <c r="E132" i="14"/>
  <c r="C132" i="14"/>
  <c r="E131" i="14"/>
  <c r="C131" i="14"/>
  <c r="E130" i="14"/>
  <c r="C130" i="14"/>
  <c r="E129" i="14"/>
  <c r="C129" i="14"/>
  <c r="E128" i="14"/>
  <c r="C128" i="14"/>
  <c r="E127" i="14"/>
  <c r="C127" i="14"/>
  <c r="E126" i="14"/>
  <c r="C126" i="14"/>
  <c r="E124" i="14"/>
  <c r="C124" i="14"/>
  <c r="E123" i="14"/>
  <c r="C123" i="14"/>
  <c r="E122" i="14"/>
  <c r="C122" i="14"/>
  <c r="E121" i="14"/>
  <c r="C121" i="14"/>
  <c r="E119" i="14"/>
  <c r="C119" i="14"/>
  <c r="E118" i="14"/>
  <c r="C118" i="14"/>
  <c r="E117" i="14"/>
  <c r="C117" i="14"/>
  <c r="E115" i="14"/>
  <c r="C115" i="14"/>
  <c r="E114" i="14"/>
  <c r="C114" i="14"/>
  <c r="E113" i="14"/>
  <c r="C113" i="14"/>
  <c r="E112" i="14"/>
  <c r="C112" i="14"/>
  <c r="E111" i="14"/>
  <c r="C111" i="14"/>
  <c r="E110" i="14"/>
  <c r="C110" i="14"/>
  <c r="E109" i="14"/>
  <c r="C109" i="14"/>
  <c r="E108" i="14"/>
  <c r="C108" i="14"/>
  <c r="E107" i="14"/>
  <c r="C107" i="14"/>
  <c r="E106" i="14"/>
  <c r="C106" i="14"/>
  <c r="E105" i="14"/>
  <c r="C105" i="14"/>
  <c r="E104" i="14"/>
  <c r="C104" i="14"/>
  <c r="E103" i="14"/>
  <c r="C103" i="14"/>
  <c r="E102" i="14"/>
  <c r="C102" i="14"/>
  <c r="E101" i="14"/>
  <c r="C101" i="14"/>
  <c r="E100" i="14"/>
  <c r="C100" i="14"/>
  <c r="E98" i="14"/>
  <c r="C98" i="14"/>
  <c r="E97" i="14"/>
  <c r="C97" i="14"/>
  <c r="E96" i="14"/>
  <c r="C96" i="14"/>
  <c r="E95" i="14"/>
  <c r="C95" i="14"/>
  <c r="E94" i="14"/>
  <c r="C94" i="14"/>
  <c r="E93" i="14"/>
  <c r="C93" i="14"/>
  <c r="E92" i="14"/>
  <c r="C92" i="14"/>
  <c r="E91" i="14"/>
  <c r="C91" i="14"/>
  <c r="E90" i="14"/>
  <c r="C90" i="14"/>
  <c r="E89" i="14"/>
  <c r="C89" i="14"/>
  <c r="E88" i="14"/>
  <c r="C88" i="14"/>
  <c r="E87" i="14"/>
  <c r="C87" i="14"/>
  <c r="E86" i="14"/>
  <c r="C86" i="14"/>
  <c r="E85" i="14"/>
  <c r="C85" i="14"/>
  <c r="E84" i="14"/>
  <c r="C84" i="14"/>
  <c r="E83" i="14"/>
  <c r="C83" i="14"/>
  <c r="E82" i="14"/>
  <c r="C82" i="14"/>
  <c r="E81" i="14"/>
  <c r="C81" i="14"/>
  <c r="E80" i="14"/>
  <c r="C80" i="14"/>
  <c r="E79" i="14"/>
  <c r="C79" i="14"/>
  <c r="E77" i="14"/>
  <c r="C77" i="14"/>
  <c r="E76" i="14"/>
  <c r="C76" i="14"/>
  <c r="E75" i="14"/>
  <c r="C75" i="14"/>
  <c r="E74" i="14"/>
  <c r="C74" i="14"/>
  <c r="E73" i="14"/>
  <c r="C73" i="14"/>
  <c r="E72" i="14"/>
  <c r="C72" i="14"/>
  <c r="E71" i="14"/>
  <c r="C71" i="14"/>
  <c r="E70" i="14"/>
  <c r="C70" i="14"/>
  <c r="E69" i="14"/>
  <c r="C69" i="14"/>
  <c r="E68" i="14"/>
  <c r="C68" i="14"/>
  <c r="E67" i="14"/>
  <c r="C67" i="14"/>
  <c r="E66" i="14"/>
  <c r="C66" i="14"/>
  <c r="E65" i="14"/>
  <c r="C65" i="14"/>
  <c r="E64" i="14"/>
  <c r="C64" i="14"/>
  <c r="E63" i="14"/>
  <c r="C63" i="14"/>
  <c r="E62" i="14"/>
  <c r="C62" i="14"/>
  <c r="E61" i="14"/>
  <c r="C61" i="14"/>
  <c r="E60" i="14"/>
  <c r="C60" i="14"/>
  <c r="E59" i="14"/>
  <c r="C59" i="14"/>
  <c r="E58" i="14"/>
  <c r="C58" i="14"/>
  <c r="E57" i="14"/>
  <c r="C57" i="14"/>
  <c r="E56" i="14"/>
  <c r="C56" i="14"/>
  <c r="E55" i="14"/>
  <c r="C55" i="14"/>
  <c r="E54" i="14"/>
  <c r="C54" i="14"/>
  <c r="E53" i="14"/>
  <c r="C53" i="14"/>
  <c r="E52" i="14"/>
  <c r="C52" i="14"/>
  <c r="E51" i="14"/>
  <c r="C51" i="14"/>
  <c r="E50" i="14"/>
  <c r="C50" i="14"/>
  <c r="E49" i="14"/>
  <c r="C49" i="14"/>
  <c r="E48" i="14"/>
  <c r="C48" i="14"/>
  <c r="E47" i="14"/>
  <c r="C47" i="14"/>
  <c r="E46" i="14"/>
  <c r="C46" i="14"/>
  <c r="E45" i="14"/>
  <c r="C45" i="14"/>
  <c r="E43" i="14"/>
  <c r="C43" i="14"/>
  <c r="E42" i="14"/>
  <c r="C42" i="14"/>
  <c r="E41" i="14"/>
  <c r="C41" i="14"/>
  <c r="E40" i="14"/>
  <c r="C40" i="14"/>
  <c r="E39" i="14"/>
  <c r="C39" i="14"/>
  <c r="E38" i="14"/>
  <c r="C38" i="14"/>
  <c r="E37" i="14"/>
  <c r="C37" i="14"/>
  <c r="E36" i="14"/>
  <c r="C36" i="14"/>
  <c r="E35" i="14"/>
  <c r="C35" i="14"/>
  <c r="E34" i="14"/>
  <c r="C34" i="14"/>
  <c r="E33" i="14"/>
  <c r="C33" i="14"/>
  <c r="E32" i="14"/>
  <c r="C32" i="14"/>
  <c r="E31" i="14"/>
  <c r="C31" i="14"/>
  <c r="E30" i="14"/>
  <c r="C30" i="14"/>
  <c r="E29" i="14"/>
  <c r="C29" i="14"/>
  <c r="E28" i="14"/>
  <c r="C28" i="14"/>
  <c r="E27" i="14"/>
  <c r="C27" i="14"/>
  <c r="E26" i="14"/>
  <c r="C26" i="14"/>
  <c r="E25" i="14"/>
  <c r="C25" i="14"/>
  <c r="E24" i="14"/>
  <c r="C24" i="14"/>
  <c r="E23" i="14"/>
  <c r="C23" i="14"/>
  <c r="E22" i="14"/>
  <c r="C22" i="14"/>
  <c r="E21" i="14"/>
  <c r="C21" i="14"/>
  <c r="E20" i="14"/>
  <c r="C20" i="14"/>
  <c r="E19" i="14"/>
  <c r="C19" i="14"/>
  <c r="E18" i="14"/>
  <c r="C18" i="14"/>
  <c r="E17" i="14"/>
  <c r="C17" i="14"/>
  <c r="E16" i="14"/>
  <c r="C16" i="14"/>
  <c r="E15" i="14"/>
  <c r="C15" i="14"/>
  <c r="E14" i="14"/>
  <c r="C14" i="14"/>
  <c r="E13" i="14"/>
  <c r="C13" i="14"/>
  <c r="E12" i="14"/>
  <c r="C12" i="14"/>
  <c r="E11" i="14"/>
  <c r="C11" i="14"/>
  <c r="E10" i="14"/>
  <c r="C10" i="14"/>
  <c r="E9" i="14"/>
  <c r="C9" i="14"/>
  <c r="E8" i="14"/>
  <c r="C8" i="14"/>
  <c r="E7" i="14"/>
  <c r="C7" i="14"/>
  <c r="E6" i="14"/>
  <c r="C6" i="14"/>
  <c r="G40" i="13"/>
  <c r="E27" i="1"/>
  <c r="C27" i="1"/>
  <c r="H45" i="18"/>
  <c r="H44" i="18"/>
  <c r="H41" i="18"/>
  <c r="C34" i="19" l="1"/>
  <c r="C84" i="19" s="1"/>
  <c r="E28" i="24"/>
  <c r="C39" i="38"/>
  <c r="E34" i="19"/>
  <c r="E84" i="19" s="1"/>
  <c r="K28" i="24"/>
  <c r="E39" i="38"/>
  <c r="D34" i="19"/>
  <c r="D84" i="19" s="1"/>
  <c r="H28" i="24"/>
  <c r="D39" i="38"/>
  <c r="F34" i="19"/>
  <c r="F84" i="19" s="1"/>
  <c r="N28" i="24"/>
  <c r="G27" i="14"/>
  <c r="G27" i="12"/>
  <c r="G27" i="1"/>
  <c r="H19" i="18"/>
  <c r="H10" i="19"/>
  <c r="E88" i="38" l="1"/>
  <c r="E85" i="38" s="1"/>
  <c r="E36" i="38"/>
  <c r="C88" i="38"/>
  <c r="C85" i="38" s="1"/>
  <c r="C36" i="38"/>
  <c r="F88" i="38"/>
  <c r="F85" i="38" s="1"/>
  <c r="D88" i="38"/>
  <c r="D85" i="38" s="1"/>
  <c r="D36" i="38"/>
  <c r="N6" i="25"/>
  <c r="H59" i="18"/>
  <c r="C38" i="46" s="1"/>
  <c r="C39" i="46" s="1"/>
  <c r="H22" i="19"/>
  <c r="H8" i="19"/>
  <c r="H11" i="18"/>
  <c r="H20" i="18"/>
  <c r="H7" i="19"/>
  <c r="H61" i="18"/>
  <c r="F38" i="46" s="1"/>
  <c r="F39" i="46" s="1"/>
  <c r="H35" i="18"/>
  <c r="H12" i="18"/>
  <c r="H27" i="18"/>
  <c r="H8" i="18"/>
  <c r="I52" i="45" s="1"/>
  <c r="H9" i="18"/>
  <c r="H42" i="18"/>
  <c r="H51" i="18" s="1"/>
  <c r="H16" i="18"/>
  <c r="H62" i="18"/>
  <c r="H38" i="46" s="1"/>
  <c r="H39" i="46" s="1"/>
  <c r="H17" i="18"/>
  <c r="H9" i="19" l="1"/>
  <c r="G6" i="25"/>
  <c r="I6" i="25"/>
  <c r="AF6" i="25"/>
  <c r="L6" i="25"/>
  <c r="AG6" i="25"/>
  <c r="AE6" i="25"/>
  <c r="F6" i="25"/>
  <c r="R6" i="25"/>
  <c r="J6" i="25"/>
  <c r="K6" i="25"/>
  <c r="O6" i="25"/>
  <c r="U6" i="25"/>
  <c r="Y6" i="25"/>
  <c r="H39" i="18"/>
  <c r="P6" i="25"/>
  <c r="H14" i="18"/>
  <c r="H22" i="18" s="1"/>
  <c r="H12" i="19" l="1"/>
  <c r="H53" i="18"/>
  <c r="F26" i="19"/>
  <c r="K26" i="19" s="1"/>
  <c r="E26" i="19"/>
  <c r="D26" i="19"/>
  <c r="C26" i="19"/>
  <c r="F21" i="19"/>
  <c r="K21" i="19" s="1"/>
  <c r="E21" i="19"/>
  <c r="D21" i="19"/>
  <c r="C21" i="19"/>
  <c r="F45" i="18"/>
  <c r="K45" i="18" s="1"/>
  <c r="F44" i="18"/>
  <c r="K44" i="18" s="1"/>
  <c r="F41" i="18"/>
  <c r="H17" i="19" l="1"/>
  <c r="H24" i="19" s="1"/>
  <c r="H28" i="19" s="1"/>
  <c r="B3" i="14"/>
  <c r="B3" i="13"/>
  <c r="B3" i="12"/>
  <c r="B3" i="1"/>
  <c r="E254" i="1"/>
  <c r="E253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19" i="1"/>
  <c r="E118" i="1"/>
  <c r="E117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C237" i="1"/>
  <c r="H31" i="19" l="1"/>
  <c r="H64" i="18"/>
  <c r="J38" i="46" s="1"/>
  <c r="J39" i="46" s="1"/>
  <c r="G22" i="14"/>
  <c r="G181" i="14"/>
  <c r="G175" i="14"/>
  <c r="G159" i="14"/>
  <c r="G193" i="14"/>
  <c r="G199" i="14"/>
  <c r="G52" i="14"/>
  <c r="G70" i="14"/>
  <c r="G89" i="14"/>
  <c r="G185" i="14"/>
  <c r="G14" i="14"/>
  <c r="G24" i="14"/>
  <c r="G53" i="14"/>
  <c r="G101" i="14"/>
  <c r="J101" i="14" s="1"/>
  <c r="G110" i="14"/>
  <c r="J110" i="14" s="1"/>
  <c r="G134" i="14"/>
  <c r="G209" i="14"/>
  <c r="G63" i="14"/>
  <c r="G145" i="14"/>
  <c r="G18" i="14"/>
  <c r="G37" i="14"/>
  <c r="G56" i="14"/>
  <c r="G127" i="14"/>
  <c r="G161" i="14"/>
  <c r="K14" i="25" s="1"/>
  <c r="E14" i="25" s="1"/>
  <c r="I11" i="45" s="1"/>
  <c r="G10" i="14"/>
  <c r="G19" i="14"/>
  <c r="G58" i="14"/>
  <c r="G140" i="14"/>
  <c r="G39" i="14"/>
  <c r="G141" i="14"/>
  <c r="G167" i="14"/>
  <c r="G136" i="14"/>
  <c r="G8" i="14"/>
  <c r="G17" i="14"/>
  <c r="G26" i="14"/>
  <c r="G84" i="14"/>
  <c r="G93" i="14"/>
  <c r="G119" i="14"/>
  <c r="G137" i="14"/>
  <c r="G153" i="14"/>
  <c r="G163" i="14"/>
  <c r="G207" i="14"/>
  <c r="G239" i="14"/>
  <c r="G9" i="14"/>
  <c r="G81" i="14"/>
  <c r="G100" i="14"/>
  <c r="G122" i="14"/>
  <c r="G165" i="14"/>
  <c r="G197" i="14"/>
  <c r="G240" i="14"/>
  <c r="G156" i="14"/>
  <c r="G148" i="14"/>
  <c r="G113" i="14"/>
  <c r="J113" i="14" s="1"/>
  <c r="G226" i="14"/>
  <c r="G214" i="14"/>
  <c r="G194" i="14"/>
  <c r="G146" i="14"/>
  <c r="G142" i="14"/>
  <c r="G77" i="14"/>
  <c r="G65" i="14"/>
  <c r="G61" i="14"/>
  <c r="G28" i="14"/>
  <c r="G192" i="13"/>
  <c r="G239" i="13"/>
  <c r="G235" i="13"/>
  <c r="G231" i="13"/>
  <c r="G227" i="13"/>
  <c r="G223" i="13"/>
  <c r="G219" i="13"/>
  <c r="G215" i="13"/>
  <c r="G211" i="13"/>
  <c r="G207" i="13"/>
  <c r="G203" i="13"/>
  <c r="G195" i="13"/>
  <c r="G191" i="13"/>
  <c r="G187" i="13"/>
  <c r="G183" i="13"/>
  <c r="G249" i="13"/>
  <c r="G242" i="13"/>
  <c r="G236" i="13"/>
  <c r="G167" i="13"/>
  <c r="G130" i="13"/>
  <c r="G109" i="13"/>
  <c r="G197" i="13"/>
  <c r="G134" i="13"/>
  <c r="G47" i="13"/>
  <c r="G17" i="13"/>
  <c r="G241" i="13"/>
  <c r="G184" i="13"/>
  <c r="G157" i="13"/>
  <c r="G133" i="13"/>
  <c r="G254" i="13"/>
  <c r="G233" i="13"/>
  <c r="G226" i="13"/>
  <c r="G201" i="13"/>
  <c r="G170" i="13"/>
  <c r="G165" i="13"/>
  <c r="G160" i="13"/>
  <c r="G146" i="13"/>
  <c r="G137" i="13"/>
  <c r="G128" i="13"/>
  <c r="G111" i="13"/>
  <c r="G102" i="13"/>
  <c r="G92" i="13"/>
  <c r="G68" i="13"/>
  <c r="G59" i="13"/>
  <c r="G45" i="13"/>
  <c r="G34" i="13"/>
  <c r="G25" i="13"/>
  <c r="G193" i="13"/>
  <c r="G71" i="13"/>
  <c r="G200" i="13"/>
  <c r="G63" i="13"/>
  <c r="G250" i="13"/>
  <c r="G149" i="13"/>
  <c r="G138" i="13"/>
  <c r="G26" i="13"/>
  <c r="G105" i="13"/>
  <c r="G107" i="13"/>
  <c r="G243" i="13"/>
  <c r="G60" i="12"/>
  <c r="G102" i="14"/>
  <c r="J102" i="14" s="1"/>
  <c r="G234" i="12"/>
  <c r="G228" i="12"/>
  <c r="G218" i="12"/>
  <c r="G212" i="12"/>
  <c r="G186" i="12"/>
  <c r="G180" i="12"/>
  <c r="G170" i="12"/>
  <c r="G148" i="12"/>
  <c r="G132" i="12"/>
  <c r="G127" i="12"/>
  <c r="G86" i="12"/>
  <c r="G53" i="12"/>
  <c r="G48" i="12"/>
  <c r="G42" i="12"/>
  <c r="G36" i="12"/>
  <c r="G14" i="12"/>
  <c r="C246" i="1"/>
  <c r="G246" i="1" s="1"/>
  <c r="C20" i="19" s="1"/>
  <c r="C241" i="1"/>
  <c r="G250" i="12"/>
  <c r="G239" i="12"/>
  <c r="G217" i="12"/>
  <c r="G196" i="12"/>
  <c r="G175" i="12"/>
  <c r="G164" i="12"/>
  <c r="G159" i="12"/>
  <c r="G153" i="12"/>
  <c r="G108" i="12"/>
  <c r="G69" i="12"/>
  <c r="G58" i="12"/>
  <c r="G24" i="12"/>
  <c r="G19" i="12"/>
  <c r="C251" i="1"/>
  <c r="G251" i="1" s="1"/>
  <c r="C235" i="1"/>
  <c r="G235" i="1" s="1"/>
  <c r="C219" i="1"/>
  <c r="G219" i="1" s="1"/>
  <c r="C214" i="1"/>
  <c r="C209" i="1"/>
  <c r="G209" i="1" s="1"/>
  <c r="G189" i="12"/>
  <c r="G179" i="12"/>
  <c r="G136" i="12"/>
  <c r="G124" i="12"/>
  <c r="G112" i="12"/>
  <c r="G90" i="12"/>
  <c r="G40" i="12"/>
  <c r="G29" i="12"/>
  <c r="G17" i="12"/>
  <c r="G7" i="12"/>
  <c r="G249" i="12"/>
  <c r="G238" i="12"/>
  <c r="G232" i="12"/>
  <c r="G206" i="12"/>
  <c r="G200" i="12"/>
  <c r="G195" i="12"/>
  <c r="G190" i="12"/>
  <c r="G152" i="12"/>
  <c r="G147" i="12"/>
  <c r="G107" i="12"/>
  <c r="G102" i="12"/>
  <c r="G80" i="12"/>
  <c r="G68" i="12"/>
  <c r="G63" i="12"/>
  <c r="G47" i="12"/>
  <c r="G18" i="12"/>
  <c r="C255" i="12"/>
  <c r="C250" i="1"/>
  <c r="G250" i="1" s="1"/>
  <c r="C245" i="1"/>
  <c r="G245" i="1" s="1"/>
  <c r="C234" i="1"/>
  <c r="G234" i="1" s="1"/>
  <c r="C229" i="1"/>
  <c r="G229" i="1" s="1"/>
  <c r="C218" i="1"/>
  <c r="G218" i="1" s="1"/>
  <c r="G243" i="12"/>
  <c r="G131" i="12"/>
  <c r="G192" i="12"/>
  <c r="G104" i="12"/>
  <c r="G15" i="12"/>
  <c r="C243" i="1"/>
  <c r="G243" i="1" s="1"/>
  <c r="C221" i="1"/>
  <c r="G221" i="1" s="1"/>
  <c r="C213" i="1"/>
  <c r="G213" i="1" s="1"/>
  <c r="G167" i="12"/>
  <c r="G123" i="12"/>
  <c r="G77" i="12"/>
  <c r="C233" i="1"/>
  <c r="G233" i="1" s="1"/>
  <c r="C238" i="1"/>
  <c r="G238" i="1" s="1"/>
  <c r="C225" i="1"/>
  <c r="G225" i="1" s="1"/>
  <c r="G248" i="12"/>
  <c r="G226" i="12"/>
  <c r="G204" i="12"/>
  <c r="G72" i="12"/>
  <c r="G178" i="12"/>
  <c r="G111" i="12"/>
  <c r="G101" i="12"/>
  <c r="G89" i="12"/>
  <c r="G34" i="12"/>
  <c r="G22" i="12"/>
  <c r="C242" i="1"/>
  <c r="G242" i="1" s="1"/>
  <c r="C227" i="1"/>
  <c r="G227" i="1" s="1"/>
  <c r="G199" i="12"/>
  <c r="G156" i="12"/>
  <c r="G135" i="12"/>
  <c r="C249" i="1"/>
  <c r="G249" i="1" s="1"/>
  <c r="C226" i="1"/>
  <c r="G226" i="1" s="1"/>
  <c r="C212" i="1"/>
  <c r="G212" i="1" s="1"/>
  <c r="C217" i="1"/>
  <c r="G217" i="1" s="1"/>
  <c r="G84" i="12"/>
  <c r="G51" i="12"/>
  <c r="G230" i="12"/>
  <c r="G198" i="12"/>
  <c r="G65" i="12"/>
  <c r="G21" i="12"/>
  <c r="C239" i="1"/>
  <c r="G239" i="1" s="1"/>
  <c r="G199" i="13"/>
  <c r="G219" i="12"/>
  <c r="G187" i="12"/>
  <c r="G144" i="12"/>
  <c r="G109" i="12"/>
  <c r="G98" i="12"/>
  <c r="G20" i="12"/>
  <c r="G9" i="12"/>
  <c r="G162" i="12"/>
  <c r="G130" i="12"/>
  <c r="G94" i="12"/>
  <c r="C222" i="1"/>
  <c r="G151" i="12"/>
  <c r="G193" i="12"/>
  <c r="G236" i="12"/>
  <c r="C223" i="1"/>
  <c r="G223" i="1" s="1"/>
  <c r="G246" i="12"/>
  <c r="D20" i="19" s="1"/>
  <c r="C247" i="1"/>
  <c r="G247" i="1" s="1"/>
  <c r="G161" i="12"/>
  <c r="G183" i="12"/>
  <c r="G237" i="1"/>
  <c r="C210" i="1"/>
  <c r="G210" i="1" s="1"/>
  <c r="C230" i="1"/>
  <c r="G230" i="1" s="1"/>
  <c r="C254" i="1"/>
  <c r="G254" i="1" s="1"/>
  <c r="C231" i="1"/>
  <c r="G231" i="1" s="1"/>
  <c r="G172" i="12"/>
  <c r="G215" i="12"/>
  <c r="C216" i="1"/>
  <c r="C211" i="1"/>
  <c r="G211" i="1" s="1"/>
  <c r="C215" i="1"/>
  <c r="E255" i="12"/>
  <c r="G31" i="12"/>
  <c r="G64" i="12"/>
  <c r="G76" i="12"/>
  <c r="G81" i="12"/>
  <c r="G133" i="12"/>
  <c r="G137" i="12"/>
  <c r="G141" i="12"/>
  <c r="G145" i="12"/>
  <c r="G149" i="12"/>
  <c r="G169" i="12"/>
  <c r="G173" i="12"/>
  <c r="G177" i="12"/>
  <c r="G181" i="12"/>
  <c r="G197" i="12"/>
  <c r="G205" i="12"/>
  <c r="G209" i="12"/>
  <c r="G213" i="12"/>
  <c r="G229" i="12"/>
  <c r="G233" i="12"/>
  <c r="G237" i="12"/>
  <c r="G241" i="12"/>
  <c r="G254" i="12"/>
  <c r="C220" i="1"/>
  <c r="G220" i="1" s="1"/>
  <c r="C224" i="1"/>
  <c r="G224" i="1" s="1"/>
  <c r="C228" i="1"/>
  <c r="G228" i="1" s="1"/>
  <c r="C232" i="1"/>
  <c r="G232" i="1" s="1"/>
  <c r="C236" i="1"/>
  <c r="G236" i="1" s="1"/>
  <c r="C240" i="1"/>
  <c r="G240" i="1" s="1"/>
  <c r="C244" i="1"/>
  <c r="G244" i="1" s="1"/>
  <c r="C248" i="1"/>
  <c r="G248" i="1" s="1"/>
  <c r="C253" i="1"/>
  <c r="G253" i="1" s="1"/>
  <c r="G8" i="12"/>
  <c r="G12" i="12"/>
  <c r="G16" i="12"/>
  <c r="G33" i="12"/>
  <c r="G37" i="12"/>
  <c r="G46" i="12"/>
  <c r="G50" i="12"/>
  <c r="G70" i="12"/>
  <c r="G74" i="12"/>
  <c r="G79" i="12"/>
  <c r="G83" i="12"/>
  <c r="G91" i="12"/>
  <c r="G100" i="12"/>
  <c r="G103" i="12"/>
  <c r="G115" i="12"/>
  <c r="G121" i="12"/>
  <c r="G182" i="12"/>
  <c r="G202" i="12"/>
  <c r="G242" i="12"/>
  <c r="G247" i="12"/>
  <c r="G153" i="13"/>
  <c r="G39" i="12"/>
  <c r="G56" i="12"/>
  <c r="G97" i="12"/>
  <c r="G113" i="12"/>
  <c r="G244" i="12"/>
  <c r="G253" i="12"/>
  <c r="G32" i="13"/>
  <c r="G92" i="12"/>
  <c r="G157" i="12"/>
  <c r="G165" i="12"/>
  <c r="G185" i="12"/>
  <c r="G126" i="12"/>
  <c r="G142" i="12"/>
  <c r="G158" i="12"/>
  <c r="G212" i="14"/>
  <c r="G168" i="13"/>
  <c r="G43" i="12"/>
  <c r="G129" i="12"/>
  <c r="G71" i="12"/>
  <c r="G75" i="12"/>
  <c r="G160" i="12"/>
  <c r="G168" i="12"/>
  <c r="G203" i="12"/>
  <c r="G225" i="12"/>
  <c r="G25" i="12"/>
  <c r="G30" i="12"/>
  <c r="G61" i="12"/>
  <c r="G85" i="12"/>
  <c r="G139" i="12"/>
  <c r="G184" i="12"/>
  <c r="G188" i="12"/>
  <c r="G224" i="12"/>
  <c r="G23" i="12"/>
  <c r="G10" i="12"/>
  <c r="G66" i="12"/>
  <c r="G82" i="12"/>
  <c r="G110" i="12"/>
  <c r="G114" i="12"/>
  <c r="G155" i="12"/>
  <c r="G174" i="12"/>
  <c r="G201" i="12"/>
  <c r="G235" i="12"/>
  <c r="G154" i="12"/>
  <c r="G35" i="12"/>
  <c r="G13" i="12"/>
  <c r="G118" i="12"/>
  <c r="Q59" i="18" s="1"/>
  <c r="G6" i="12"/>
  <c r="G54" i="12"/>
  <c r="G87" i="12"/>
  <c r="G134" i="12"/>
  <c r="G163" i="12"/>
  <c r="G55" i="12"/>
  <c r="G62" i="12"/>
  <c r="G88" i="12"/>
  <c r="G119" i="12"/>
  <c r="G128" i="12"/>
  <c r="G211" i="12"/>
  <c r="G222" i="12"/>
  <c r="G240" i="12"/>
  <c r="G251" i="12"/>
  <c r="G140" i="12"/>
  <c r="G176" i="12"/>
  <c r="G194" i="12"/>
  <c r="G208" i="12"/>
  <c r="G45" i="12"/>
  <c r="G52" i="12"/>
  <c r="G59" i="12"/>
  <c r="G38" i="12"/>
  <c r="G41" i="12"/>
  <c r="G67" i="12"/>
  <c r="G105" i="12"/>
  <c r="G117" i="12"/>
  <c r="Q61" i="18" s="1"/>
  <c r="G122" i="12"/>
  <c r="G166" i="12"/>
  <c r="G216" i="12"/>
  <c r="G220" i="12"/>
  <c r="G231" i="12"/>
  <c r="G47" i="14"/>
  <c r="G96" i="12"/>
  <c r="G143" i="12"/>
  <c r="G146" i="12"/>
  <c r="G150" i="12"/>
  <c r="G207" i="12"/>
  <c r="G210" i="12"/>
  <c r="G214" i="12"/>
  <c r="I198" i="21"/>
  <c r="D198" i="21" s="1"/>
  <c r="I197" i="21"/>
  <c r="D197" i="21" s="1"/>
  <c r="I196" i="21"/>
  <c r="D196" i="21" s="1"/>
  <c r="I195" i="21"/>
  <c r="D195" i="21" s="1"/>
  <c r="I194" i="21"/>
  <c r="D194" i="21" s="1"/>
  <c r="I193" i="21"/>
  <c r="D193" i="21" s="1"/>
  <c r="I192" i="21"/>
  <c r="D192" i="21" s="1"/>
  <c r="I191" i="21"/>
  <c r="D191" i="21" s="1"/>
  <c r="I190" i="21"/>
  <c r="D190" i="21" s="1"/>
  <c r="I189" i="21"/>
  <c r="D189" i="21" s="1"/>
  <c r="I188" i="21"/>
  <c r="D188" i="21" s="1"/>
  <c r="I187" i="21"/>
  <c r="D187" i="21" s="1"/>
  <c r="I186" i="21"/>
  <c r="D186" i="21" s="1"/>
  <c r="I177" i="21"/>
  <c r="D177" i="21" s="1"/>
  <c r="I176" i="21"/>
  <c r="D176" i="21" s="1"/>
  <c r="I175" i="21"/>
  <c r="D175" i="21" s="1"/>
  <c r="I168" i="21"/>
  <c r="D168" i="21" s="1"/>
  <c r="I167" i="21"/>
  <c r="D167" i="21" s="1"/>
  <c r="I166" i="21"/>
  <c r="D166" i="21" s="1"/>
  <c r="I165" i="21"/>
  <c r="D165" i="21" s="1"/>
  <c r="I164" i="21"/>
  <c r="D164" i="21" s="1"/>
  <c r="I160" i="21"/>
  <c r="D160" i="21" s="1"/>
  <c r="I159" i="21"/>
  <c r="D159" i="21" s="1"/>
  <c r="I158" i="21"/>
  <c r="D158" i="21" s="1"/>
  <c r="I157" i="21"/>
  <c r="D157" i="21" s="1"/>
  <c r="I154" i="21"/>
  <c r="D154" i="21" s="1"/>
  <c r="I149" i="21"/>
  <c r="D149" i="21" s="1"/>
  <c r="I147" i="21"/>
  <c r="D147" i="21" s="1"/>
  <c r="I146" i="21"/>
  <c r="D146" i="21" s="1"/>
  <c r="I145" i="21"/>
  <c r="D145" i="21" s="1"/>
  <c r="I144" i="21"/>
  <c r="D144" i="21" s="1"/>
  <c r="I143" i="21"/>
  <c r="D143" i="21" s="1"/>
  <c r="I141" i="21"/>
  <c r="D141" i="21" s="1"/>
  <c r="I140" i="21"/>
  <c r="D140" i="21" s="1"/>
  <c r="I139" i="21"/>
  <c r="D139" i="21" s="1"/>
  <c r="I138" i="21"/>
  <c r="D138" i="21" s="1"/>
  <c r="I137" i="21"/>
  <c r="D137" i="21" s="1"/>
  <c r="I136" i="21"/>
  <c r="D136" i="21" s="1"/>
  <c r="I129" i="21"/>
  <c r="I122" i="21"/>
  <c r="I121" i="21"/>
  <c r="I120" i="21"/>
  <c r="I103" i="21"/>
  <c r="I102" i="21"/>
  <c r="I101" i="21"/>
  <c r="I100" i="21"/>
  <c r="I99" i="21"/>
  <c r="I98" i="21"/>
  <c r="I97" i="21"/>
  <c r="I96" i="21"/>
  <c r="I95" i="21"/>
  <c r="I91" i="21"/>
  <c r="I90" i="21"/>
  <c r="I89" i="21"/>
  <c r="I88" i="21"/>
  <c r="I87" i="21"/>
  <c r="I86" i="21"/>
  <c r="I85" i="21"/>
  <c r="I84" i="21"/>
  <c r="I83" i="21"/>
  <c r="I81" i="21"/>
  <c r="I80" i="21"/>
  <c r="I78" i="21"/>
  <c r="I76" i="21"/>
  <c r="I75" i="21"/>
  <c r="I74" i="21"/>
  <c r="I73" i="21"/>
  <c r="I72" i="21"/>
  <c r="I71" i="21"/>
  <c r="I70" i="21"/>
  <c r="I69" i="21"/>
  <c r="I67" i="21"/>
  <c r="I66" i="21"/>
  <c r="I65" i="21"/>
  <c r="I63" i="21"/>
  <c r="I61" i="21"/>
  <c r="I59" i="21"/>
  <c r="I57" i="21"/>
  <c r="I55" i="21"/>
  <c r="I53" i="21"/>
  <c r="I51" i="21"/>
  <c r="I49" i="21"/>
  <c r="I45" i="21"/>
  <c r="I44" i="21"/>
  <c r="I43" i="21"/>
  <c r="I42" i="21"/>
  <c r="I41" i="21"/>
  <c r="I40" i="21"/>
  <c r="I39" i="21"/>
  <c r="I38" i="21"/>
  <c r="I37" i="21"/>
  <c r="I36" i="21"/>
  <c r="I33" i="21"/>
  <c r="I32" i="21"/>
  <c r="I31" i="21"/>
  <c r="I30" i="21"/>
  <c r="I29" i="21"/>
  <c r="I28" i="21"/>
  <c r="I27" i="21"/>
  <c r="I26" i="21"/>
  <c r="I23" i="21"/>
  <c r="I22" i="21"/>
  <c r="I16" i="21"/>
  <c r="I15" i="21"/>
  <c r="I13" i="21"/>
  <c r="I9" i="21"/>
  <c r="I8" i="21"/>
  <c r="I7" i="21"/>
  <c r="I6" i="21"/>
  <c r="I5" i="21"/>
  <c r="I4" i="21"/>
  <c r="I3" i="21"/>
  <c r="A104" i="21"/>
  <c r="A105" i="21" s="1"/>
  <c r="D55" i="19"/>
  <c r="E55" i="19" s="1"/>
  <c r="F55" i="19" s="1"/>
  <c r="A7" i="20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221" i="20" s="1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41" i="20" s="1"/>
  <c r="A242" i="20" s="1"/>
  <c r="A243" i="20" s="1"/>
  <c r="A244" i="20" s="1"/>
  <c r="A245" i="20" s="1"/>
  <c r="A246" i="20" s="1"/>
  <c r="A247" i="20" s="1"/>
  <c r="A248" i="20" s="1"/>
  <c r="A249" i="20" s="1"/>
  <c r="A250" i="20" s="1"/>
  <c r="A251" i="20" s="1"/>
  <c r="A252" i="20" s="1"/>
  <c r="A253" i="20" s="1"/>
  <c r="A254" i="20" s="1"/>
  <c r="A255" i="20" s="1"/>
  <c r="A256" i="20" s="1"/>
  <c r="A257" i="20" s="1"/>
  <c r="A258" i="20" s="1"/>
  <c r="A259" i="20" s="1"/>
  <c r="A260" i="20" s="1"/>
  <c r="A261" i="20" s="1"/>
  <c r="A262" i="20" s="1"/>
  <c r="A263" i="20" s="1"/>
  <c r="A264" i="20" s="1"/>
  <c r="A265" i="20" s="1"/>
  <c r="A266" i="20" s="1"/>
  <c r="A267" i="20" s="1"/>
  <c r="A268" i="20" s="1"/>
  <c r="A269" i="20" s="1"/>
  <c r="A270" i="20" s="1"/>
  <c r="A271" i="20" s="1"/>
  <c r="A272" i="20" s="1"/>
  <c r="A273" i="20" s="1"/>
  <c r="A274" i="20" s="1"/>
  <c r="A275" i="20" s="1"/>
  <c r="A276" i="20" s="1"/>
  <c r="A277" i="20" s="1"/>
  <c r="A278" i="20" s="1"/>
  <c r="A279" i="20" s="1"/>
  <c r="A280" i="20" s="1"/>
  <c r="A281" i="20" s="1"/>
  <c r="A282" i="20" s="1"/>
  <c r="A283" i="20" s="1"/>
  <c r="A284" i="20" s="1"/>
  <c r="A285" i="20" s="1"/>
  <c r="A286" i="20" s="1"/>
  <c r="A287" i="20" s="1"/>
  <c r="A288" i="20" s="1"/>
  <c r="A289" i="20" s="1"/>
  <c r="A290" i="20" s="1"/>
  <c r="A291" i="20" s="1"/>
  <c r="A292" i="20" s="1"/>
  <c r="A293" i="20" s="1"/>
  <c r="A294" i="20" s="1"/>
  <c r="A295" i="20" s="1"/>
  <c r="A296" i="20" s="1"/>
  <c r="A297" i="20" s="1"/>
  <c r="A298" i="20" s="1"/>
  <c r="A299" i="20" s="1"/>
  <c r="A300" i="20" s="1"/>
  <c r="A301" i="20" s="1"/>
  <c r="A302" i="20" s="1"/>
  <c r="A303" i="20" s="1"/>
  <c r="A304" i="20" s="1"/>
  <c r="A305" i="20" s="1"/>
  <c r="A306" i="20" s="1"/>
  <c r="A307" i="20" s="1"/>
  <c r="A308" i="20" s="1"/>
  <c r="A309" i="20" s="1"/>
  <c r="A310" i="20" s="1"/>
  <c r="A311" i="20" s="1"/>
  <c r="A312" i="20" s="1"/>
  <c r="A313" i="20" s="1"/>
  <c r="A314" i="20" s="1"/>
  <c r="A315" i="20" s="1"/>
  <c r="A316" i="20" s="1"/>
  <c r="A317" i="20" s="1"/>
  <c r="A318" i="20" s="1"/>
  <c r="A319" i="20" s="1"/>
  <c r="A320" i="20" s="1"/>
  <c r="A321" i="20" s="1"/>
  <c r="A322" i="20" s="1"/>
  <c r="A323" i="20" s="1"/>
  <c r="A324" i="20" s="1"/>
  <c r="A325" i="20" s="1"/>
  <c r="A326" i="20" s="1"/>
  <c r="A327" i="20" s="1"/>
  <c r="A328" i="20" s="1"/>
  <c r="A329" i="20" s="1"/>
  <c r="A330" i="20" s="1"/>
  <c r="A331" i="20" s="1"/>
  <c r="A332" i="20" s="1"/>
  <c r="A333" i="20" s="1"/>
  <c r="A334" i="20" s="1"/>
  <c r="A335" i="20" s="1"/>
  <c r="A336" i="20" s="1"/>
  <c r="A337" i="20" s="1"/>
  <c r="A338" i="20" s="1"/>
  <c r="A339" i="20" s="1"/>
  <c r="A340" i="20" s="1"/>
  <c r="A341" i="20" s="1"/>
  <c r="A342" i="20" s="1"/>
  <c r="A343" i="20" s="1"/>
  <c r="A344" i="20" s="1"/>
  <c r="A345" i="20" s="1"/>
  <c r="A346" i="20" s="1"/>
  <c r="A347" i="20" s="1"/>
  <c r="A348" i="20" s="1"/>
  <c r="A349" i="20" s="1"/>
  <c r="A350" i="20" s="1"/>
  <c r="A351" i="20" s="1"/>
  <c r="A352" i="20" s="1"/>
  <c r="A353" i="20" s="1"/>
  <c r="A354" i="20" s="1"/>
  <c r="A355" i="20" s="1"/>
  <c r="A356" i="20" s="1"/>
  <c r="A357" i="20" s="1"/>
  <c r="A358" i="20" s="1"/>
  <c r="A359" i="20" s="1"/>
  <c r="A360" i="20" s="1"/>
  <c r="A361" i="20" s="1"/>
  <c r="A362" i="20" s="1"/>
  <c r="A363" i="20" s="1"/>
  <c r="A364" i="20" s="1"/>
  <c r="A365" i="20" s="1"/>
  <c r="A366" i="20" s="1"/>
  <c r="A367" i="20" s="1"/>
  <c r="A368" i="20" s="1"/>
  <c r="A369" i="20" s="1"/>
  <c r="A370" i="20" s="1"/>
  <c r="A371" i="20" s="1"/>
  <c r="A372" i="20" s="1"/>
  <c r="D7" i="20"/>
  <c r="D5" i="19"/>
  <c r="E5" i="19" s="1"/>
  <c r="F5" i="19" s="1"/>
  <c r="H5" i="19" s="1"/>
  <c r="J100" i="14" l="1"/>
  <c r="Q12" i="18"/>
  <c r="Q20" i="18"/>
  <c r="Q11" i="18"/>
  <c r="Q27" i="18"/>
  <c r="Q33" i="18"/>
  <c r="Q62" i="18"/>
  <c r="Q8" i="18"/>
  <c r="H5" i="18"/>
  <c r="E7" i="25"/>
  <c r="AI6" i="25"/>
  <c r="AK6" i="25" s="1"/>
  <c r="H66" i="18"/>
  <c r="G6" i="13"/>
  <c r="D8" i="19"/>
  <c r="G179" i="13"/>
  <c r="K162" i="21" s="1"/>
  <c r="G118" i="14"/>
  <c r="G248" i="14"/>
  <c r="G174" i="14"/>
  <c r="L155" i="21" s="1"/>
  <c r="G39" i="13"/>
  <c r="G123" i="14"/>
  <c r="L126" i="21" s="1"/>
  <c r="G208" i="14"/>
  <c r="L150" i="21" s="1"/>
  <c r="G250" i="14"/>
  <c r="G126" i="14"/>
  <c r="L130" i="21" s="1"/>
  <c r="G67" i="14"/>
  <c r="G80" i="14"/>
  <c r="G164" i="14"/>
  <c r="G83" i="14"/>
  <c r="G95" i="13"/>
  <c r="G163" i="13"/>
  <c r="G187" i="14"/>
  <c r="G206" i="13"/>
  <c r="K181" i="21" s="1"/>
  <c r="G189" i="13"/>
  <c r="G148" i="13"/>
  <c r="G104" i="13"/>
  <c r="G128" i="14"/>
  <c r="G38" i="14"/>
  <c r="G202" i="14"/>
  <c r="L182" i="21" s="1"/>
  <c r="G211" i="14"/>
  <c r="G46" i="14"/>
  <c r="L48" i="21" s="1"/>
  <c r="G54" i="14"/>
  <c r="L60" i="21" s="1"/>
  <c r="G43" i="14"/>
  <c r="G132" i="14"/>
  <c r="G124" i="14"/>
  <c r="L124" i="21" s="1"/>
  <c r="G107" i="14"/>
  <c r="J107" i="14" s="1"/>
  <c r="G246" i="13"/>
  <c r="E20" i="19" s="1"/>
  <c r="G248" i="13"/>
  <c r="G119" i="13"/>
  <c r="G228" i="13"/>
  <c r="G225" i="13"/>
  <c r="G117" i="13"/>
  <c r="P61" i="18" s="1"/>
  <c r="G84" i="13"/>
  <c r="G172" i="13"/>
  <c r="K153" i="21" s="1"/>
  <c r="G113" i="13"/>
  <c r="G190" i="13"/>
  <c r="K172" i="21" s="1"/>
  <c r="G9" i="13"/>
  <c r="G124" i="13"/>
  <c r="G12" i="13"/>
  <c r="G112" i="13"/>
  <c r="G142" i="13"/>
  <c r="G31" i="13"/>
  <c r="G139" i="13"/>
  <c r="G101" i="13"/>
  <c r="G86" i="13"/>
  <c r="G28" i="13"/>
  <c r="G131" i="13"/>
  <c r="G164" i="13"/>
  <c r="G198" i="13"/>
  <c r="G37" i="13"/>
  <c r="G97" i="13"/>
  <c r="G23" i="13"/>
  <c r="G108" i="13"/>
  <c r="G79" i="13"/>
  <c r="G53" i="13"/>
  <c r="G245" i="14"/>
  <c r="G155" i="14"/>
  <c r="G79" i="14"/>
  <c r="G40" i="14"/>
  <c r="G254" i="14"/>
  <c r="G49" i="14"/>
  <c r="G220" i="13"/>
  <c r="G242" i="14"/>
  <c r="G31" i="14"/>
  <c r="G76" i="14"/>
  <c r="L92" i="21" s="1"/>
  <c r="G133" i="14"/>
  <c r="G46" i="13"/>
  <c r="K48" i="21" s="1"/>
  <c r="G151" i="13"/>
  <c r="G186" i="13"/>
  <c r="K171" i="21" s="1"/>
  <c r="G21" i="13"/>
  <c r="G222" i="13"/>
  <c r="D8" i="20"/>
  <c r="G103" i="13"/>
  <c r="G176" i="14"/>
  <c r="L156" i="21" s="1"/>
  <c r="G95" i="14"/>
  <c r="G64" i="14"/>
  <c r="G109" i="14"/>
  <c r="J109" i="14" s="1"/>
  <c r="G213" i="14"/>
  <c r="G16" i="14"/>
  <c r="G83" i="13"/>
  <c r="G123" i="13"/>
  <c r="G144" i="13"/>
  <c r="G35" i="13"/>
  <c r="G169" i="13"/>
  <c r="G50" i="13"/>
  <c r="G18" i="13"/>
  <c r="G230" i="13"/>
  <c r="G156" i="13"/>
  <c r="G180" i="13"/>
  <c r="G244" i="13"/>
  <c r="G33" i="13"/>
  <c r="G72" i="13"/>
  <c r="G110" i="13"/>
  <c r="G150" i="13"/>
  <c r="G132" i="13"/>
  <c r="G16" i="13"/>
  <c r="G55" i="13"/>
  <c r="G221" i="13"/>
  <c r="G118" i="13"/>
  <c r="P59" i="18" s="1"/>
  <c r="G69" i="13"/>
  <c r="P27" i="18" s="1"/>
  <c r="G216" i="13"/>
  <c r="G98" i="13"/>
  <c r="G229" i="13"/>
  <c r="G24" i="13"/>
  <c r="G58" i="13"/>
  <c r="G91" i="13"/>
  <c r="K79" i="21" s="1"/>
  <c r="G127" i="13"/>
  <c r="G159" i="13"/>
  <c r="G253" i="13"/>
  <c r="G57" i="13"/>
  <c r="G158" i="13"/>
  <c r="G38" i="13"/>
  <c r="G115" i="13"/>
  <c r="G96" i="13"/>
  <c r="G175" i="13"/>
  <c r="G80" i="13"/>
  <c r="G27" i="13"/>
  <c r="G129" i="13"/>
  <c r="G85" i="13"/>
  <c r="G140" i="13"/>
  <c r="G114" i="13"/>
  <c r="G43" i="13"/>
  <c r="G82" i="13"/>
  <c r="G121" i="13"/>
  <c r="K127" i="21" s="1"/>
  <c r="G141" i="13"/>
  <c r="G64" i="13"/>
  <c r="G182" i="13"/>
  <c r="K169" i="21" s="1"/>
  <c r="G51" i="13"/>
  <c r="G89" i="13"/>
  <c r="G161" i="13"/>
  <c r="G66" i="13"/>
  <c r="G100" i="13"/>
  <c r="G135" i="13"/>
  <c r="G232" i="13"/>
  <c r="G19" i="13"/>
  <c r="G93" i="13"/>
  <c r="G212" i="13"/>
  <c r="G147" i="13"/>
  <c r="G176" i="13"/>
  <c r="K156" i="21" s="1"/>
  <c r="G13" i="13"/>
  <c r="G185" i="13"/>
  <c r="G196" i="13"/>
  <c r="K178" i="21" s="1"/>
  <c r="G247" i="13"/>
  <c r="G174" i="13"/>
  <c r="K155" i="21" s="1"/>
  <c r="G36" i="13"/>
  <c r="G70" i="13"/>
  <c r="G171" i="13"/>
  <c r="K152" i="21" s="1"/>
  <c r="G204" i="13"/>
  <c r="K184" i="21" s="1"/>
  <c r="G169" i="14"/>
  <c r="G221" i="14"/>
  <c r="G92" i="14"/>
  <c r="G86" i="14"/>
  <c r="G114" i="14"/>
  <c r="J114" i="14" s="1"/>
  <c r="G11" i="14"/>
  <c r="G45" i="14"/>
  <c r="G210" i="14"/>
  <c r="G232" i="14"/>
  <c r="G192" i="14"/>
  <c r="L173" i="21" s="1"/>
  <c r="G105" i="14"/>
  <c r="J105" i="14" s="1"/>
  <c r="G29" i="14"/>
  <c r="G234" i="14"/>
  <c r="G238" i="14"/>
  <c r="G108" i="14"/>
  <c r="G69" i="14"/>
  <c r="G243" i="14"/>
  <c r="G112" i="14"/>
  <c r="J112" i="14" s="1"/>
  <c r="G73" i="14"/>
  <c r="G205" i="14"/>
  <c r="G162" i="14"/>
  <c r="G203" i="14"/>
  <c r="L183" i="21" s="1"/>
  <c r="G82" i="14"/>
  <c r="G236" i="14"/>
  <c r="G144" i="14"/>
  <c r="G229" i="14"/>
  <c r="G147" i="14"/>
  <c r="G103" i="14"/>
  <c r="J103" i="14" s="1"/>
  <c r="G68" i="14"/>
  <c r="G72" i="14"/>
  <c r="G30" i="14"/>
  <c r="G150" i="14"/>
  <c r="G196" i="14"/>
  <c r="G94" i="14"/>
  <c r="G186" i="14"/>
  <c r="G224" i="14"/>
  <c r="G201" i="14"/>
  <c r="G96" i="14"/>
  <c r="G20" i="14"/>
  <c r="G139" i="14"/>
  <c r="G177" i="14"/>
  <c r="G85" i="14"/>
  <c r="G158" i="14"/>
  <c r="G244" i="14"/>
  <c r="G219" i="14"/>
  <c r="G90" i="14"/>
  <c r="G222" i="14"/>
  <c r="G179" i="14"/>
  <c r="G55" i="14"/>
  <c r="L64" i="21" s="1"/>
  <c r="G227" i="14"/>
  <c r="G184" i="14"/>
  <c r="G21" i="14"/>
  <c r="G75" i="14"/>
  <c r="G200" i="14"/>
  <c r="G143" i="14"/>
  <c r="G204" i="14"/>
  <c r="L179" i="21" s="1"/>
  <c r="G23" i="14"/>
  <c r="G190" i="14"/>
  <c r="G152" i="14"/>
  <c r="G157" i="14"/>
  <c r="G111" i="14"/>
  <c r="J111" i="14" s="1"/>
  <c r="G35" i="14"/>
  <c r="G188" i="14"/>
  <c r="L148" i="21" s="1"/>
  <c r="G183" i="14"/>
  <c r="G51" i="14"/>
  <c r="L56" i="21" s="1"/>
  <c r="G57" i="14"/>
  <c r="L47" i="21" s="1"/>
  <c r="G223" i="14"/>
  <c r="G97" i="14"/>
  <c r="G60" i="14"/>
  <c r="G189" i="14"/>
  <c r="G106" i="14"/>
  <c r="J106" i="14" s="1"/>
  <c r="G217" i="14"/>
  <c r="G230" i="14"/>
  <c r="G246" i="14"/>
  <c r="G32" i="14"/>
  <c r="G98" i="14"/>
  <c r="G198" i="14"/>
  <c r="G253" i="14"/>
  <c r="G180" i="14"/>
  <c r="L163" i="21" s="1"/>
  <c r="G48" i="14"/>
  <c r="G91" i="14"/>
  <c r="L79" i="21" s="1"/>
  <c r="G42" i="14"/>
  <c r="G231" i="14"/>
  <c r="G182" i="14"/>
  <c r="G13" i="14"/>
  <c r="L19" i="21" s="1"/>
  <c r="G160" i="14"/>
  <c r="G249" i="14"/>
  <c r="G206" i="14"/>
  <c r="L185" i="21" s="1"/>
  <c r="G168" i="14"/>
  <c r="L151" i="21" s="1"/>
  <c r="G7" i="14"/>
  <c r="L10" i="21" s="1"/>
  <c r="G215" i="14"/>
  <c r="G173" i="14"/>
  <c r="G130" i="14"/>
  <c r="G166" i="14"/>
  <c r="G115" i="14"/>
  <c r="J115" i="14" s="1"/>
  <c r="G149" i="14"/>
  <c r="G172" i="14"/>
  <c r="L153" i="21" s="1"/>
  <c r="G71" i="14"/>
  <c r="G228" i="14"/>
  <c r="G247" i="14"/>
  <c r="G220" i="14"/>
  <c r="G216" i="14"/>
  <c r="G88" i="14"/>
  <c r="G12" i="14"/>
  <c r="G178" i="14"/>
  <c r="G129" i="14"/>
  <c r="G15" i="14"/>
  <c r="G171" i="14"/>
  <c r="L152" i="21" s="1"/>
  <c r="G225" i="14"/>
  <c r="E255" i="14"/>
  <c r="G224" i="13"/>
  <c r="G234" i="13"/>
  <c r="G15" i="13"/>
  <c r="G73" i="13"/>
  <c r="G42" i="13"/>
  <c r="G8" i="13"/>
  <c r="K11" i="21" s="1"/>
  <c r="G41" i="13"/>
  <c r="G74" i="13"/>
  <c r="G143" i="13"/>
  <c r="G208" i="13"/>
  <c r="K183" i="21" s="1"/>
  <c r="G240" i="13"/>
  <c r="E255" i="13"/>
  <c r="G178" i="13"/>
  <c r="K161" i="21" s="1"/>
  <c r="G154" i="13"/>
  <c r="G14" i="13"/>
  <c r="G205" i="13"/>
  <c r="K180" i="21" s="1"/>
  <c r="G10" i="13"/>
  <c r="G237" i="13"/>
  <c r="G29" i="13"/>
  <c r="K25" i="21" s="1"/>
  <c r="G67" i="13"/>
  <c r="G106" i="13"/>
  <c r="G238" i="13"/>
  <c r="G62" i="13"/>
  <c r="G136" i="13"/>
  <c r="G49" i="13"/>
  <c r="G213" i="13"/>
  <c r="G88" i="13"/>
  <c r="G214" i="13"/>
  <c r="G202" i="13"/>
  <c r="K182" i="21" s="1"/>
  <c r="G60" i="13"/>
  <c r="G209" i="13"/>
  <c r="G56" i="13"/>
  <c r="G173" i="13"/>
  <c r="G20" i="13"/>
  <c r="G54" i="13"/>
  <c r="K62" i="21" s="1"/>
  <c r="G87" i="13"/>
  <c r="G122" i="13"/>
  <c r="G155" i="13"/>
  <c r="G188" i="13"/>
  <c r="K148" i="21" s="1"/>
  <c r="G75" i="13"/>
  <c r="G152" i="13"/>
  <c r="D22" i="19"/>
  <c r="D10" i="19"/>
  <c r="C255" i="14"/>
  <c r="C255" i="13"/>
  <c r="G177" i="13"/>
  <c r="G32" i="12"/>
  <c r="G138" i="12"/>
  <c r="D7" i="19" s="1"/>
  <c r="G28" i="12"/>
  <c r="G61" i="13"/>
  <c r="G104" i="14"/>
  <c r="J104" i="14" s="1"/>
  <c r="G126" i="13"/>
  <c r="G215" i="1"/>
  <c r="G33" i="14"/>
  <c r="G6" i="14"/>
  <c r="G154" i="14"/>
  <c r="G95" i="12"/>
  <c r="G245" i="12"/>
  <c r="G162" i="13"/>
  <c r="G194" i="13"/>
  <c r="K174" i="21" s="1"/>
  <c r="G25" i="14"/>
  <c r="G191" i="14"/>
  <c r="G233" i="14"/>
  <c r="G94" i="13"/>
  <c r="G11" i="13"/>
  <c r="G93" i="12"/>
  <c r="Q42" i="18" s="1"/>
  <c r="Q51" i="18" s="1"/>
  <c r="G26" i="12"/>
  <c r="G11" i="12"/>
  <c r="Q9" i="18" s="1"/>
  <c r="G41" i="14"/>
  <c r="G223" i="12"/>
  <c r="G59" i="14"/>
  <c r="G30" i="13"/>
  <c r="G241" i="1"/>
  <c r="G218" i="14"/>
  <c r="G210" i="13"/>
  <c r="G65" i="13"/>
  <c r="G90" i="13"/>
  <c r="G22" i="13"/>
  <c r="G151" i="14"/>
  <c r="G106" i="12"/>
  <c r="Q35" i="18" s="1"/>
  <c r="G145" i="13"/>
  <c r="G216" i="1"/>
  <c r="G49" i="12"/>
  <c r="J52" i="21" s="1"/>
  <c r="G81" i="13"/>
  <c r="G48" i="13"/>
  <c r="G170" i="14"/>
  <c r="G121" i="14"/>
  <c r="G235" i="14"/>
  <c r="G66" i="14"/>
  <c r="G166" i="13"/>
  <c r="G74" i="14"/>
  <c r="G245" i="13"/>
  <c r="G131" i="14"/>
  <c r="G195" i="14"/>
  <c r="G251" i="13"/>
  <c r="G36" i="14"/>
  <c r="G237" i="14"/>
  <c r="G62" i="14"/>
  <c r="G221" i="12"/>
  <c r="G57" i="12"/>
  <c r="J47" i="21" s="1"/>
  <c r="G227" i="12"/>
  <c r="G77" i="13"/>
  <c r="G251" i="14"/>
  <c r="G7" i="13"/>
  <c r="K10" i="21" s="1"/>
  <c r="G52" i="13"/>
  <c r="G76" i="13"/>
  <c r="G117" i="14"/>
  <c r="G217" i="13"/>
  <c r="G34" i="14"/>
  <c r="L34" i="21" s="1"/>
  <c r="G135" i="14"/>
  <c r="L135" i="21" s="1"/>
  <c r="G241" i="14"/>
  <c r="G181" i="13"/>
  <c r="G87" i="14"/>
  <c r="G222" i="1"/>
  <c r="G50" i="14"/>
  <c r="G171" i="12"/>
  <c r="J152" i="21" s="1"/>
  <c r="G138" i="14"/>
  <c r="G73" i="12"/>
  <c r="Q29" i="18" s="1"/>
  <c r="G214" i="1"/>
  <c r="G191" i="12"/>
  <c r="J171" i="21" s="1"/>
  <c r="G218" i="13"/>
  <c r="D76" i="19"/>
  <c r="F76" i="19"/>
  <c r="K105" i="21"/>
  <c r="J104" i="21"/>
  <c r="I104" i="21"/>
  <c r="I105" i="21"/>
  <c r="A106" i="21"/>
  <c r="E76" i="19"/>
  <c r="C76" i="19"/>
  <c r="C64" i="19"/>
  <c r="L198" i="21"/>
  <c r="L197" i="21"/>
  <c r="L195" i="21"/>
  <c r="L194" i="21"/>
  <c r="L193" i="21"/>
  <c r="L192" i="21"/>
  <c r="L191" i="21"/>
  <c r="L190" i="21"/>
  <c r="L189" i="21"/>
  <c r="L188" i="21"/>
  <c r="L187" i="21"/>
  <c r="L186" i="21"/>
  <c r="L177" i="21"/>
  <c r="L176" i="21"/>
  <c r="L175" i="21"/>
  <c r="L174" i="21"/>
  <c r="L168" i="21"/>
  <c r="L167" i="21"/>
  <c r="L166" i="21"/>
  <c r="L165" i="21"/>
  <c r="L160" i="21"/>
  <c r="L159" i="21"/>
  <c r="L158" i="21"/>
  <c r="L157" i="21"/>
  <c r="L154" i="21"/>
  <c r="L149" i="21"/>
  <c r="L147" i="21"/>
  <c r="L146" i="21"/>
  <c r="L145" i="21"/>
  <c r="L144" i="21"/>
  <c r="L141" i="21"/>
  <c r="L140" i="21"/>
  <c r="L139" i="21"/>
  <c r="L138" i="21"/>
  <c r="L137" i="21"/>
  <c r="L136" i="21"/>
  <c r="L129" i="21"/>
  <c r="L122" i="21"/>
  <c r="L121" i="21"/>
  <c r="L105" i="21"/>
  <c r="L104" i="21"/>
  <c r="L103" i="21"/>
  <c r="L100" i="21"/>
  <c r="L99" i="21"/>
  <c r="L98" i="21"/>
  <c r="L97" i="21"/>
  <c r="L96" i="21"/>
  <c r="L95" i="21"/>
  <c r="L91" i="21"/>
  <c r="L90" i="21"/>
  <c r="L89" i="21"/>
  <c r="L88" i="21"/>
  <c r="L87" i="21"/>
  <c r="L86" i="21"/>
  <c r="L85" i="21"/>
  <c r="L84" i="21"/>
  <c r="L83" i="21"/>
  <c r="L80" i="21"/>
  <c r="L78" i="21"/>
  <c r="L77" i="21"/>
  <c r="L76" i="21"/>
  <c r="L75" i="21"/>
  <c r="L74" i="21"/>
  <c r="L73" i="21"/>
  <c r="L72" i="21"/>
  <c r="L71" i="21"/>
  <c r="L70" i="21"/>
  <c r="L67" i="21"/>
  <c r="L66" i="21"/>
  <c r="L65" i="21"/>
  <c r="L63" i="21"/>
  <c r="L61" i="21"/>
  <c r="L59" i="21"/>
  <c r="L58" i="21"/>
  <c r="L57" i="21"/>
  <c r="L55" i="21"/>
  <c r="L53" i="21"/>
  <c r="L51" i="21"/>
  <c r="L49" i="21"/>
  <c r="L44" i="21"/>
  <c r="L43" i="21"/>
  <c r="L42" i="21"/>
  <c r="L41" i="21"/>
  <c r="L40" i="21"/>
  <c r="L39" i="21"/>
  <c r="L38" i="21"/>
  <c r="L37" i="21"/>
  <c r="L36" i="21"/>
  <c r="L33" i="21"/>
  <c r="L32" i="21"/>
  <c r="L31" i="21"/>
  <c r="L30" i="21"/>
  <c r="L29" i="21"/>
  <c r="L28" i="21"/>
  <c r="L27" i="21"/>
  <c r="L26" i="21"/>
  <c r="L23" i="21"/>
  <c r="L22" i="21"/>
  <c r="L20" i="21"/>
  <c r="L16" i="21"/>
  <c r="L15" i="21"/>
  <c r="L11" i="21"/>
  <c r="L9" i="21"/>
  <c r="L8" i="21"/>
  <c r="L7" i="21"/>
  <c r="L6" i="21"/>
  <c r="L5" i="21"/>
  <c r="L4" i="21"/>
  <c r="K198" i="21"/>
  <c r="K197" i="21"/>
  <c r="K195" i="21"/>
  <c r="K194" i="21"/>
  <c r="K193" i="21"/>
  <c r="K192" i="21"/>
  <c r="K191" i="21"/>
  <c r="K190" i="21"/>
  <c r="K189" i="21"/>
  <c r="K188" i="21"/>
  <c r="K187" i="21"/>
  <c r="K186" i="21"/>
  <c r="K179" i="21"/>
  <c r="K177" i="21"/>
  <c r="K176" i="21"/>
  <c r="K175" i="21"/>
  <c r="K173" i="21"/>
  <c r="K170" i="21"/>
  <c r="K168" i="21"/>
  <c r="K167" i="21"/>
  <c r="K166" i="21"/>
  <c r="K165" i="21"/>
  <c r="K160" i="21"/>
  <c r="K159" i="21"/>
  <c r="K158" i="21"/>
  <c r="K157" i="21"/>
  <c r="K154" i="21"/>
  <c r="K151" i="21"/>
  <c r="K149" i="21"/>
  <c r="K147" i="21"/>
  <c r="K146" i="21"/>
  <c r="K145" i="21"/>
  <c r="K144" i="21"/>
  <c r="K141" i="21"/>
  <c r="K140" i="21"/>
  <c r="K139" i="21"/>
  <c r="K138" i="21"/>
  <c r="K137" i="21"/>
  <c r="K136" i="21"/>
  <c r="K132" i="21"/>
  <c r="K129" i="21"/>
  <c r="K122" i="21"/>
  <c r="K121" i="21"/>
  <c r="K104" i="21"/>
  <c r="K103" i="21"/>
  <c r="K100" i="21"/>
  <c r="K99" i="21"/>
  <c r="K98" i="21"/>
  <c r="K97" i="21"/>
  <c r="K96" i="21"/>
  <c r="K95" i="21"/>
  <c r="K91" i="21"/>
  <c r="K90" i="21"/>
  <c r="K89" i="21"/>
  <c r="K88" i="21"/>
  <c r="K87" i="21"/>
  <c r="K86" i="21"/>
  <c r="K85" i="21"/>
  <c r="K84" i="21"/>
  <c r="K83" i="21"/>
  <c r="K80" i="21"/>
  <c r="K78" i="21"/>
  <c r="K76" i="21"/>
  <c r="K75" i="21"/>
  <c r="K74" i="21"/>
  <c r="K73" i="21"/>
  <c r="K72" i="21"/>
  <c r="K71" i="21"/>
  <c r="K70" i="21"/>
  <c r="K67" i="21"/>
  <c r="K66" i="21"/>
  <c r="K65" i="21"/>
  <c r="K63" i="21"/>
  <c r="K61" i="21"/>
  <c r="K59" i="21"/>
  <c r="K57" i="21"/>
  <c r="K55" i="21"/>
  <c r="K53" i="21"/>
  <c r="K51" i="21"/>
  <c r="K49" i="21"/>
  <c r="K44" i="21"/>
  <c r="K43" i="21"/>
  <c r="K42" i="21"/>
  <c r="K41" i="21"/>
  <c r="K40" i="21"/>
  <c r="K39" i="21"/>
  <c r="K38" i="21"/>
  <c r="K37" i="21"/>
  <c r="K36" i="21"/>
  <c r="K33" i="21"/>
  <c r="K32" i="21"/>
  <c r="K31" i="21"/>
  <c r="K30" i="21"/>
  <c r="K29" i="21"/>
  <c r="K28" i="21"/>
  <c r="K27" i="21"/>
  <c r="K26" i="21"/>
  <c r="K23" i="21"/>
  <c r="K22" i="21"/>
  <c r="K19" i="21"/>
  <c r="K16" i="21"/>
  <c r="K15" i="21"/>
  <c r="K9" i="21"/>
  <c r="K8" i="21"/>
  <c r="K7" i="21"/>
  <c r="K6" i="21"/>
  <c r="K5" i="21"/>
  <c r="K4" i="21"/>
  <c r="J198" i="21"/>
  <c r="E198" i="21" s="1"/>
  <c r="J197" i="21"/>
  <c r="E197" i="21" s="1"/>
  <c r="J195" i="21"/>
  <c r="E195" i="21" s="1"/>
  <c r="J194" i="21"/>
  <c r="E194" i="21" s="1"/>
  <c r="J193" i="21"/>
  <c r="E193" i="21" s="1"/>
  <c r="J192" i="21"/>
  <c r="E192" i="21" s="1"/>
  <c r="J191" i="21"/>
  <c r="E191" i="21" s="1"/>
  <c r="J190" i="21"/>
  <c r="E190" i="21" s="1"/>
  <c r="J189" i="21"/>
  <c r="E189" i="21" s="1"/>
  <c r="J188" i="21"/>
  <c r="E188" i="21" s="1"/>
  <c r="J187" i="21"/>
  <c r="E187" i="21" s="1"/>
  <c r="J186" i="21"/>
  <c r="E186" i="21" s="1"/>
  <c r="J185" i="21"/>
  <c r="J184" i="21"/>
  <c r="J183" i="21"/>
  <c r="J182" i="21"/>
  <c r="J181" i="21"/>
  <c r="J180" i="21"/>
  <c r="J179" i="21"/>
  <c r="J178" i="21"/>
  <c r="J177" i="21"/>
  <c r="E177" i="21" s="1"/>
  <c r="J176" i="21"/>
  <c r="E176" i="21" s="1"/>
  <c r="J175" i="21"/>
  <c r="E175" i="21" s="1"/>
  <c r="J174" i="21"/>
  <c r="J173" i="21"/>
  <c r="J172" i="21"/>
  <c r="J170" i="21"/>
  <c r="J169" i="21"/>
  <c r="J168" i="21"/>
  <c r="E168" i="21" s="1"/>
  <c r="J167" i="21"/>
  <c r="E167" i="21" s="1"/>
  <c r="J166" i="21"/>
  <c r="E166" i="21" s="1"/>
  <c r="J165" i="21"/>
  <c r="E165" i="21" s="1"/>
  <c r="J163" i="21"/>
  <c r="J162" i="21"/>
  <c r="J161" i="21"/>
  <c r="J160" i="21"/>
  <c r="E160" i="21" s="1"/>
  <c r="J159" i="21"/>
  <c r="E159" i="21" s="1"/>
  <c r="J158" i="21"/>
  <c r="E158" i="21" s="1"/>
  <c r="J157" i="21"/>
  <c r="E157" i="21" s="1"/>
  <c r="J156" i="21"/>
  <c r="J155" i="21"/>
  <c r="J154" i="21"/>
  <c r="E154" i="21" s="1"/>
  <c r="J153" i="21"/>
  <c r="J151" i="21"/>
  <c r="J150" i="21"/>
  <c r="J149" i="21"/>
  <c r="E149" i="21" s="1"/>
  <c r="J148" i="21"/>
  <c r="J147" i="21"/>
  <c r="E147" i="21" s="1"/>
  <c r="J146" i="21"/>
  <c r="E146" i="21" s="1"/>
  <c r="J145" i="21"/>
  <c r="E145" i="21" s="1"/>
  <c r="J144" i="21"/>
  <c r="E144" i="21" s="1"/>
  <c r="J141" i="21"/>
  <c r="E141" i="21" s="1"/>
  <c r="J140" i="21"/>
  <c r="E140" i="21" s="1"/>
  <c r="J139" i="21"/>
  <c r="E139" i="21" s="1"/>
  <c r="J138" i="21"/>
  <c r="E138" i="21" s="1"/>
  <c r="J137" i="21"/>
  <c r="E137" i="21" s="1"/>
  <c r="J136" i="21"/>
  <c r="E136" i="21" s="1"/>
  <c r="J135" i="21"/>
  <c r="J134" i="21"/>
  <c r="J132" i="21"/>
  <c r="J130" i="21"/>
  <c r="J129" i="21"/>
  <c r="J128" i="21"/>
  <c r="J127" i="21"/>
  <c r="J126" i="21"/>
  <c r="J124" i="21"/>
  <c r="J122" i="21"/>
  <c r="J121" i="21"/>
  <c r="J105" i="21"/>
  <c r="J103" i="21"/>
  <c r="J100" i="21"/>
  <c r="J99" i="21"/>
  <c r="J98" i="21"/>
  <c r="J97" i="21"/>
  <c r="J96" i="21"/>
  <c r="J95" i="21"/>
  <c r="J94" i="21"/>
  <c r="J92" i="21"/>
  <c r="J91" i="21"/>
  <c r="J90" i="21"/>
  <c r="J89" i="21"/>
  <c r="J88" i="21"/>
  <c r="J87" i="21"/>
  <c r="J86" i="21"/>
  <c r="J85" i="21"/>
  <c r="J84" i="21"/>
  <c r="J83" i="21"/>
  <c r="J80" i="21"/>
  <c r="J79" i="21"/>
  <c r="J78" i="21"/>
  <c r="J77" i="21"/>
  <c r="J76" i="21"/>
  <c r="J75" i="21"/>
  <c r="J74" i="21"/>
  <c r="J73" i="21"/>
  <c r="J72" i="21"/>
  <c r="J71" i="21"/>
  <c r="J70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1" i="21"/>
  <c r="J49" i="21"/>
  <c r="J48" i="21"/>
  <c r="J44" i="21"/>
  <c r="J43" i="21"/>
  <c r="J42" i="21"/>
  <c r="J41" i="21"/>
  <c r="J40" i="21"/>
  <c r="J39" i="21"/>
  <c r="J38" i="21"/>
  <c r="J37" i="21"/>
  <c r="J36" i="21"/>
  <c r="J35" i="21"/>
  <c r="J34" i="21"/>
  <c r="J33" i="21"/>
  <c r="J32" i="21"/>
  <c r="J31" i="21"/>
  <c r="J30" i="21"/>
  <c r="J29" i="21"/>
  <c r="J28" i="21"/>
  <c r="J27" i="21"/>
  <c r="J26" i="21"/>
  <c r="J25" i="21"/>
  <c r="J23" i="21"/>
  <c r="J22" i="21"/>
  <c r="J20" i="21"/>
  <c r="J19" i="21"/>
  <c r="J18" i="21"/>
  <c r="J16" i="21"/>
  <c r="J15" i="21"/>
  <c r="J14" i="21"/>
  <c r="J11" i="21"/>
  <c r="J10" i="21"/>
  <c r="J9" i="21"/>
  <c r="J8" i="21"/>
  <c r="J7" i="21"/>
  <c r="J6" i="21"/>
  <c r="J5" i="21"/>
  <c r="J4" i="2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4" i="1"/>
  <c r="C123" i="1"/>
  <c r="C122" i="1"/>
  <c r="C121" i="1"/>
  <c r="C119" i="1"/>
  <c r="C118" i="1"/>
  <c r="C117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G63" i="1" s="1"/>
  <c r="C62" i="1"/>
  <c r="C61" i="1"/>
  <c r="C60" i="1"/>
  <c r="C59" i="1"/>
  <c r="G59" i="1" s="1"/>
  <c r="C58" i="1"/>
  <c r="C57" i="1"/>
  <c r="C56" i="1"/>
  <c r="C55" i="1"/>
  <c r="G55" i="1" s="1"/>
  <c r="C54" i="1"/>
  <c r="C53" i="1"/>
  <c r="C52" i="1"/>
  <c r="C51" i="1"/>
  <c r="G51" i="1" s="1"/>
  <c r="C50" i="1"/>
  <c r="C49" i="1"/>
  <c r="C48" i="1"/>
  <c r="C47" i="1"/>
  <c r="C46" i="1"/>
  <c r="C45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G30" i="1" s="1"/>
  <c r="C29" i="1"/>
  <c r="C28" i="1"/>
  <c r="C26" i="1"/>
  <c r="C25" i="1"/>
  <c r="C24" i="1"/>
  <c r="C23" i="1"/>
  <c r="C22" i="1"/>
  <c r="C21" i="1"/>
  <c r="G21" i="1" s="1"/>
  <c r="C20" i="1"/>
  <c r="C19" i="1"/>
  <c r="C18" i="1"/>
  <c r="C17" i="1"/>
  <c r="G17" i="1" s="1"/>
  <c r="C16" i="1"/>
  <c r="C15" i="1"/>
  <c r="C14" i="1"/>
  <c r="C13" i="1"/>
  <c r="G13" i="1" s="1"/>
  <c r="C12" i="1"/>
  <c r="C11" i="1"/>
  <c r="C10" i="1"/>
  <c r="C9" i="1"/>
  <c r="C8" i="1"/>
  <c r="C7" i="1"/>
  <c r="E255" i="1"/>
  <c r="C6" i="1"/>
  <c r="AA6" i="39" l="1"/>
  <c r="AA8" i="39" s="1"/>
  <c r="AA7" i="25"/>
  <c r="AA8" i="25" s="1"/>
  <c r="AA18" i="25" s="1"/>
  <c r="F29" i="18"/>
  <c r="K29" i="18" s="1"/>
  <c r="H68" i="18"/>
  <c r="H76" i="18" s="1"/>
  <c r="K38" i="46"/>
  <c r="K39" i="46" s="1"/>
  <c r="I57" i="45"/>
  <c r="F19" i="18"/>
  <c r="N6" i="40" s="1"/>
  <c r="N8" i="40" s="1"/>
  <c r="N49" i="40" s="1"/>
  <c r="P29" i="18"/>
  <c r="P42" i="18"/>
  <c r="P51" i="18" s="1"/>
  <c r="P11" i="18"/>
  <c r="P33" i="18"/>
  <c r="P8" i="18"/>
  <c r="P16" i="18"/>
  <c r="P17" i="18"/>
  <c r="P12" i="18"/>
  <c r="P9" i="18"/>
  <c r="K126" i="21"/>
  <c r="P62" i="18"/>
  <c r="P35" i="18"/>
  <c r="P20" i="18"/>
  <c r="Q17" i="18"/>
  <c r="Q16" i="18"/>
  <c r="Q39" i="18"/>
  <c r="Q53" i="18" s="1"/>
  <c r="Q14" i="18"/>
  <c r="V6" i="40"/>
  <c r="V8" i="40" s="1"/>
  <c r="V27" i="40" s="1"/>
  <c r="E27" i="40" s="1"/>
  <c r="V6" i="44"/>
  <c r="V8" i="44" s="1"/>
  <c r="V6" i="42"/>
  <c r="V8" i="42" s="1"/>
  <c r="L35" i="21"/>
  <c r="H11" i="38"/>
  <c r="H12" i="38" s="1"/>
  <c r="L132" i="21"/>
  <c r="G132" i="21" s="1"/>
  <c r="H22" i="38"/>
  <c r="K22" i="38" s="1"/>
  <c r="H15" i="38"/>
  <c r="K15" i="38" s="1"/>
  <c r="F20" i="19"/>
  <c r="H20" i="38"/>
  <c r="W8" i="25"/>
  <c r="W33" i="25" s="1"/>
  <c r="E33" i="25" s="1"/>
  <c r="W8" i="39"/>
  <c r="E6" i="25"/>
  <c r="L172" i="21"/>
  <c r="G172" i="21" s="1"/>
  <c r="L15" i="25"/>
  <c r="E15" i="25" s="1"/>
  <c r="I12" i="45" s="1"/>
  <c r="F15" i="19"/>
  <c r="K15" i="19" s="1"/>
  <c r="D9" i="19"/>
  <c r="F61" i="18"/>
  <c r="L52" i="21"/>
  <c r="L18" i="21"/>
  <c r="L134" i="21"/>
  <c r="K185" i="21"/>
  <c r="F185" i="21" s="1"/>
  <c r="L169" i="21"/>
  <c r="G169" i="21" s="1"/>
  <c r="F8" i="19"/>
  <c r="K8" i="19" s="1"/>
  <c r="L178" i="21"/>
  <c r="G178" i="21" s="1"/>
  <c r="F35" i="18"/>
  <c r="K54" i="21"/>
  <c r="K150" i="21"/>
  <c r="F150" i="21" s="1"/>
  <c r="K56" i="21"/>
  <c r="K20" i="21"/>
  <c r="K35" i="21"/>
  <c r="E8" i="19"/>
  <c r="K130" i="21"/>
  <c r="K52" i="21"/>
  <c r="L94" i="21"/>
  <c r="L180" i="21"/>
  <c r="G180" i="21" s="1"/>
  <c r="L128" i="21"/>
  <c r="L162" i="21"/>
  <c r="G162" i="21" s="1"/>
  <c r="L184" i="21"/>
  <c r="G184" i="21" s="1"/>
  <c r="L54" i="21"/>
  <c r="L62" i="21"/>
  <c r="F59" i="18"/>
  <c r="L171" i="21"/>
  <c r="G171" i="21" s="1"/>
  <c r="L181" i="21"/>
  <c r="G181" i="21" s="1"/>
  <c r="L161" i="21"/>
  <c r="G161" i="21" s="1"/>
  <c r="L25" i="21"/>
  <c r="L14" i="21"/>
  <c r="L170" i="21"/>
  <c r="G170" i="21" s="1"/>
  <c r="K60" i="21"/>
  <c r="K18" i="21"/>
  <c r="K134" i="21"/>
  <c r="K47" i="21"/>
  <c r="K14" i="21"/>
  <c r="K163" i="21"/>
  <c r="F163" i="21" s="1"/>
  <c r="K58" i="21"/>
  <c r="K128" i="21"/>
  <c r="K92" i="21"/>
  <c r="K64" i="21"/>
  <c r="K135" i="21"/>
  <c r="G135" i="21" s="1"/>
  <c r="K34" i="21"/>
  <c r="I19" i="21"/>
  <c r="F20" i="18"/>
  <c r="K77" i="21"/>
  <c r="E7" i="19"/>
  <c r="K124" i="21"/>
  <c r="D9" i="20"/>
  <c r="F8" i="18"/>
  <c r="F12" i="18"/>
  <c r="K12" i="18" s="1"/>
  <c r="F42" i="18"/>
  <c r="K42" i="18" s="1"/>
  <c r="F9" i="18"/>
  <c r="K9" i="18" s="1"/>
  <c r="E10" i="19"/>
  <c r="E15" i="19"/>
  <c r="D15" i="19"/>
  <c r="F27" i="18"/>
  <c r="K27" i="18" s="1"/>
  <c r="F10" i="19"/>
  <c r="K10" i="19" s="1"/>
  <c r="F7" i="19"/>
  <c r="F16" i="18"/>
  <c r="K16" i="18" s="1"/>
  <c r="F22" i="19"/>
  <c r="K22" i="19" s="1"/>
  <c r="F11" i="18"/>
  <c r="K11" i="18" s="1"/>
  <c r="F17" i="18"/>
  <c r="K17" i="18" s="1"/>
  <c r="L127" i="21"/>
  <c r="F62" i="18"/>
  <c r="K94" i="21"/>
  <c r="E22" i="19"/>
  <c r="G255" i="14"/>
  <c r="G255" i="13"/>
  <c r="G255" i="12"/>
  <c r="G75" i="1"/>
  <c r="G80" i="1"/>
  <c r="G84" i="1"/>
  <c r="G96" i="1"/>
  <c r="G109" i="1"/>
  <c r="G113" i="1"/>
  <c r="G118" i="1"/>
  <c r="R59" i="18" s="1"/>
  <c r="G152" i="1"/>
  <c r="G156" i="1"/>
  <c r="F170" i="21"/>
  <c r="F178" i="21"/>
  <c r="F186" i="21"/>
  <c r="F194" i="21"/>
  <c r="G188" i="21"/>
  <c r="G70" i="1"/>
  <c r="G74" i="1"/>
  <c r="G91" i="1"/>
  <c r="I79" i="21" s="1"/>
  <c r="G175" i="1"/>
  <c r="F189" i="21"/>
  <c r="C255" i="1"/>
  <c r="G22" i="1"/>
  <c r="G26" i="1"/>
  <c r="G31" i="1"/>
  <c r="G35" i="1"/>
  <c r="G39" i="1"/>
  <c r="G43" i="1"/>
  <c r="G48" i="1"/>
  <c r="G56" i="1"/>
  <c r="I64" i="21" s="1"/>
  <c r="G60" i="1"/>
  <c r="G72" i="1"/>
  <c r="G76" i="1"/>
  <c r="G81" i="1"/>
  <c r="G85" i="1"/>
  <c r="G89" i="1"/>
  <c r="G97" i="1"/>
  <c r="G106" i="1"/>
  <c r="G124" i="1"/>
  <c r="G141" i="1"/>
  <c r="G149" i="1"/>
  <c r="G157" i="1"/>
  <c r="G165" i="1"/>
  <c r="G177" i="1"/>
  <c r="G181" i="1"/>
  <c r="G185" i="1"/>
  <c r="G189" i="1"/>
  <c r="F149" i="21"/>
  <c r="F157" i="21"/>
  <c r="G151" i="21"/>
  <c r="G159" i="21"/>
  <c r="G167" i="21"/>
  <c r="G175" i="21"/>
  <c r="G183" i="21"/>
  <c r="G191" i="21"/>
  <c r="G140" i="21"/>
  <c r="G156" i="21"/>
  <c r="G148" i="21"/>
  <c r="F138" i="21"/>
  <c r="F146" i="21"/>
  <c r="F154" i="21"/>
  <c r="F162" i="21"/>
  <c r="F173" i="21"/>
  <c r="F141" i="21"/>
  <c r="F165" i="21"/>
  <c r="F181" i="21"/>
  <c r="F197" i="21"/>
  <c r="J123" i="21"/>
  <c r="J131" i="21"/>
  <c r="K13" i="21"/>
  <c r="K21" i="21"/>
  <c r="K93" i="21"/>
  <c r="K125" i="21"/>
  <c r="K133" i="21"/>
  <c r="G197" i="1"/>
  <c r="J12" i="21"/>
  <c r="J68" i="21"/>
  <c r="J164" i="21"/>
  <c r="E164" i="21" s="1"/>
  <c r="J196" i="21"/>
  <c r="E196" i="21" s="1"/>
  <c r="K46" i="21"/>
  <c r="K102" i="21"/>
  <c r="K142" i="21"/>
  <c r="F158" i="21"/>
  <c r="F166" i="21"/>
  <c r="F174" i="21"/>
  <c r="F182" i="21"/>
  <c r="F190" i="21"/>
  <c r="F198" i="21"/>
  <c r="L24" i="21"/>
  <c r="L120" i="21"/>
  <c r="G136" i="21"/>
  <c r="G144" i="21"/>
  <c r="G152" i="21"/>
  <c r="G160" i="21"/>
  <c r="G168" i="21"/>
  <c r="G176" i="21"/>
  <c r="G192" i="21"/>
  <c r="J3" i="21"/>
  <c r="K45" i="21"/>
  <c r="K69" i="21"/>
  <c r="L143" i="21"/>
  <c r="G64" i="1"/>
  <c r="G193" i="1"/>
  <c r="G7" i="1"/>
  <c r="I10" i="21" s="1"/>
  <c r="G15" i="1"/>
  <c r="G19" i="1"/>
  <c r="I21" i="21" s="1"/>
  <c r="G23" i="1"/>
  <c r="G28" i="1"/>
  <c r="G36" i="1"/>
  <c r="G49" i="1"/>
  <c r="G53" i="1"/>
  <c r="G69" i="1"/>
  <c r="G73" i="1"/>
  <c r="G77" i="1"/>
  <c r="G82" i="1"/>
  <c r="G90" i="1"/>
  <c r="I93" i="21" s="1"/>
  <c r="G107" i="1"/>
  <c r="G111" i="1"/>
  <c r="G130" i="1"/>
  <c r="G134" i="1"/>
  <c r="J13" i="21"/>
  <c r="J21" i="21"/>
  <c r="J45" i="21"/>
  <c r="J69" i="21"/>
  <c r="J93" i="21"/>
  <c r="J125" i="21"/>
  <c r="J133" i="21"/>
  <c r="K143" i="21"/>
  <c r="F151" i="21"/>
  <c r="F159" i="21"/>
  <c r="F167" i="21"/>
  <c r="F175" i="21"/>
  <c r="F183" i="21"/>
  <c r="F191" i="21"/>
  <c r="L17" i="21"/>
  <c r="L81" i="21"/>
  <c r="L101" i="21"/>
  <c r="G137" i="21"/>
  <c r="G145" i="21"/>
  <c r="G153" i="21"/>
  <c r="G177" i="21"/>
  <c r="G193" i="21"/>
  <c r="J46" i="21"/>
  <c r="J102" i="21"/>
  <c r="J142" i="21"/>
  <c r="K24" i="21"/>
  <c r="K120" i="21"/>
  <c r="F136" i="21"/>
  <c r="F144" i="21"/>
  <c r="F152" i="21"/>
  <c r="F160" i="21"/>
  <c r="F168" i="21"/>
  <c r="F176" i="21"/>
  <c r="F184" i="21"/>
  <c r="F192" i="21"/>
  <c r="L50" i="21"/>
  <c r="L82" i="21"/>
  <c r="G138" i="21"/>
  <c r="G146" i="21"/>
  <c r="G154" i="21"/>
  <c r="G186" i="21"/>
  <c r="G194" i="21"/>
  <c r="G8" i="1"/>
  <c r="I11" i="21" s="1"/>
  <c r="G16" i="1"/>
  <c r="G37" i="1"/>
  <c r="G41" i="1"/>
  <c r="G54" i="1"/>
  <c r="G58" i="1"/>
  <c r="G62" i="1"/>
  <c r="G87" i="1"/>
  <c r="G95" i="1"/>
  <c r="G100" i="1"/>
  <c r="G104" i="1"/>
  <c r="G108" i="1"/>
  <c r="G112" i="1"/>
  <c r="G117" i="1"/>
  <c r="R61" i="18" s="1"/>
  <c r="G131" i="1"/>
  <c r="G135" i="1"/>
  <c r="G139" i="1"/>
  <c r="G143" i="1"/>
  <c r="G147" i="1"/>
  <c r="G183" i="1"/>
  <c r="G187" i="1"/>
  <c r="G191" i="1"/>
  <c r="G195" i="1"/>
  <c r="G207" i="1"/>
  <c r="J143" i="21"/>
  <c r="E143" i="21" s="1"/>
  <c r="K17" i="21"/>
  <c r="K81" i="21"/>
  <c r="K101" i="21"/>
  <c r="F137" i="21"/>
  <c r="F145" i="21"/>
  <c r="F153" i="21"/>
  <c r="F161" i="21"/>
  <c r="F169" i="21"/>
  <c r="F177" i="21"/>
  <c r="F193" i="21"/>
  <c r="L3" i="21"/>
  <c r="L123" i="21"/>
  <c r="L131" i="21"/>
  <c r="G139" i="21"/>
  <c r="G147" i="21"/>
  <c r="G155" i="21"/>
  <c r="G179" i="21"/>
  <c r="G187" i="21"/>
  <c r="G195" i="21"/>
  <c r="L196" i="21"/>
  <c r="J81" i="21"/>
  <c r="J101" i="21"/>
  <c r="K3" i="21"/>
  <c r="K123" i="21"/>
  <c r="K131" i="21"/>
  <c r="F139" i="21"/>
  <c r="F147" i="21"/>
  <c r="F155" i="21"/>
  <c r="F171" i="21"/>
  <c r="F179" i="21"/>
  <c r="F187" i="21"/>
  <c r="F195" i="21"/>
  <c r="L13" i="21"/>
  <c r="L21" i="21"/>
  <c r="L45" i="21"/>
  <c r="L69" i="21"/>
  <c r="L93" i="21"/>
  <c r="L125" i="21"/>
  <c r="L133" i="21"/>
  <c r="G141" i="21"/>
  <c r="G149" i="21"/>
  <c r="G157" i="21"/>
  <c r="G165" i="21"/>
  <c r="G173" i="21"/>
  <c r="G189" i="21"/>
  <c r="G197" i="21"/>
  <c r="J24" i="21"/>
  <c r="J120" i="21"/>
  <c r="K50" i="21"/>
  <c r="K82" i="21"/>
  <c r="L12" i="21"/>
  <c r="L68" i="21"/>
  <c r="L164" i="21"/>
  <c r="J17" i="21"/>
  <c r="J50" i="21"/>
  <c r="J82" i="21"/>
  <c r="K12" i="21"/>
  <c r="K68" i="21"/>
  <c r="F132" i="21"/>
  <c r="F140" i="21"/>
  <c r="F148" i="21"/>
  <c r="F156" i="21"/>
  <c r="K164" i="21"/>
  <c r="F172" i="21"/>
  <c r="F180" i="21"/>
  <c r="F188" i="21"/>
  <c r="K196" i="21"/>
  <c r="L46" i="21"/>
  <c r="L102" i="21"/>
  <c r="L142" i="21"/>
  <c r="G158" i="21"/>
  <c r="G166" i="21"/>
  <c r="G174" i="21"/>
  <c r="G182" i="21"/>
  <c r="G190" i="21"/>
  <c r="G198" i="21"/>
  <c r="J106" i="21"/>
  <c r="L106" i="21"/>
  <c r="K106" i="21"/>
  <c r="A107" i="21"/>
  <c r="G68" i="1"/>
  <c r="G160" i="1"/>
  <c r="G190" i="1"/>
  <c r="G12" i="1"/>
  <c r="G24" i="1"/>
  <c r="G29" i="1"/>
  <c r="G33" i="1"/>
  <c r="G45" i="1"/>
  <c r="G52" i="1"/>
  <c r="I56" i="21" s="1"/>
  <c r="G66" i="1"/>
  <c r="G79" i="1"/>
  <c r="G83" i="1"/>
  <c r="G93" i="1"/>
  <c r="G169" i="1"/>
  <c r="G173" i="1"/>
  <c r="G199" i="1"/>
  <c r="G203" i="1"/>
  <c r="G119" i="1"/>
  <c r="G153" i="1"/>
  <c r="G184" i="1"/>
  <c r="G114" i="1"/>
  <c r="G188" i="1"/>
  <c r="G164" i="1"/>
  <c r="G194" i="1"/>
  <c r="G144" i="1"/>
  <c r="G151" i="1"/>
  <c r="G6" i="1"/>
  <c r="G18" i="1"/>
  <c r="I14" i="21" s="1"/>
  <c r="G42" i="1"/>
  <c r="G46" i="1"/>
  <c r="G50" i="1"/>
  <c r="G57" i="1"/>
  <c r="G61" i="1"/>
  <c r="G88" i="1"/>
  <c r="G103" i="1"/>
  <c r="G110" i="1"/>
  <c r="G148" i="1"/>
  <c r="G179" i="1"/>
  <c r="G201" i="1"/>
  <c r="G205" i="1"/>
  <c r="G155" i="1"/>
  <c r="G206" i="1"/>
  <c r="G137" i="1"/>
  <c r="G170" i="1"/>
  <c r="I142" i="21" s="1"/>
  <c r="D142" i="21" s="1"/>
  <c r="G180" i="1"/>
  <c r="G159" i="1"/>
  <c r="G163" i="1"/>
  <c r="G174" i="1"/>
  <c r="I155" i="21" s="1"/>
  <c r="D155" i="21" s="1"/>
  <c r="G192" i="1"/>
  <c r="G198" i="1"/>
  <c r="G166" i="1"/>
  <c r="G186" i="1"/>
  <c r="G10" i="1"/>
  <c r="I12" i="21" s="1"/>
  <c r="G11" i="1"/>
  <c r="G14" i="1"/>
  <c r="G20" i="1"/>
  <c r="G34" i="1"/>
  <c r="G40" i="1"/>
  <c r="G47" i="1"/>
  <c r="G67" i="1"/>
  <c r="G94" i="1"/>
  <c r="G101" i="1"/>
  <c r="G115" i="1"/>
  <c r="G122" i="1"/>
  <c r="G126" i="1"/>
  <c r="G128" i="1"/>
  <c r="G167" i="1"/>
  <c r="G171" i="1"/>
  <c r="I152" i="21" s="1"/>
  <c r="D152" i="21" s="1"/>
  <c r="G178" i="1"/>
  <c r="G204" i="1"/>
  <c r="G162" i="1"/>
  <c r="G86" i="1"/>
  <c r="G92" i="1"/>
  <c r="G132" i="1"/>
  <c r="G168" i="1"/>
  <c r="I151" i="21" s="1"/>
  <c r="D151" i="21" s="1"/>
  <c r="G172" i="1"/>
  <c r="I153" i="21" s="1"/>
  <c r="D153" i="21" s="1"/>
  <c r="G196" i="1"/>
  <c r="G202" i="1"/>
  <c r="G208" i="1"/>
  <c r="G200" i="1"/>
  <c r="G9" i="1"/>
  <c r="G25" i="1"/>
  <c r="G32" i="1"/>
  <c r="G38" i="1"/>
  <c r="G65" i="1"/>
  <c r="G71" i="1"/>
  <c r="G98" i="1"/>
  <c r="G102" i="1"/>
  <c r="G105" i="1"/>
  <c r="G123" i="1"/>
  <c r="I126" i="21" s="1"/>
  <c r="G127" i="1"/>
  <c r="G133" i="1"/>
  <c r="G136" i="1"/>
  <c r="G140" i="1"/>
  <c r="G161" i="1"/>
  <c r="G176" i="1"/>
  <c r="I156" i="21" s="1"/>
  <c r="D156" i="21" s="1"/>
  <c r="G182" i="1"/>
  <c r="G145" i="1"/>
  <c r="G129" i="1"/>
  <c r="G121" i="1"/>
  <c r="G138" i="1"/>
  <c r="G146" i="1"/>
  <c r="G154" i="1"/>
  <c r="G142" i="1"/>
  <c r="G150" i="1"/>
  <c r="G158" i="1"/>
  <c r="H17" i="38" l="1"/>
  <c r="I71" i="45"/>
  <c r="K8" i="18"/>
  <c r="C42" i="46"/>
  <c r="C43" i="46" s="1"/>
  <c r="K59" i="18"/>
  <c r="H42" i="46"/>
  <c r="H43" i="46" s="1"/>
  <c r="K62" i="18"/>
  <c r="F42" i="46"/>
  <c r="F43" i="46" s="1"/>
  <c r="K61" i="18"/>
  <c r="K11" i="38"/>
  <c r="AA18" i="39"/>
  <c r="AA57" i="39" s="1"/>
  <c r="AA56" i="25"/>
  <c r="F51" i="18"/>
  <c r="X8" i="25"/>
  <c r="X34" i="25" s="1"/>
  <c r="E34" i="25" s="1"/>
  <c r="I29" i="45" s="1"/>
  <c r="X8" i="39"/>
  <c r="X34" i="39" s="1"/>
  <c r="E34" i="39" s="1"/>
  <c r="G29" i="45" s="1"/>
  <c r="N7" i="25"/>
  <c r="N8" i="25" s="1"/>
  <c r="N56" i="25" s="1"/>
  <c r="N6" i="39"/>
  <c r="N8" i="39" s="1"/>
  <c r="N57" i="39" s="1"/>
  <c r="N6" i="42"/>
  <c r="N8" i="42" s="1"/>
  <c r="N49" i="42" s="1"/>
  <c r="N6" i="44"/>
  <c r="N8" i="44" s="1"/>
  <c r="N49" i="44" s="1"/>
  <c r="P39" i="18"/>
  <c r="P53" i="18" s="1"/>
  <c r="P14" i="18"/>
  <c r="P22" i="18" s="1"/>
  <c r="Q22" i="18"/>
  <c r="R12" i="18"/>
  <c r="R29" i="18"/>
  <c r="R8" i="18"/>
  <c r="R62" i="18"/>
  <c r="R17" i="18"/>
  <c r="R16" i="18"/>
  <c r="R42" i="18"/>
  <c r="R51" i="18" s="1"/>
  <c r="R27" i="18"/>
  <c r="R35" i="18"/>
  <c r="R9" i="18"/>
  <c r="R20" i="18"/>
  <c r="R11" i="18"/>
  <c r="R33" i="18"/>
  <c r="I6" i="44"/>
  <c r="I8" i="44" s="1"/>
  <c r="I6" i="42"/>
  <c r="I8" i="42" s="1"/>
  <c r="G6" i="44"/>
  <c r="G8" i="44" s="1"/>
  <c r="G6" i="42"/>
  <c r="G8" i="42" s="1"/>
  <c r="V27" i="42"/>
  <c r="E27" i="42" s="1"/>
  <c r="J6" i="42"/>
  <c r="J8" i="42" s="1"/>
  <c r="J6" i="44"/>
  <c r="J8" i="44" s="1"/>
  <c r="X6" i="44"/>
  <c r="X8" i="44" s="1"/>
  <c r="X6" i="42"/>
  <c r="X8" i="42" s="1"/>
  <c r="X43" i="42" s="1"/>
  <c r="P6" i="42"/>
  <c r="P8" i="42" s="1"/>
  <c r="P6" i="44"/>
  <c r="P8" i="44" s="1"/>
  <c r="F6" i="40"/>
  <c r="F8" i="40" s="1"/>
  <c r="F49" i="40" s="1"/>
  <c r="F6" i="44"/>
  <c r="F8" i="44" s="1"/>
  <c r="F49" i="44" s="1"/>
  <c r="F6" i="42"/>
  <c r="F8" i="42" s="1"/>
  <c r="F49" i="42" s="1"/>
  <c r="K6" i="42"/>
  <c r="K8" i="42" s="1"/>
  <c r="K6" i="44"/>
  <c r="K8" i="44" s="1"/>
  <c r="O6" i="44"/>
  <c r="O8" i="44" s="1"/>
  <c r="O6" i="42"/>
  <c r="O8" i="42" s="1"/>
  <c r="V27" i="44"/>
  <c r="E27" i="44" s="1"/>
  <c r="AB6" i="42"/>
  <c r="AB8" i="42" s="1"/>
  <c r="AB6" i="44"/>
  <c r="AB8" i="44" s="1"/>
  <c r="Z6" i="42"/>
  <c r="Z8" i="42" s="1"/>
  <c r="Z6" i="44"/>
  <c r="Z8" i="44" s="1"/>
  <c r="W6" i="44"/>
  <c r="W8" i="44" s="1"/>
  <c r="W6" i="42"/>
  <c r="W8" i="42" s="1"/>
  <c r="U6" i="40"/>
  <c r="U8" i="40" s="1"/>
  <c r="U26" i="40" s="1"/>
  <c r="E26" i="40" s="1"/>
  <c r="U6" i="42"/>
  <c r="U8" i="42" s="1"/>
  <c r="U6" i="44"/>
  <c r="U8" i="44" s="1"/>
  <c r="L6" i="40"/>
  <c r="L8" i="40" s="1"/>
  <c r="L33" i="40" s="1"/>
  <c r="E33" i="40" s="1"/>
  <c r="L6" i="42"/>
  <c r="L8" i="42" s="1"/>
  <c r="L6" i="44"/>
  <c r="L8" i="44" s="1"/>
  <c r="AA6" i="40"/>
  <c r="AA8" i="40" s="1"/>
  <c r="AA49" i="40" s="1"/>
  <c r="AA6" i="42"/>
  <c r="AA8" i="42" s="1"/>
  <c r="AA49" i="42" s="1"/>
  <c r="AA6" i="44"/>
  <c r="AA8" i="44" s="1"/>
  <c r="AA49" i="44" s="1"/>
  <c r="R6" i="42"/>
  <c r="R6" i="44"/>
  <c r="G6" i="39"/>
  <c r="G8" i="39" s="1"/>
  <c r="G23" i="39" s="1"/>
  <c r="G6" i="40"/>
  <c r="G8" i="40" s="1"/>
  <c r="K6" i="39"/>
  <c r="K8" i="39" s="1"/>
  <c r="K39" i="39" s="1"/>
  <c r="E39" i="39" s="1"/>
  <c r="G35" i="45" s="1"/>
  <c r="G37" i="45" s="1"/>
  <c r="K6" i="40"/>
  <c r="K8" i="40" s="1"/>
  <c r="V49" i="40"/>
  <c r="R6" i="39"/>
  <c r="R8" i="39" s="1"/>
  <c r="R6" i="40"/>
  <c r="R8" i="40" s="1"/>
  <c r="AG6" i="39"/>
  <c r="AG8" i="39" s="1"/>
  <c r="AG47" i="39" s="1"/>
  <c r="AB6" i="40"/>
  <c r="AB8" i="40" s="1"/>
  <c r="AB40" i="40" s="1"/>
  <c r="AB49" i="40" s="1"/>
  <c r="P6" i="39"/>
  <c r="P8" i="39" s="1"/>
  <c r="P27" i="39" s="1"/>
  <c r="E27" i="39" s="1"/>
  <c r="G23" i="45" s="1"/>
  <c r="P6" i="40"/>
  <c r="P8" i="40" s="1"/>
  <c r="O6" i="39"/>
  <c r="O8" i="39" s="1"/>
  <c r="O41" i="39" s="1"/>
  <c r="E41" i="39" s="1"/>
  <c r="O6" i="40"/>
  <c r="O8" i="40" s="1"/>
  <c r="J6" i="39"/>
  <c r="J8" i="39" s="1"/>
  <c r="J26" i="39" s="1"/>
  <c r="E26" i="39" s="1"/>
  <c r="G22" i="45" s="1"/>
  <c r="J6" i="40"/>
  <c r="J8" i="40" s="1"/>
  <c r="AE6" i="39"/>
  <c r="AE8" i="39" s="1"/>
  <c r="AE47" i="39" s="1"/>
  <c r="AE57" i="39" s="1"/>
  <c r="Z6" i="40"/>
  <c r="Z8" i="40" s="1"/>
  <c r="W6" i="40"/>
  <c r="W8" i="40" s="1"/>
  <c r="Y6" i="39"/>
  <c r="Y8" i="39" s="1"/>
  <c r="Y50" i="39" s="1"/>
  <c r="E50" i="39" s="1"/>
  <c r="G45" i="45" s="1"/>
  <c r="X6" i="40"/>
  <c r="X8" i="40" s="1"/>
  <c r="K7" i="38"/>
  <c r="I6" i="39"/>
  <c r="I8" i="39" s="1"/>
  <c r="I25" i="39" s="1"/>
  <c r="E25" i="39" s="1"/>
  <c r="G21" i="45" s="1"/>
  <c r="I6" i="40"/>
  <c r="I8" i="40" s="1"/>
  <c r="F7" i="25"/>
  <c r="F8" i="25" s="1"/>
  <c r="F56" i="25" s="1"/>
  <c r="F6" i="39"/>
  <c r="F8" i="39" s="1"/>
  <c r="F57" i="39" s="1"/>
  <c r="W33" i="39"/>
  <c r="E33" i="39" s="1"/>
  <c r="L7" i="25"/>
  <c r="L8" i="25" s="1"/>
  <c r="L40" i="25" s="1"/>
  <c r="E40" i="25" s="1"/>
  <c r="L6" i="39"/>
  <c r="L8" i="39" s="1"/>
  <c r="U7" i="25"/>
  <c r="U8" i="25" s="1"/>
  <c r="U6" i="39"/>
  <c r="U8" i="39" s="1"/>
  <c r="AF7" i="25"/>
  <c r="AF8" i="25" s="1"/>
  <c r="AF6" i="39"/>
  <c r="AF8" i="39" s="1"/>
  <c r="G150" i="21"/>
  <c r="I124" i="21"/>
  <c r="G185" i="21"/>
  <c r="G134" i="21"/>
  <c r="I35" i="21"/>
  <c r="I128" i="21"/>
  <c r="I92" i="21"/>
  <c r="I24" i="21"/>
  <c r="I135" i="21"/>
  <c r="D135" i="21" s="1"/>
  <c r="I169" i="21"/>
  <c r="D169" i="21" s="1"/>
  <c r="F134" i="21"/>
  <c r="I134" i="21"/>
  <c r="D134" i="21" s="1"/>
  <c r="I60" i="21"/>
  <c r="I17" i="21"/>
  <c r="W56" i="25"/>
  <c r="I161" i="21"/>
  <c r="D161" i="21" s="1"/>
  <c r="I47" i="21"/>
  <c r="I20" i="21"/>
  <c r="I178" i="21"/>
  <c r="D178" i="21" s="1"/>
  <c r="I52" i="21"/>
  <c r="I58" i="21"/>
  <c r="I148" i="21"/>
  <c r="D148" i="21" s="1"/>
  <c r="I173" i="21"/>
  <c r="D173" i="21" s="1"/>
  <c r="I106" i="21"/>
  <c r="C8" i="19"/>
  <c r="C58" i="19" s="1"/>
  <c r="I50" i="21"/>
  <c r="F135" i="21"/>
  <c r="E9" i="19"/>
  <c r="E12" i="19" s="1"/>
  <c r="E17" i="19" s="1"/>
  <c r="AE7" i="25"/>
  <c r="AE8" i="25" s="1"/>
  <c r="AE56" i="25" s="1"/>
  <c r="AG7" i="25"/>
  <c r="AG8" i="25" s="1"/>
  <c r="AG20" i="25" s="1"/>
  <c r="O7" i="25"/>
  <c r="O8" i="25" s="1"/>
  <c r="O56" i="25" s="1"/>
  <c r="G7" i="25"/>
  <c r="G8" i="25" s="1"/>
  <c r="G23" i="25" s="1"/>
  <c r="I7" i="25"/>
  <c r="I8" i="25" s="1"/>
  <c r="Y7" i="25"/>
  <c r="Y8" i="25" s="1"/>
  <c r="Y50" i="25" s="1"/>
  <c r="E50" i="25" s="1"/>
  <c r="I45" i="45" s="1"/>
  <c r="J7" i="25"/>
  <c r="J8" i="25" s="1"/>
  <c r="P7" i="25"/>
  <c r="P8" i="25" s="1"/>
  <c r="F39" i="18"/>
  <c r="K7" i="25"/>
  <c r="K8" i="25" s="1"/>
  <c r="R7" i="25"/>
  <c r="R8" i="25" s="1"/>
  <c r="R30" i="25" s="1"/>
  <c r="G163" i="21"/>
  <c r="I183" i="21"/>
  <c r="D183" i="21" s="1"/>
  <c r="I150" i="21"/>
  <c r="I94" i="21"/>
  <c r="I179" i="21"/>
  <c r="D179" i="21" s="1"/>
  <c r="I184" i="21"/>
  <c r="I62" i="21"/>
  <c r="I25" i="21"/>
  <c r="I181" i="21"/>
  <c r="D181" i="21" s="1"/>
  <c r="I185" i="21"/>
  <c r="I123" i="21"/>
  <c r="I182" i="21"/>
  <c r="D182" i="21" s="1"/>
  <c r="I170" i="21"/>
  <c r="D170" i="21" s="1"/>
  <c r="I48" i="21"/>
  <c r="I130" i="21"/>
  <c r="I34" i="21"/>
  <c r="I172" i="21"/>
  <c r="D172" i="21" s="1"/>
  <c r="I133" i="21"/>
  <c r="D133" i="21" s="1"/>
  <c r="I18" i="21"/>
  <c r="I163" i="21"/>
  <c r="D163" i="21" s="1"/>
  <c r="I54" i="21"/>
  <c r="I162" i="21"/>
  <c r="D162" i="21" s="1"/>
  <c r="I180" i="21"/>
  <c r="D180" i="21" s="1"/>
  <c r="I174" i="21"/>
  <c r="D174" i="21" s="1"/>
  <c r="I171" i="21"/>
  <c r="D171" i="21" s="1"/>
  <c r="I132" i="21"/>
  <c r="D132" i="21" s="1"/>
  <c r="D10" i="20"/>
  <c r="D11" i="20" s="1"/>
  <c r="D12" i="20" s="1"/>
  <c r="D13" i="20" s="1"/>
  <c r="D14" i="20" s="1"/>
  <c r="D15" i="20" s="1"/>
  <c r="D16" i="20" s="1"/>
  <c r="D17" i="20" s="1"/>
  <c r="D18" i="20" s="1"/>
  <c r="D19" i="20" s="1"/>
  <c r="D20" i="20" s="1"/>
  <c r="D21" i="20" s="1"/>
  <c r="D22" i="20" s="1"/>
  <c r="D23" i="20" s="1"/>
  <c r="D24" i="20" s="1"/>
  <c r="D25" i="20" s="1"/>
  <c r="D26" i="20" s="1"/>
  <c r="D27" i="20" s="1"/>
  <c r="D28" i="20" s="1"/>
  <c r="D29" i="20" s="1"/>
  <c r="D30" i="20" s="1"/>
  <c r="D31" i="20" s="1"/>
  <c r="D32" i="20" s="1"/>
  <c r="D33" i="20" s="1"/>
  <c r="D34" i="20" s="1"/>
  <c r="D35" i="20" s="1"/>
  <c r="D36" i="20" s="1"/>
  <c r="D37" i="20" s="1"/>
  <c r="D38" i="20" s="1"/>
  <c r="D39" i="20" s="1"/>
  <c r="D40" i="20" s="1"/>
  <c r="D41" i="20" s="1"/>
  <c r="D42" i="20" s="1"/>
  <c r="D43" i="20" s="1"/>
  <c r="D44" i="20" s="1"/>
  <c r="D45" i="20" s="1"/>
  <c r="D46" i="20" s="1"/>
  <c r="D47" i="20" s="1"/>
  <c r="D48" i="20" s="1"/>
  <c r="D49" i="20" s="1"/>
  <c r="D50" i="20" s="1"/>
  <c r="D51" i="20" s="1"/>
  <c r="D52" i="20" s="1"/>
  <c r="D53" i="20" s="1"/>
  <c r="D54" i="20" s="1"/>
  <c r="D55" i="20" s="1"/>
  <c r="D56" i="20" s="1"/>
  <c r="D57" i="20" s="1"/>
  <c r="D58" i="20" s="1"/>
  <c r="D59" i="20" s="1"/>
  <c r="D60" i="20" s="1"/>
  <c r="D61" i="20" s="1"/>
  <c r="D62" i="20" s="1"/>
  <c r="D63" i="20" s="1"/>
  <c r="D64" i="20" s="1"/>
  <c r="D65" i="20" s="1"/>
  <c r="D66" i="20" s="1"/>
  <c r="D67" i="20" s="1"/>
  <c r="D68" i="20" s="1"/>
  <c r="D69" i="20" s="1"/>
  <c r="D70" i="20" s="1"/>
  <c r="D71" i="20" s="1"/>
  <c r="D72" i="20" s="1"/>
  <c r="D73" i="20" s="1"/>
  <c r="D74" i="20" s="1"/>
  <c r="D75" i="20" s="1"/>
  <c r="D76" i="20" s="1"/>
  <c r="D77" i="20" s="1"/>
  <c r="D78" i="20" s="1"/>
  <c r="D79" i="20" s="1"/>
  <c r="D80" i="20" s="1"/>
  <c r="D81" i="20" s="1"/>
  <c r="D82" i="20" s="1"/>
  <c r="D83" i="20" s="1"/>
  <c r="D84" i="20" s="1"/>
  <c r="D85" i="20" s="1"/>
  <c r="D86" i="20" s="1"/>
  <c r="D87" i="20" s="1"/>
  <c r="D88" i="20" s="1"/>
  <c r="D89" i="20" s="1"/>
  <c r="D90" i="20" s="1"/>
  <c r="D91" i="20" s="1"/>
  <c r="D92" i="20" s="1"/>
  <c r="D93" i="20" s="1"/>
  <c r="D94" i="20" s="1"/>
  <c r="D95" i="20" s="1"/>
  <c r="D96" i="20" s="1"/>
  <c r="D97" i="20" s="1"/>
  <c r="D98" i="20" s="1"/>
  <c r="D99" i="20" s="1"/>
  <c r="E98" i="20"/>
  <c r="F98" i="20"/>
  <c r="F9" i="19"/>
  <c r="K7" i="19"/>
  <c r="I77" i="21"/>
  <c r="I46" i="21"/>
  <c r="C15" i="19"/>
  <c r="C22" i="19"/>
  <c r="C7" i="19"/>
  <c r="D57" i="19" s="1"/>
  <c r="I82" i="21"/>
  <c r="I127" i="21"/>
  <c r="I125" i="21"/>
  <c r="I131" i="21"/>
  <c r="D131" i="21" s="1"/>
  <c r="C10" i="19"/>
  <c r="I68" i="21"/>
  <c r="F58" i="19"/>
  <c r="G142" i="21"/>
  <c r="F164" i="21"/>
  <c r="F72" i="19"/>
  <c r="F65" i="19"/>
  <c r="E58" i="19"/>
  <c r="G255" i="1"/>
  <c r="E151" i="21"/>
  <c r="G133" i="21"/>
  <c r="G131" i="21"/>
  <c r="G164" i="21"/>
  <c r="F131" i="21"/>
  <c r="F196" i="21"/>
  <c r="E142" i="21"/>
  <c r="E152" i="21"/>
  <c r="F133" i="21"/>
  <c r="G196" i="21"/>
  <c r="E57" i="19"/>
  <c r="E65" i="19"/>
  <c r="E155" i="21"/>
  <c r="F143" i="21"/>
  <c r="E156" i="21"/>
  <c r="E72" i="19"/>
  <c r="E153" i="21"/>
  <c r="F57" i="19"/>
  <c r="F142" i="21"/>
  <c r="D12" i="19"/>
  <c r="D17" i="19" s="1"/>
  <c r="F64" i="19"/>
  <c r="G143" i="21"/>
  <c r="F14" i="18"/>
  <c r="F22" i="18" s="1"/>
  <c r="D64" i="19"/>
  <c r="E64" i="19"/>
  <c r="L107" i="21"/>
  <c r="K107" i="21"/>
  <c r="J107" i="21"/>
  <c r="I107" i="21"/>
  <c r="A108" i="21"/>
  <c r="X56" i="25" l="1"/>
  <c r="E18" i="25"/>
  <c r="I15" i="45" s="1"/>
  <c r="U31" i="25"/>
  <c r="AF20" i="25"/>
  <c r="E20" i="25" s="1"/>
  <c r="I17" i="45" s="1"/>
  <c r="R30" i="39"/>
  <c r="E30" i="39" s="1"/>
  <c r="G26" i="45" s="1"/>
  <c r="AF20" i="39"/>
  <c r="E20" i="39" s="1"/>
  <c r="G17" i="45" s="1"/>
  <c r="E49" i="39"/>
  <c r="G42" i="45" s="1"/>
  <c r="E18" i="39"/>
  <c r="G15" i="45" s="1"/>
  <c r="E170" i="21"/>
  <c r="V49" i="42"/>
  <c r="V49" i="44"/>
  <c r="R39" i="18"/>
  <c r="R53" i="18" s="1"/>
  <c r="R14" i="18"/>
  <c r="R22" i="18" s="1"/>
  <c r="K32" i="42"/>
  <c r="E32" i="42" s="1"/>
  <c r="AB40" i="44"/>
  <c r="AB49" i="44" s="1"/>
  <c r="U26" i="42"/>
  <c r="E26" i="42" s="1"/>
  <c r="P23" i="44"/>
  <c r="E23" i="44" s="1"/>
  <c r="G19" i="42"/>
  <c r="E19" i="42" s="1"/>
  <c r="W42" i="42"/>
  <c r="E42" i="42" s="1"/>
  <c r="O34" i="42"/>
  <c r="E34" i="42" s="1"/>
  <c r="P23" i="42"/>
  <c r="E23" i="42" s="1"/>
  <c r="G19" i="44"/>
  <c r="E19" i="44" s="1"/>
  <c r="L33" i="42"/>
  <c r="E33" i="42" s="1"/>
  <c r="J22" i="44"/>
  <c r="E22" i="44" s="1"/>
  <c r="J22" i="42"/>
  <c r="E22" i="42" s="1"/>
  <c r="U26" i="44"/>
  <c r="E26" i="44" s="1"/>
  <c r="W42" i="44"/>
  <c r="E42" i="44" s="1"/>
  <c r="O34" i="44"/>
  <c r="E34" i="44" s="1"/>
  <c r="X49" i="42"/>
  <c r="E43" i="42"/>
  <c r="I21" i="42"/>
  <c r="E21" i="42" s="1"/>
  <c r="Z40" i="42"/>
  <c r="Z49" i="42" s="1"/>
  <c r="E47" i="39"/>
  <c r="AB40" i="42"/>
  <c r="AB49" i="42" s="1"/>
  <c r="W57" i="39"/>
  <c r="L33" i="44"/>
  <c r="E33" i="44" s="1"/>
  <c r="Z40" i="44"/>
  <c r="Z49" i="44" s="1"/>
  <c r="K32" i="44"/>
  <c r="E32" i="44" s="1"/>
  <c r="X43" i="44"/>
  <c r="E43" i="44" s="1"/>
  <c r="I21" i="44"/>
  <c r="E21" i="44" s="1"/>
  <c r="R8" i="44"/>
  <c r="R8" i="42"/>
  <c r="L49" i="40"/>
  <c r="U49" i="40"/>
  <c r="P57" i="39"/>
  <c r="Y57" i="39"/>
  <c r="O34" i="40"/>
  <c r="E34" i="40" s="1"/>
  <c r="H24" i="38"/>
  <c r="H28" i="38" s="1"/>
  <c r="H33" i="38" s="1"/>
  <c r="K12" i="38"/>
  <c r="K17" i="38" s="1"/>
  <c r="K32" i="40"/>
  <c r="E32" i="40" s="1"/>
  <c r="I21" i="40"/>
  <c r="E21" i="40" s="1"/>
  <c r="O57" i="39"/>
  <c r="Z40" i="40"/>
  <c r="E40" i="40" s="1"/>
  <c r="P23" i="40"/>
  <c r="E23" i="40" s="1"/>
  <c r="G19" i="40"/>
  <c r="E19" i="40" s="1"/>
  <c r="R25" i="40"/>
  <c r="E25" i="40" s="1"/>
  <c r="AG57" i="39"/>
  <c r="W42" i="40"/>
  <c r="E42" i="40" s="1"/>
  <c r="K57" i="39"/>
  <c r="X43" i="40"/>
  <c r="E43" i="40" s="1"/>
  <c r="J22" i="40"/>
  <c r="E22" i="40" s="1"/>
  <c r="L40" i="39"/>
  <c r="E40" i="39" s="1"/>
  <c r="D43" i="39" s="1"/>
  <c r="I57" i="39"/>
  <c r="J57" i="39"/>
  <c r="E19" i="25"/>
  <c r="I16" i="45" s="1"/>
  <c r="U31" i="39"/>
  <c r="E31" i="39" s="1"/>
  <c r="G27" i="45" s="1"/>
  <c r="E23" i="39"/>
  <c r="G19" i="45" s="1"/>
  <c r="F12" i="19"/>
  <c r="F17" i="19" s="1"/>
  <c r="K9" i="19"/>
  <c r="K12" i="19" s="1"/>
  <c r="K17" i="19" s="1"/>
  <c r="E134" i="21"/>
  <c r="E48" i="25"/>
  <c r="Y56" i="25"/>
  <c r="E163" i="21"/>
  <c r="E183" i="21"/>
  <c r="D58" i="19"/>
  <c r="D60" i="19" s="1"/>
  <c r="E135" i="21"/>
  <c r="E178" i="21"/>
  <c r="E169" i="21"/>
  <c r="E179" i="21"/>
  <c r="E133" i="21"/>
  <c r="E182" i="21"/>
  <c r="E132" i="21"/>
  <c r="E161" i="21"/>
  <c r="L56" i="25"/>
  <c r="E180" i="21"/>
  <c r="E173" i="21"/>
  <c r="E148" i="21"/>
  <c r="E30" i="25"/>
  <c r="I26" i="45" s="1"/>
  <c r="K39" i="25"/>
  <c r="I25" i="25"/>
  <c r="E25" i="25" s="1"/>
  <c r="I21" i="45" s="1"/>
  <c r="P27" i="25"/>
  <c r="E27" i="25" s="1"/>
  <c r="I23" i="45" s="1"/>
  <c r="E23" i="25"/>
  <c r="I19" i="45" s="1"/>
  <c r="J26" i="25"/>
  <c r="E26" i="25" s="1"/>
  <c r="I22" i="45" s="1"/>
  <c r="D39" i="18"/>
  <c r="E171" i="21"/>
  <c r="E181" i="21"/>
  <c r="D184" i="21"/>
  <c r="E184" i="21"/>
  <c r="E174" i="21"/>
  <c r="E162" i="21"/>
  <c r="E172" i="21"/>
  <c r="D150" i="21"/>
  <c r="E150" i="21"/>
  <c r="D185" i="21"/>
  <c r="E185" i="21"/>
  <c r="D14" i="18"/>
  <c r="D22" i="18" s="1"/>
  <c r="E131" i="21"/>
  <c r="D100" i="20"/>
  <c r="C72" i="19"/>
  <c r="D72" i="19"/>
  <c r="C65" i="19"/>
  <c r="C67" i="19" s="1"/>
  <c r="D65" i="19"/>
  <c r="D67" i="19" s="1"/>
  <c r="C9" i="19"/>
  <c r="C12" i="19" s="1"/>
  <c r="C17" i="19" s="1"/>
  <c r="C57" i="19"/>
  <c r="C60" i="19" s="1"/>
  <c r="E60" i="19"/>
  <c r="F60" i="19"/>
  <c r="F67" i="19"/>
  <c r="E24" i="19"/>
  <c r="E28" i="19" s="1"/>
  <c r="P64" i="18" s="1"/>
  <c r="P66" i="18" s="1"/>
  <c r="P68" i="18" s="1"/>
  <c r="P76" i="18" s="1"/>
  <c r="E67" i="19"/>
  <c r="D24" i="19"/>
  <c r="D28" i="19" s="1"/>
  <c r="Q64" i="18" s="1"/>
  <c r="Q66" i="18" s="1"/>
  <c r="Q68" i="18" s="1"/>
  <c r="Q76" i="18" s="1"/>
  <c r="F53" i="18"/>
  <c r="J108" i="21"/>
  <c r="L108" i="21"/>
  <c r="K108" i="21"/>
  <c r="I108" i="21"/>
  <c r="A109" i="21"/>
  <c r="E31" i="25" l="1"/>
  <c r="I27" i="45" s="1"/>
  <c r="R57" i="39"/>
  <c r="T14" i="18"/>
  <c r="U56" i="25"/>
  <c r="AF56" i="25"/>
  <c r="D53" i="25"/>
  <c r="I42" i="45"/>
  <c r="I47" i="45" s="1"/>
  <c r="X57" i="39"/>
  <c r="D54" i="39"/>
  <c r="G41" i="45"/>
  <c r="G47" i="45" s="1"/>
  <c r="AF57" i="39"/>
  <c r="U49" i="42"/>
  <c r="O49" i="42"/>
  <c r="O49" i="44"/>
  <c r="J49" i="42"/>
  <c r="L49" i="42"/>
  <c r="J49" i="44"/>
  <c r="W49" i="42"/>
  <c r="W49" i="44"/>
  <c r="P49" i="44"/>
  <c r="X49" i="44"/>
  <c r="E40" i="42"/>
  <c r="D46" i="42" s="1"/>
  <c r="P49" i="42"/>
  <c r="D36" i="44"/>
  <c r="L49" i="44"/>
  <c r="I49" i="42"/>
  <c r="U49" i="44"/>
  <c r="G49" i="44"/>
  <c r="G49" i="42"/>
  <c r="K49" i="42"/>
  <c r="I49" i="44"/>
  <c r="K49" i="44"/>
  <c r="E40" i="44"/>
  <c r="D46" i="44" s="1"/>
  <c r="D36" i="42"/>
  <c r="R25" i="42"/>
  <c r="E25" i="42" s="1"/>
  <c r="R25" i="44"/>
  <c r="E25" i="44" s="1"/>
  <c r="J49" i="40"/>
  <c r="O49" i="40"/>
  <c r="G57" i="39"/>
  <c r="L57" i="39"/>
  <c r="Z49" i="40"/>
  <c r="I49" i="40"/>
  <c r="U57" i="39"/>
  <c r="K49" i="40"/>
  <c r="W49" i="40"/>
  <c r="D36" i="40"/>
  <c r="R49" i="40"/>
  <c r="P49" i="40"/>
  <c r="J15" i="46"/>
  <c r="K24" i="38"/>
  <c r="X49" i="40"/>
  <c r="G49" i="40"/>
  <c r="D46" i="40"/>
  <c r="AG56" i="25"/>
  <c r="D53" i="18"/>
  <c r="E39" i="25"/>
  <c r="G56" i="25"/>
  <c r="K56" i="25"/>
  <c r="J56" i="25"/>
  <c r="R56" i="25"/>
  <c r="P56" i="25"/>
  <c r="I56" i="25"/>
  <c r="C24" i="19"/>
  <c r="C28" i="19" s="1"/>
  <c r="R64" i="18" s="1"/>
  <c r="R66" i="18" s="1"/>
  <c r="R68" i="18" s="1"/>
  <c r="R76" i="18" s="1"/>
  <c r="C69" i="19"/>
  <c r="C74" i="19" s="1"/>
  <c r="C78" i="19" s="1"/>
  <c r="C81" i="19" s="1"/>
  <c r="D101" i="20"/>
  <c r="D102" i="20" s="1"/>
  <c r="D103" i="20" s="1"/>
  <c r="D104" i="20" s="1"/>
  <c r="D105" i="20" s="1"/>
  <c r="D106" i="20" s="1"/>
  <c r="D107" i="20" s="1"/>
  <c r="D108" i="20" s="1"/>
  <c r="D109" i="20" s="1"/>
  <c r="D110" i="20" s="1"/>
  <c r="D111" i="20" s="1"/>
  <c r="D112" i="20" s="1"/>
  <c r="D113" i="20" s="1"/>
  <c r="D114" i="20" s="1"/>
  <c r="D115" i="20" s="1"/>
  <c r="D116" i="20" s="1"/>
  <c r="D117" i="20" s="1"/>
  <c r="D118" i="20" s="1"/>
  <c r="D119" i="20" s="1"/>
  <c r="D120" i="20" s="1"/>
  <c r="D121" i="20" s="1"/>
  <c r="D122" i="20" s="1"/>
  <c r="D123" i="20" s="1"/>
  <c r="D124" i="20" s="1"/>
  <c r="D125" i="20" s="1"/>
  <c r="D126" i="20" s="1"/>
  <c r="D127" i="20" s="1"/>
  <c r="D128" i="20" s="1"/>
  <c r="D129" i="20" s="1"/>
  <c r="D130" i="20" s="1"/>
  <c r="D131" i="20" s="1"/>
  <c r="D132" i="20" s="1"/>
  <c r="D133" i="20" s="1"/>
  <c r="D134" i="20" s="1"/>
  <c r="D135" i="20" s="1"/>
  <c r="D136" i="20" s="1"/>
  <c r="D137" i="20" s="1"/>
  <c r="D138" i="20" s="1"/>
  <c r="D139" i="20" s="1"/>
  <c r="D140" i="20" s="1"/>
  <c r="D141" i="20" s="1"/>
  <c r="D142" i="20" s="1"/>
  <c r="D143" i="20" s="1"/>
  <c r="D144" i="20" s="1"/>
  <c r="D145" i="20" s="1"/>
  <c r="D146" i="20" s="1"/>
  <c r="D147" i="20" s="1"/>
  <c r="D148" i="20" s="1"/>
  <c r="D149" i="20" s="1"/>
  <c r="D150" i="20" s="1"/>
  <c r="D151" i="20" s="1"/>
  <c r="D152" i="20" s="1"/>
  <c r="D153" i="20" s="1"/>
  <c r="D154" i="20" s="1"/>
  <c r="D155" i="20" s="1"/>
  <c r="D156" i="20" s="1"/>
  <c r="D157" i="20" s="1"/>
  <c r="D158" i="20" s="1"/>
  <c r="D159" i="20" s="1"/>
  <c r="D160" i="20" s="1"/>
  <c r="D161" i="20" s="1"/>
  <c r="D162" i="20" s="1"/>
  <c r="D163" i="20" s="1"/>
  <c r="D164" i="20" s="1"/>
  <c r="D165" i="20" s="1"/>
  <c r="D166" i="20" s="1"/>
  <c r="D167" i="20" s="1"/>
  <c r="D168" i="20" s="1"/>
  <c r="D169" i="20" s="1"/>
  <c r="D170" i="20" s="1"/>
  <c r="D171" i="20" s="1"/>
  <c r="D172" i="20" s="1"/>
  <c r="D173" i="20" s="1"/>
  <c r="D174" i="20" s="1"/>
  <c r="D175" i="20" s="1"/>
  <c r="D176" i="20" s="1"/>
  <c r="D177" i="20" s="1"/>
  <c r="D178" i="20" s="1"/>
  <c r="D179" i="20" s="1"/>
  <c r="D180" i="20" s="1"/>
  <c r="D181" i="20" s="1"/>
  <c r="D182" i="20" s="1"/>
  <c r="D183" i="20" s="1"/>
  <c r="D184" i="20" s="1"/>
  <c r="D185" i="20" s="1"/>
  <c r="D186" i="20" s="1"/>
  <c r="D187" i="20" s="1"/>
  <c r="D188" i="20" s="1"/>
  <c r="D189" i="20" s="1"/>
  <c r="F188" i="20"/>
  <c r="D31" i="19" s="1"/>
  <c r="F24" i="19"/>
  <c r="D69" i="19"/>
  <c r="D74" i="19" s="1"/>
  <c r="D78" i="19" s="1"/>
  <c r="E69" i="19"/>
  <c r="E74" i="19" s="1"/>
  <c r="E78" i="19" s="1"/>
  <c r="F69" i="19"/>
  <c r="F74" i="19" s="1"/>
  <c r="F78" i="19" s="1"/>
  <c r="L109" i="21"/>
  <c r="K109" i="21"/>
  <c r="J109" i="21"/>
  <c r="I109" i="21"/>
  <c r="A110" i="21"/>
  <c r="J17" i="46" l="1"/>
  <c r="K15" i="46"/>
  <c r="K17" i="46" s="1"/>
  <c r="D42" i="25"/>
  <c r="I35" i="45"/>
  <c r="I37" i="45" s="1"/>
  <c r="R49" i="42"/>
  <c r="R49" i="44"/>
  <c r="H36" i="38"/>
  <c r="K33" i="38"/>
  <c r="D66" i="18"/>
  <c r="C31" i="19"/>
  <c r="E188" i="20"/>
  <c r="D81" i="19" s="1"/>
  <c r="D190" i="20"/>
  <c r="F28" i="19"/>
  <c r="F64" i="18" s="1"/>
  <c r="K24" i="19"/>
  <c r="L110" i="21"/>
  <c r="K110" i="21"/>
  <c r="J110" i="21"/>
  <c r="I110" i="21"/>
  <c r="A111" i="21"/>
  <c r="J42" i="46" l="1"/>
  <c r="K64" i="18"/>
  <c r="K41" i="46"/>
  <c r="K28" i="46"/>
  <c r="K45" i="46" s="1"/>
  <c r="J41" i="46"/>
  <c r="J28" i="46"/>
  <c r="J45" i="46" s="1"/>
  <c r="J47" i="46" s="1"/>
  <c r="D68" i="18"/>
  <c r="D76" i="18" s="1"/>
  <c r="K46" i="46"/>
  <c r="D191" i="20"/>
  <c r="K28" i="19"/>
  <c r="K111" i="21"/>
  <c r="I111" i="21"/>
  <c r="J111" i="21"/>
  <c r="L111" i="21"/>
  <c r="A112" i="21"/>
  <c r="J43" i="46" l="1"/>
  <c r="K47" i="46"/>
  <c r="AD6" i="40"/>
  <c r="AD8" i="40" s="1"/>
  <c r="AD6" i="42"/>
  <c r="AD6" i="44"/>
  <c r="AI7" i="25"/>
  <c r="AI8" i="25" s="1"/>
  <c r="AI6" i="39"/>
  <c r="F280" i="20"/>
  <c r="E31" i="19" s="1"/>
  <c r="D192" i="20"/>
  <c r="D193" i="20" s="1"/>
  <c r="D194" i="20" s="1"/>
  <c r="D195" i="20" s="1"/>
  <c r="D196" i="20" s="1"/>
  <c r="D197" i="20" s="1"/>
  <c r="D198" i="20" s="1"/>
  <c r="D199" i="20" s="1"/>
  <c r="D200" i="20" s="1"/>
  <c r="D201" i="20" s="1"/>
  <c r="D202" i="20" s="1"/>
  <c r="D203" i="20" s="1"/>
  <c r="D204" i="20" s="1"/>
  <c r="D205" i="20" s="1"/>
  <c r="D206" i="20" s="1"/>
  <c r="D207" i="20" s="1"/>
  <c r="D208" i="20" s="1"/>
  <c r="D209" i="20" s="1"/>
  <c r="D210" i="20" s="1"/>
  <c r="D211" i="20" s="1"/>
  <c r="D212" i="20" s="1"/>
  <c r="D213" i="20" s="1"/>
  <c r="D214" i="20" s="1"/>
  <c r="D215" i="20" s="1"/>
  <c r="D216" i="20" s="1"/>
  <c r="D217" i="20" s="1"/>
  <c r="D218" i="20" s="1"/>
  <c r="D219" i="20" s="1"/>
  <c r="D220" i="20" s="1"/>
  <c r="D221" i="20" s="1"/>
  <c r="D222" i="20" s="1"/>
  <c r="D223" i="20" s="1"/>
  <c r="D224" i="20" s="1"/>
  <c r="D225" i="20" s="1"/>
  <c r="D226" i="20" s="1"/>
  <c r="D227" i="20" s="1"/>
  <c r="D228" i="20" s="1"/>
  <c r="D229" i="20" s="1"/>
  <c r="D230" i="20" s="1"/>
  <c r="D231" i="20" s="1"/>
  <c r="D232" i="20" s="1"/>
  <c r="D233" i="20" s="1"/>
  <c r="D234" i="20" s="1"/>
  <c r="D235" i="20" s="1"/>
  <c r="D236" i="20" s="1"/>
  <c r="D237" i="20" s="1"/>
  <c r="D238" i="20" s="1"/>
  <c r="D239" i="20" s="1"/>
  <c r="D240" i="20" s="1"/>
  <c r="D241" i="20" s="1"/>
  <c r="D242" i="20" s="1"/>
  <c r="D243" i="20" s="1"/>
  <c r="D244" i="20" s="1"/>
  <c r="D245" i="20" s="1"/>
  <c r="D246" i="20" s="1"/>
  <c r="D247" i="20" s="1"/>
  <c r="D248" i="20" s="1"/>
  <c r="D249" i="20" s="1"/>
  <c r="D250" i="20" s="1"/>
  <c r="D251" i="20" s="1"/>
  <c r="D252" i="20" s="1"/>
  <c r="D253" i="20" s="1"/>
  <c r="D254" i="20" s="1"/>
  <c r="D255" i="20" s="1"/>
  <c r="D256" i="20" s="1"/>
  <c r="D257" i="20" s="1"/>
  <c r="D258" i="20" s="1"/>
  <c r="D259" i="20" s="1"/>
  <c r="D260" i="20" s="1"/>
  <c r="D261" i="20" s="1"/>
  <c r="D262" i="20" s="1"/>
  <c r="D263" i="20" s="1"/>
  <c r="D264" i="20" s="1"/>
  <c r="D265" i="20" s="1"/>
  <c r="D266" i="20" s="1"/>
  <c r="D267" i="20" s="1"/>
  <c r="D268" i="20" s="1"/>
  <c r="D269" i="20" s="1"/>
  <c r="D270" i="20" s="1"/>
  <c r="D271" i="20" s="1"/>
  <c r="D272" i="20" s="1"/>
  <c r="D273" i="20" s="1"/>
  <c r="D274" i="20" s="1"/>
  <c r="D275" i="20" s="1"/>
  <c r="D276" i="20" s="1"/>
  <c r="D277" i="20" s="1"/>
  <c r="D278" i="20" s="1"/>
  <c r="D279" i="20" s="1"/>
  <c r="D280" i="20" s="1"/>
  <c r="D281" i="20" s="1"/>
  <c r="E280" i="20"/>
  <c r="E81" i="19" s="1"/>
  <c r="F66" i="18"/>
  <c r="L112" i="21"/>
  <c r="I112" i="21"/>
  <c r="K112" i="21"/>
  <c r="J112" i="21"/>
  <c r="A113" i="21"/>
  <c r="F68" i="18" l="1"/>
  <c r="F76" i="18" s="1"/>
  <c r="K42" i="46"/>
  <c r="K43" i="46" s="1"/>
  <c r="AK7" i="25"/>
  <c r="AF6" i="40"/>
  <c r="AD8" i="44"/>
  <c r="AF6" i="44"/>
  <c r="AD8" i="42"/>
  <c r="AF6" i="42"/>
  <c r="AD11" i="40"/>
  <c r="E11" i="40" s="1"/>
  <c r="AI8" i="39"/>
  <c r="AK6" i="39"/>
  <c r="AI11" i="25"/>
  <c r="E11" i="25" s="1"/>
  <c r="I9" i="45" s="1"/>
  <c r="I31" i="45" s="1"/>
  <c r="I50" i="45" s="1"/>
  <c r="I54" i="45" s="1"/>
  <c r="D282" i="20"/>
  <c r="D283" i="20" s="1"/>
  <c r="D284" i="20" s="1"/>
  <c r="D285" i="20" s="1"/>
  <c r="D286" i="20" s="1"/>
  <c r="D287" i="20" s="1"/>
  <c r="D288" i="20" s="1"/>
  <c r="D289" i="20" s="1"/>
  <c r="D290" i="20" s="1"/>
  <c r="D291" i="20" s="1"/>
  <c r="D292" i="20" s="1"/>
  <c r="D293" i="20" s="1"/>
  <c r="D294" i="20" s="1"/>
  <c r="D295" i="20" s="1"/>
  <c r="D296" i="20" s="1"/>
  <c r="D297" i="20" s="1"/>
  <c r="D298" i="20" s="1"/>
  <c r="D299" i="20" s="1"/>
  <c r="D300" i="20" s="1"/>
  <c r="D301" i="20" s="1"/>
  <c r="D302" i="20" s="1"/>
  <c r="D303" i="20" s="1"/>
  <c r="D304" i="20" s="1"/>
  <c r="D305" i="20" s="1"/>
  <c r="D306" i="20" s="1"/>
  <c r="D307" i="20" s="1"/>
  <c r="D308" i="20" s="1"/>
  <c r="D309" i="20" s="1"/>
  <c r="D310" i="20" s="1"/>
  <c r="D311" i="20" s="1"/>
  <c r="D312" i="20" s="1"/>
  <c r="D313" i="20" s="1"/>
  <c r="D314" i="20" s="1"/>
  <c r="D315" i="20" s="1"/>
  <c r="D316" i="20" s="1"/>
  <c r="D317" i="20" s="1"/>
  <c r="D318" i="20" s="1"/>
  <c r="D319" i="20" s="1"/>
  <c r="D320" i="20" s="1"/>
  <c r="D321" i="20" s="1"/>
  <c r="D322" i="20" s="1"/>
  <c r="D323" i="20" s="1"/>
  <c r="D324" i="20" s="1"/>
  <c r="D325" i="20" s="1"/>
  <c r="D326" i="20" s="1"/>
  <c r="D327" i="20" s="1"/>
  <c r="D328" i="20" s="1"/>
  <c r="D329" i="20" s="1"/>
  <c r="D330" i="20" s="1"/>
  <c r="D331" i="20" s="1"/>
  <c r="D332" i="20" s="1"/>
  <c r="D333" i="20" s="1"/>
  <c r="D334" i="20" s="1"/>
  <c r="D335" i="20" s="1"/>
  <c r="D336" i="20" s="1"/>
  <c r="D337" i="20" s="1"/>
  <c r="D338" i="20" s="1"/>
  <c r="D339" i="20" s="1"/>
  <c r="D340" i="20" s="1"/>
  <c r="D341" i="20" s="1"/>
  <c r="D342" i="20" s="1"/>
  <c r="D343" i="20" s="1"/>
  <c r="D344" i="20" s="1"/>
  <c r="D345" i="20" s="1"/>
  <c r="D346" i="20" s="1"/>
  <c r="D347" i="20" s="1"/>
  <c r="D348" i="20" s="1"/>
  <c r="D349" i="20" s="1"/>
  <c r="D350" i="20" s="1"/>
  <c r="D351" i="20" s="1"/>
  <c r="D352" i="20" s="1"/>
  <c r="D353" i="20" s="1"/>
  <c r="D354" i="20" s="1"/>
  <c r="D355" i="20" s="1"/>
  <c r="D356" i="20" s="1"/>
  <c r="D357" i="20" s="1"/>
  <c r="D358" i="20" s="1"/>
  <c r="D359" i="20" s="1"/>
  <c r="D360" i="20" s="1"/>
  <c r="D361" i="20" s="1"/>
  <c r="D362" i="20" s="1"/>
  <c r="D363" i="20" s="1"/>
  <c r="D364" i="20" s="1"/>
  <c r="D365" i="20" s="1"/>
  <c r="D366" i="20" s="1"/>
  <c r="D367" i="20" s="1"/>
  <c r="D368" i="20" s="1"/>
  <c r="D369" i="20" s="1"/>
  <c r="D370" i="20" s="1"/>
  <c r="D371" i="20" s="1"/>
  <c r="D372" i="20" s="1"/>
  <c r="F372" i="20" s="1"/>
  <c r="F31" i="19" s="1"/>
  <c r="K113" i="21"/>
  <c r="J113" i="21"/>
  <c r="I113" i="21"/>
  <c r="L113" i="21"/>
  <c r="A114" i="21"/>
  <c r="AD49" i="40" l="1"/>
  <c r="G52" i="45"/>
  <c r="I72" i="45"/>
  <c r="AD11" i="44"/>
  <c r="E11" i="44" s="1"/>
  <c r="AD11" i="42"/>
  <c r="E11" i="42" s="1"/>
  <c r="D29" i="40"/>
  <c r="D49" i="40" s="1"/>
  <c r="E49" i="40"/>
  <c r="F50" i="40" s="1"/>
  <c r="F51" i="40" s="1"/>
  <c r="E11" i="39"/>
  <c r="G9" i="45" s="1"/>
  <c r="G31" i="45" s="1"/>
  <c r="G50" i="45" s="1"/>
  <c r="AI56" i="25"/>
  <c r="D36" i="25"/>
  <c r="D56" i="25" s="1"/>
  <c r="E56" i="25"/>
  <c r="F57" i="25" s="1"/>
  <c r="F58" i="25" s="1"/>
  <c r="E372" i="20"/>
  <c r="F81" i="19" s="1"/>
  <c r="I114" i="21"/>
  <c r="J114" i="21"/>
  <c r="L114" i="21"/>
  <c r="K114" i="21"/>
  <c r="A115" i="21"/>
  <c r="G54" i="45" l="1"/>
  <c r="G72" i="45" s="1"/>
  <c r="AD49" i="44"/>
  <c r="AD49" i="42"/>
  <c r="D29" i="42"/>
  <c r="D49" i="42" s="1"/>
  <c r="E49" i="42"/>
  <c r="F50" i="42" s="1"/>
  <c r="F51" i="42" s="1"/>
  <c r="D29" i="44"/>
  <c r="D49" i="44" s="1"/>
  <c r="E49" i="44"/>
  <c r="F50" i="44" s="1"/>
  <c r="F51" i="44" s="1"/>
  <c r="AI57" i="39"/>
  <c r="E57" i="39"/>
  <c r="F58" i="39" s="1"/>
  <c r="F59" i="39" s="1"/>
  <c r="D36" i="39"/>
  <c r="D57" i="39" s="1"/>
  <c r="L115" i="21"/>
  <c r="K115" i="21"/>
  <c r="J115" i="21"/>
  <c r="I115" i="21"/>
  <c r="A116" i="21"/>
  <c r="J116" i="21" l="1"/>
  <c r="L116" i="21"/>
  <c r="K116" i="21"/>
  <c r="I116" i="21"/>
  <c r="A117" i="21"/>
  <c r="L117" i="21" l="1"/>
  <c r="K117" i="21"/>
  <c r="J117" i="21"/>
  <c r="I117" i="21"/>
  <c r="A118" i="21"/>
  <c r="L118" i="21" l="1"/>
  <c r="K118" i="21"/>
  <c r="J118" i="21"/>
  <c r="I118" i="21"/>
  <c r="A119" i="21"/>
  <c r="K119" i="21" l="1"/>
  <c r="K199" i="21" s="1"/>
  <c r="I119" i="21"/>
  <c r="J119" i="21"/>
  <c r="J199" i="21" s="1"/>
  <c r="L119" i="21"/>
  <c r="L199" i="21" s="1"/>
  <c r="I199" i="21" l="1"/>
</calcChain>
</file>

<file path=xl/sharedStrings.xml><?xml version="1.0" encoding="utf-8"?>
<sst xmlns="http://schemas.openxmlformats.org/spreadsheetml/2006/main" count="7376" uniqueCount="1138">
  <si>
    <t>Debit</t>
  </si>
  <si>
    <t>Credit</t>
  </si>
  <si>
    <t>TOTAL</t>
  </si>
  <si>
    <t>Acct Name</t>
  </si>
  <si>
    <t>Acct #</t>
  </si>
  <si>
    <t>1010</t>
  </si>
  <si>
    <t>1210</t>
  </si>
  <si>
    <t>1220</t>
  </si>
  <si>
    <t>1290</t>
  </si>
  <si>
    <t>1230</t>
  </si>
  <si>
    <t>1240</t>
  </si>
  <si>
    <t>1310</t>
  </si>
  <si>
    <t>1320</t>
  </si>
  <si>
    <t>1330</t>
  </si>
  <si>
    <t>1340</t>
  </si>
  <si>
    <t>1410</t>
  </si>
  <si>
    <t>1510</t>
  </si>
  <si>
    <t>1520</t>
  </si>
  <si>
    <t>1710</t>
  </si>
  <si>
    <t>1720</t>
  </si>
  <si>
    <t>1730</t>
  </si>
  <si>
    <t>1750</t>
  </si>
  <si>
    <t>1760</t>
  </si>
  <si>
    <t>1712</t>
  </si>
  <si>
    <t>1714</t>
  </si>
  <si>
    <t>1716</t>
  </si>
  <si>
    <t>1718</t>
  </si>
  <si>
    <t>1722</t>
  </si>
  <si>
    <t>1724</t>
  </si>
  <si>
    <t>1726</t>
  </si>
  <si>
    <t>1728</t>
  </si>
  <si>
    <t>1752</t>
  </si>
  <si>
    <t>1754</t>
  </si>
  <si>
    <t>1756</t>
  </si>
  <si>
    <t>1758</t>
  </si>
  <si>
    <t>1762</t>
  </si>
  <si>
    <t>1766</t>
  </si>
  <si>
    <t>1768</t>
  </si>
  <si>
    <t>1770</t>
  </si>
  <si>
    <t>1020</t>
  </si>
  <si>
    <t>1030</t>
  </si>
  <si>
    <t>1040</t>
  </si>
  <si>
    <t>1050</t>
  </si>
  <si>
    <t>1060</t>
  </si>
  <si>
    <t>1070</t>
  </si>
  <si>
    <t>1080</t>
  </si>
  <si>
    <t>1090</t>
  </si>
  <si>
    <t>2100</t>
  </si>
  <si>
    <t>2010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</si>
  <si>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</si>
  <si>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</si>
  <si>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</si>
  <si>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</si>
  <si>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</si>
  <si>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</si>
  <si>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</si>
  <si>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</si>
  <si>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</si>
  <si>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</si>
  <si>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</si>
  <si>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</si>
  <si>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</si>
  <si>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</si>
  <si>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</si>
  <si>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1990</t>
  </si>
  <si>
    <t>1890</t>
  </si>
  <si>
    <t>1900</t>
  </si>
  <si>
    <t>1810</t>
  </si>
  <si>
    <t>1820</t>
  </si>
  <si>
    <t>1916</t>
  </si>
  <si>
    <t>1830</t>
  </si>
  <si>
    <t>1850</t>
  </si>
  <si>
    <t>3000</t>
  </si>
  <si>
    <t>3100</t>
  </si>
  <si>
    <t>3200</t>
  </si>
  <si>
    <t>3300</t>
  </si>
  <si>
    <t>3400</t>
  </si>
  <si>
    <t>3900</t>
  </si>
  <si>
    <t>3500</t>
  </si>
  <si>
    <t>2810</t>
  </si>
  <si>
    <t>2820</t>
  </si>
  <si>
    <t>2830</t>
  </si>
  <si>
    <t>2701</t>
  </si>
  <si>
    <t>2702</t>
  </si>
  <si>
    <t>2000</t>
  </si>
  <si>
    <t>2110</t>
  </si>
  <si>
    <t>2120</t>
  </si>
  <si>
    <t>2130</t>
  </si>
  <si>
    <t>2140</t>
  </si>
  <si>
    <t>2150</t>
  </si>
  <si>
    <t>2160</t>
  </si>
  <si>
    <t>2170</t>
  </si>
  <si>
    <t>2210</t>
  </si>
  <si>
    <t>2220</t>
  </si>
  <si>
    <t>2310</t>
  </si>
  <si>
    <t>2320</t>
  </si>
  <si>
    <t>2400</t>
  </si>
  <si>
    <t>2510</t>
  </si>
  <si>
    <t>2520</t>
  </si>
  <si>
    <t>2600</t>
  </si>
  <si>
    <t>2610</t>
  </si>
  <si>
    <t>2620</t>
  </si>
  <si>
    <t>2630</t>
  </si>
  <si>
    <t>2640</t>
  </si>
  <si>
    <t>2650</t>
  </si>
  <si>
    <t>2660</t>
  </si>
  <si>
    <t>2020</t>
  </si>
  <si>
    <t>2350</t>
  </si>
  <si>
    <t>2390</t>
  </si>
  <si>
    <t>2340</t>
  </si>
  <si>
    <t>2341</t>
  </si>
  <si>
    <t>2342</t>
  </si>
  <si>
    <t>2343</t>
  </si>
  <si>
    <t>2380</t>
  </si>
  <si>
    <t>4100</t>
  </si>
  <si>
    <t>4200</t>
  </si>
  <si>
    <t>4400</t>
  </si>
  <si>
    <t>4300</t>
  </si>
  <si>
    <t>5100</t>
  </si>
  <si>
    <t>5110</t>
  </si>
  <si>
    <t>5120</t>
  </si>
  <si>
    <t>5130</t>
  </si>
  <si>
    <t>5140</t>
  </si>
  <si>
    <t>5150</t>
  </si>
  <si>
    <t>6110</t>
  </si>
  <si>
    <t>6120</t>
  </si>
  <si>
    <t>5160</t>
  </si>
  <si>
    <t>5170</t>
  </si>
  <si>
    <t>5180</t>
  </si>
  <si>
    <t>5190</t>
  </si>
  <si>
    <t>5155</t>
  </si>
  <si>
    <t>6130</t>
  </si>
  <si>
    <t>6140</t>
  </si>
  <si>
    <t>6150</t>
  </si>
  <si>
    <t>6160</t>
  </si>
  <si>
    <t>6175</t>
  </si>
  <si>
    <t>6170</t>
  </si>
  <si>
    <t>6180</t>
  </si>
  <si>
    <t>6190</t>
  </si>
  <si>
    <t>6195</t>
  </si>
  <si>
    <t>6200</t>
  </si>
  <si>
    <t>6205</t>
  </si>
  <si>
    <t>6210</t>
  </si>
  <si>
    <t>8100</t>
  </si>
  <si>
    <t>8110</t>
  </si>
  <si>
    <t>8120</t>
  </si>
  <si>
    <t>8130</t>
  </si>
  <si>
    <t>8140</t>
  </si>
  <si>
    <t>6220</t>
  </si>
  <si>
    <t>6230</t>
  </si>
  <si>
    <t>6240</t>
  </si>
  <si>
    <t>6250</t>
  </si>
  <si>
    <t>6260</t>
  </si>
  <si>
    <t>6270</t>
  </si>
  <si>
    <t>6280</t>
  </si>
  <si>
    <t>6281</t>
  </si>
  <si>
    <t>6290</t>
  </si>
  <si>
    <t>6282</t>
  </si>
  <si>
    <t>6283</t>
  </si>
  <si>
    <t>6305</t>
  </si>
  <si>
    <t>6310</t>
  </si>
  <si>
    <t>6315</t>
  </si>
  <si>
    <t>6320</t>
  </si>
  <si>
    <t>6325</t>
  </si>
  <si>
    <t>6350</t>
  </si>
  <si>
    <t>6380</t>
  </si>
  <si>
    <t>6411</t>
  </si>
  <si>
    <t>6430</t>
  </si>
  <si>
    <t>7200</t>
  </si>
  <si>
    <t>8500</t>
  </si>
  <si>
    <t>Net</t>
  </si>
  <si>
    <t>BS01</t>
  </si>
  <si>
    <t>BS03</t>
  </si>
  <si>
    <t>BS10</t>
  </si>
  <si>
    <t>BS05</t>
  </si>
  <si>
    <t>BS07</t>
  </si>
  <si>
    <t>BS12</t>
  </si>
  <si>
    <t>BS20</t>
  </si>
  <si>
    <t>BS21</t>
  </si>
  <si>
    <t>BS23</t>
  </si>
  <si>
    <t>BS24</t>
  </si>
  <si>
    <t>BS25</t>
  </si>
  <si>
    <t>BS26</t>
  </si>
  <si>
    <t>BS30</t>
  </si>
  <si>
    <t>BS31</t>
  </si>
  <si>
    <t>BS39</t>
  </si>
  <si>
    <t>1030 NIH Grant</t>
  </si>
  <si>
    <t>1040 Cash</t>
  </si>
  <si>
    <t>1050 Cash Equivalents</t>
  </si>
  <si>
    <t>1060 Cash on Hand - Clearing</t>
  </si>
  <si>
    <t>1070 Checking-Bank One, Old</t>
  </si>
  <si>
    <t>1080 Checking, Bank One, New</t>
  </si>
  <si>
    <t>1090 Savings-Bank One</t>
  </si>
  <si>
    <t>1010 US Bank - Checking</t>
  </si>
  <si>
    <t>1020 US Bank - Savings</t>
  </si>
  <si>
    <t>1210 Accounts Receivable</t>
  </si>
  <si>
    <t>1220 AR - Halo Inter-Company</t>
  </si>
  <si>
    <t>1290 Allowance for Doubtful Accounts</t>
  </si>
  <si>
    <t>1230 Accounts Receivable, Trade</t>
  </si>
  <si>
    <t>1240 Other accounts receivable</t>
  </si>
  <si>
    <t>1310 Inventory, Raw Materials</t>
  </si>
  <si>
    <t>1320 Inventory, Goods in Process</t>
  </si>
  <si>
    <t>1330 Inventory, Finished Goods</t>
  </si>
  <si>
    <t>1340 Inventory, Column, Pack, Chem</t>
  </si>
  <si>
    <t>1410 Prepaid Expenses</t>
  </si>
  <si>
    <t>1510 Note Receivable</t>
  </si>
  <si>
    <t>1520 Undeposited Funds</t>
  </si>
  <si>
    <t>1710 Dry Shipper</t>
  </si>
  <si>
    <t>1750 Dry Shipper:A/D Dry Shipper</t>
  </si>
  <si>
    <t>1712 Clean Room</t>
  </si>
  <si>
    <t>1752 Clean Room:A/D Clean Room</t>
  </si>
  <si>
    <t>1714 Computer Software</t>
  </si>
  <si>
    <t>1754 A/D, Computer Software</t>
  </si>
  <si>
    <t>1716 Data Processing Equipment</t>
  </si>
  <si>
    <t>1756 A/D, Data Processing Equipment</t>
  </si>
  <si>
    <t>1718 Furniture and Fixtures</t>
  </si>
  <si>
    <t>1758 A/D, Furniture and Fixtures</t>
  </si>
  <si>
    <t>1720 Furniture and Fixtures CEA Lab</t>
  </si>
  <si>
    <t>1760 A/D, F and F CEA Lab</t>
  </si>
  <si>
    <t>1722 Lab Equipment</t>
  </si>
  <si>
    <t>1724 Lab Equipment:Microscope and camera</t>
  </si>
  <si>
    <t>1762 A/D, Lab Equipment</t>
  </si>
  <si>
    <t>1726 Leasehold Improvements</t>
  </si>
  <si>
    <t>1766 A/D, Leasehold Improvements</t>
  </si>
  <si>
    <t>1728 Office Equipment</t>
  </si>
  <si>
    <t>1768 A/D, Office Equipment</t>
  </si>
  <si>
    <t>1730 Office Equipment, CEA Lab</t>
  </si>
  <si>
    <t>1770 A/D, Office Equip CEA Lab</t>
  </si>
  <si>
    <t>1810 Investment Banking Fees</t>
  </si>
  <si>
    <t>1820 Capital lease payments</t>
  </si>
  <si>
    <t>1916 Patents;US Patent 6458593</t>
  </si>
  <si>
    <t>1830 Trade marks</t>
  </si>
  <si>
    <t>1850 Inventory, Non-current</t>
  </si>
  <si>
    <t>1900 Patents</t>
  </si>
  <si>
    <t>1901 Patents:Bone Marrow MSC</t>
  </si>
  <si>
    <t>1902 Patents:EquaCell Cell Line patent</t>
  </si>
  <si>
    <t>1903 Patents:Stem Cell Activation Patent</t>
  </si>
  <si>
    <t>1904 Patents:Stem Cell Materials and Methods</t>
  </si>
  <si>
    <t>1905 Patents:Cancer stem cell patent</t>
  </si>
  <si>
    <t>1906 Patents:IPS Patent</t>
  </si>
  <si>
    <t>1907 Patents:Stem Cells</t>
  </si>
  <si>
    <t>1908 Patents:Direct Cost, Non-Legal</t>
  </si>
  <si>
    <t>1909 Patents:US Patent 5990288</t>
  </si>
  <si>
    <t>1910 Patents:FSH Purification</t>
  </si>
  <si>
    <t>1911 Patents:Defined Medium</t>
  </si>
  <si>
    <t>1912 Patents:Modified FSH</t>
  </si>
  <si>
    <t>1913 Patents:Multi-Dose Syringe</t>
  </si>
  <si>
    <t>1914 Patents:Immortalized Cells</t>
  </si>
  <si>
    <t>1915 Patents:Legal Fees</t>
  </si>
  <si>
    <t>1990 A/A, Patents</t>
  </si>
  <si>
    <t>1890 Security Deposit</t>
  </si>
  <si>
    <t>2000 Accounts Payable</t>
  </si>
  <si>
    <t>2100 US BANK JOHN</t>
  </si>
  <si>
    <t>2110 Wells Fargo Business VISA-Tiana</t>
  </si>
  <si>
    <t>2120 Wells Fargo Business VISA-Jim</t>
  </si>
  <si>
    <t>2130 Fleet Business</t>
  </si>
  <si>
    <t>2140 Bank One/Chase</t>
  </si>
  <si>
    <t>2150 Capital One VISA</t>
  </si>
  <si>
    <t>2160 US Bank VISA</t>
  </si>
  <si>
    <t>2170 Advanta Executive BusinessCard</t>
  </si>
  <si>
    <t>2210 Notes Payable Accrued</t>
  </si>
  <si>
    <t>2220 NP LB</t>
  </si>
  <si>
    <t>2320 Payroll Tax Liability</t>
  </si>
  <si>
    <t>2350 Deferred revenue</t>
  </si>
  <si>
    <t>2390 Unsecured Notes - Musick</t>
  </si>
  <si>
    <t>2400 Accrued Interest Payable</t>
  </si>
  <si>
    <t>2510 Payables Owed to Jim Musick</t>
  </si>
  <si>
    <t>2520 James Musick Loan</t>
  </si>
  <si>
    <t>2600 Capital Lease Obligation</t>
  </si>
  <si>
    <t>2610 Capital Lease Obligation:Capital Leas- Clean Room</t>
  </si>
  <si>
    <t>2620 Capital Lease Obligation:Capital Lease - MAGPIX</t>
  </si>
  <si>
    <t>2630 Capital Lease Obligation:Capital Lease-Cytation Imaging</t>
  </si>
  <si>
    <t>2640 Capital Lease Obligation:Microscope &amp; camera</t>
  </si>
  <si>
    <t>2650 Capital Lease Obligation:Capital lease - Flourometer</t>
  </si>
  <si>
    <t>2660 Capital Lease Obligation:Capital Lease Centrifuge</t>
  </si>
  <si>
    <t>2020 US Bank Overdraft</t>
  </si>
  <si>
    <t>2310 Payroll Liabilities</t>
  </si>
  <si>
    <t>2010 Accounts Payable, Trade</t>
  </si>
  <si>
    <t>2340 Federal Unemployment Payable</t>
  </si>
  <si>
    <t>2341 CO Withholding Payable</t>
  </si>
  <si>
    <t>2342 CO Unemployment Payable</t>
  </si>
  <si>
    <t>2343 401k Holding</t>
  </si>
  <si>
    <t>2380 Other Accrued Expenses</t>
  </si>
  <si>
    <t>2390 Stock purchase warrants</t>
  </si>
  <si>
    <t>2701 NP Accrued</t>
  </si>
  <si>
    <t>2702 NP Loren Burlage</t>
  </si>
  <si>
    <t>2703 NP KVB</t>
  </si>
  <si>
    <t>2704 NP PS II</t>
  </si>
  <si>
    <t>2705 NP - EF</t>
  </si>
  <si>
    <t>2706 NP Dr. FT</t>
  </si>
  <si>
    <t>2707 NP BP II</t>
  </si>
  <si>
    <t>2708 NP JZ II</t>
  </si>
  <si>
    <t>2709 NP TT</t>
  </si>
  <si>
    <t>2710 N/P Jack Zamora</t>
  </si>
  <si>
    <t>2711 N/P CAE</t>
  </si>
  <si>
    <t>2712 N/P Cliff Neuman</t>
  </si>
  <si>
    <t>2713 N/P - JP III Senior</t>
  </si>
  <si>
    <t>2714 N/P - Bruce Peterson</t>
  </si>
  <si>
    <t>2715 N/P - P Sordelet</t>
  </si>
  <si>
    <t>2716 N/P - K Ozelak</t>
  </si>
  <si>
    <t>2717 N/P - Caribbean Development</t>
  </si>
  <si>
    <t>2718 Note Payable, Dufford &amp; Brown</t>
  </si>
  <si>
    <t>2810 Line of Credit, Bank One</t>
  </si>
  <si>
    <t>2820 Note Payable, Bank One</t>
  </si>
  <si>
    <t>2830 Note Payable, SunTrust</t>
  </si>
  <si>
    <t>3300 Prepaid Services w Common Stock</t>
  </si>
  <si>
    <t>3500 Outstanding Stock Option</t>
  </si>
  <si>
    <t>3000 Common Stock</t>
  </si>
  <si>
    <t>3100 Paid in Capital</t>
  </si>
  <si>
    <t>3200 "B" Warrants</t>
  </si>
  <si>
    <t>3400 Gain on Purchase Transaction</t>
  </si>
  <si>
    <t>3900 Retained Earnings</t>
  </si>
  <si>
    <t>4400 Halo Inter-Company Sales</t>
  </si>
  <si>
    <t>4100 Product Sales</t>
  </si>
  <si>
    <t>4200 Consulting Income</t>
  </si>
  <si>
    <t>4300 Shipping</t>
  </si>
  <si>
    <t>5100 COGS</t>
  </si>
  <si>
    <t>5110 COGS:Freight</t>
  </si>
  <si>
    <t>5120 COGS:Finished goods</t>
  </si>
  <si>
    <t>5130 COGS:Production overhead</t>
  </si>
  <si>
    <t>5140 COGS:Materials</t>
  </si>
  <si>
    <t>5150 COGS:Direct Labor</t>
  </si>
  <si>
    <t>6120 Bad Debt Expense</t>
  </si>
  <si>
    <t>5160 Quality Control:QC outside testing</t>
  </si>
  <si>
    <t>5170 Quality Control:QC Supplies</t>
  </si>
  <si>
    <t>5180 Freight</t>
  </si>
  <si>
    <t>5190 Freight:Out-Bound Freight</t>
  </si>
  <si>
    <t>6190 Equipment</t>
  </si>
  <si>
    <t>6250 Payroll Expenses - Paychex Fees</t>
  </si>
  <si>
    <t>6170 Amortization</t>
  </si>
  <si>
    <t>6350 Sales-Advertising-Marketing</t>
  </si>
  <si>
    <t>6110 Automobile Expense</t>
  </si>
  <si>
    <t>6130 Bank Service Charges:VISA/MC/Discover/AmEx</t>
  </si>
  <si>
    <t>5155 COGS-Vitro</t>
  </si>
  <si>
    <t>6140 Conferences and meetings</t>
  </si>
  <si>
    <t>6150 Contract Services</t>
  </si>
  <si>
    <t>6160 Contributions</t>
  </si>
  <si>
    <t>6175 Depreciation Expense</t>
  </si>
  <si>
    <t>6180 Dues and Subscriptions</t>
  </si>
  <si>
    <t>6195 Equipment Rental</t>
  </si>
  <si>
    <t>6200 Insurance</t>
  </si>
  <si>
    <t>6205 Insurance:General Insurance</t>
  </si>
  <si>
    <t>6210 Insurance:Health Insurance</t>
  </si>
  <si>
    <t>8100 Interest Expense</t>
  </si>
  <si>
    <t>8110 Interest Expense:Interest expense - Leases</t>
  </si>
  <si>
    <t>8120 Interest Expense:Finance Charge</t>
  </si>
  <si>
    <t>8130 Interest Expense:Loan Interest</t>
  </si>
  <si>
    <t>8140 Interest Expense:Note Interest</t>
  </si>
  <si>
    <t>6220 Licenses and Permits</t>
  </si>
  <si>
    <t>6230 Miscellaneous</t>
  </si>
  <si>
    <t>6240 Office Supplies</t>
  </si>
  <si>
    <t>6260 Postage and Delivery</t>
  </si>
  <si>
    <t>6270 Printing and Reproduction</t>
  </si>
  <si>
    <t>6280 Professional Fees</t>
  </si>
  <si>
    <t>6281 Professional Fees:Accounting/Auditing Fees</t>
  </si>
  <si>
    <t>6282 Professional Fees:Consultation Fees</t>
  </si>
  <si>
    <t>6283 Professional Fees:Legal Fees</t>
  </si>
  <si>
    <t>6290 Reimbursed Expenses</t>
  </si>
  <si>
    <t>6305 Rent:Building</t>
  </si>
  <si>
    <t>6310 Rent and Facility, R.P.</t>
  </si>
  <si>
    <t>6315 Rent:Equipment</t>
  </si>
  <si>
    <t>6320 Repairs:Building Repairs</t>
  </si>
  <si>
    <t>6325 Repairs:Equipment Repairs</t>
  </si>
  <si>
    <t>6330 Research and Development</t>
  </si>
  <si>
    <t>6340 Salary Expense</t>
  </si>
  <si>
    <t>6360 Shareholder Relations</t>
  </si>
  <si>
    <t>6370 Supplies</t>
  </si>
  <si>
    <t>6380 Supplies:Tissue</t>
  </si>
  <si>
    <t>6390 Taxes:Property Tax</t>
  </si>
  <si>
    <t>6411 Taxes:Payroll</t>
  </si>
  <si>
    <t>6412 Taxes:Payroll:FICA</t>
  </si>
  <si>
    <t>6420 Travel &amp; Ent:Entertainment</t>
  </si>
  <si>
    <t>6422 Travel &amp; Ent:Meals</t>
  </si>
  <si>
    <t>6424 Travel &amp; Ent:Travel</t>
  </si>
  <si>
    <t>6430 Utilities</t>
  </si>
  <si>
    <t>7100 Interest Income</t>
  </si>
  <si>
    <t>7200 Other Income</t>
  </si>
  <si>
    <t>8500 Loss on Other Receivables</t>
  </si>
  <si>
    <t>6125</t>
  </si>
  <si>
    <t>6125 Bank Service Charges</t>
  </si>
  <si>
    <t>2025</t>
  </si>
  <si>
    <t>2025 Accounts Payable, Trade:AP Cutoff</t>
  </si>
  <si>
    <t>3600</t>
  </si>
  <si>
    <t>3600 Opening Bal Equity</t>
  </si>
  <si>
    <t>4500</t>
  </si>
  <si>
    <t>4500 Income</t>
  </si>
  <si>
    <t>Vitro Diagnostics Inc.</t>
  </si>
  <si>
    <t>Balance Sheets</t>
  </si>
  <si>
    <t>Cash</t>
  </si>
  <si>
    <t>ASSETS</t>
  </si>
  <si>
    <t xml:space="preserve">    Total Current Assets</t>
  </si>
  <si>
    <t>Fixed assets, net of depreciation</t>
  </si>
  <si>
    <t>Total Assets</t>
  </si>
  <si>
    <t>Mapping</t>
  </si>
  <si>
    <t>LIABILITIES</t>
  </si>
  <si>
    <t>Secured convertible notes</t>
  </si>
  <si>
    <t>Capital lease obligations, net of current portion</t>
  </si>
  <si>
    <t>Shareholder accrued compensation payable</t>
  </si>
  <si>
    <t>Shareholder debts payable</t>
  </si>
  <si>
    <t>Paid in capital</t>
  </si>
  <si>
    <t>Retained Earnings</t>
  </si>
  <si>
    <t>Statements of Operations</t>
  </si>
  <si>
    <t>Three months ended</t>
  </si>
  <si>
    <t>Six months ended</t>
  </si>
  <si>
    <t>Nine months ended</t>
  </si>
  <si>
    <t>Year ended</t>
  </si>
  <si>
    <t xml:space="preserve">    Total operating expenses</t>
  </si>
  <si>
    <t>Accounts receivable - related parties</t>
  </si>
  <si>
    <t>Patents, net of amortization</t>
  </si>
  <si>
    <t>Deferred costs</t>
  </si>
  <si>
    <t>Other assets</t>
  </si>
  <si>
    <t>Accounts payable - related parties</t>
  </si>
  <si>
    <t>Other accrued liabilities</t>
  </si>
  <si>
    <t>Lines of credit</t>
  </si>
  <si>
    <t>Net loss per common share, basic and diluted</t>
  </si>
  <si>
    <t xml:space="preserve">Shares used in computing net loss per common share, </t>
  </si>
  <si>
    <t xml:space="preserve">     Basic and diluted</t>
  </si>
  <si>
    <t>Date</t>
  </si>
  <si>
    <t>Common</t>
  </si>
  <si>
    <t>Shares</t>
  </si>
  <si>
    <t>Outstanding</t>
  </si>
  <si>
    <t>Issued</t>
  </si>
  <si>
    <t>3 month average</t>
  </si>
  <si>
    <t>Average</t>
  </si>
  <si>
    <t>Cumulative</t>
  </si>
  <si>
    <t>Product sales</t>
  </si>
  <si>
    <t>Less cost of goods sold</t>
  </si>
  <si>
    <t>Operating costs and expenses:</t>
  </si>
  <si>
    <t xml:space="preserve">    Research and development</t>
  </si>
  <si>
    <t xml:space="preserve">    Selling, general and administrative</t>
  </si>
  <si>
    <t>Loss from operations</t>
  </si>
  <si>
    <t>Gross profit</t>
  </si>
  <si>
    <t>Other income (expense):</t>
  </si>
  <si>
    <t xml:space="preserve">    Interest expense</t>
  </si>
  <si>
    <t>Loss before income taxes</t>
  </si>
  <si>
    <t>Net loss</t>
  </si>
  <si>
    <t>Provision for income taxes</t>
  </si>
  <si>
    <t>IS10</t>
  </si>
  <si>
    <t>IS20</t>
  </si>
  <si>
    <t>IS50</t>
  </si>
  <si>
    <t>IS90</t>
  </si>
  <si>
    <t>IS80</t>
  </si>
  <si>
    <t>BS04</t>
  </si>
  <si>
    <t>BS14</t>
  </si>
  <si>
    <t>BS16</t>
  </si>
  <si>
    <t>BS22</t>
  </si>
  <si>
    <t>BS29</t>
  </si>
  <si>
    <t>hard code</t>
  </si>
  <si>
    <t>Professional services income</t>
  </si>
  <si>
    <t>Net revenue</t>
  </si>
  <si>
    <t xml:space="preserve">    Interest income</t>
  </si>
  <si>
    <t>IS70</t>
  </si>
  <si>
    <t>Accounts payable</t>
  </si>
  <si>
    <t>Q1</t>
  </si>
  <si>
    <t>Q2</t>
  </si>
  <si>
    <t>Q3</t>
  </si>
  <si>
    <t>Q4</t>
  </si>
  <si>
    <t>Cash Equivalents</t>
  </si>
  <si>
    <t>US Bank - Checking</t>
  </si>
  <si>
    <t>US Bank - Savings</t>
  </si>
  <si>
    <t>Accounts Receivable</t>
  </si>
  <si>
    <t>Accounts Receivable, Trade</t>
  </si>
  <si>
    <t>Allowance for Doubtful Accounts</t>
  </si>
  <si>
    <t>Inventory Asset</t>
  </si>
  <si>
    <t>Inventory, Column, Pack, Chem</t>
  </si>
  <si>
    <t>Inventory, Finished Goods</t>
  </si>
  <si>
    <t>Inventory, Goods in Process</t>
  </si>
  <si>
    <t>Inventory, Raw Materials</t>
  </si>
  <si>
    <t>Note Receivable</t>
  </si>
  <si>
    <t>Other accounts receivable</t>
  </si>
  <si>
    <t>Prepaid Expenses</t>
  </si>
  <si>
    <t>Uncategorized Asset</t>
  </si>
  <si>
    <t>Undeposited Funds</t>
  </si>
  <si>
    <t>A/D, Computer Software</t>
  </si>
  <si>
    <t>A/D, Data Processing Equipment</t>
  </si>
  <si>
    <t>A/D, F and F CEA Lab</t>
  </si>
  <si>
    <t>A/D, Furniture and Fixtures</t>
  </si>
  <si>
    <t>A/D, Lab Equipment</t>
  </si>
  <si>
    <t>A/D, Leasehold Improvements</t>
  </si>
  <si>
    <t>A/D, Office Equip CEA Lab</t>
  </si>
  <si>
    <t>A/D, Office Equipment</t>
  </si>
  <si>
    <t>Clean Room</t>
  </si>
  <si>
    <t>Clean Room:A/D Clean Room</t>
  </si>
  <si>
    <t>Computer Software</t>
  </si>
  <si>
    <t>Data Processing Equipment</t>
  </si>
  <si>
    <t>Dry Shipper</t>
  </si>
  <si>
    <t>Dry Shipper:A/D Dry Shipper</t>
  </si>
  <si>
    <t>Furniture and Fixtures</t>
  </si>
  <si>
    <t>Furniture and Fixtures CEA Lab</t>
  </si>
  <si>
    <t>Lab Equipment</t>
  </si>
  <si>
    <t>Lab Equipment:Microscope and camera</t>
  </si>
  <si>
    <t>Leasehold Improvements</t>
  </si>
  <si>
    <t>Office Equipment</t>
  </si>
  <si>
    <t>Office Equipment, CEA Lab</t>
  </si>
  <si>
    <t>A/A, Patents</t>
  </si>
  <si>
    <t>Capital lease payments</t>
  </si>
  <si>
    <t>Inventory, Non-current</t>
  </si>
  <si>
    <t>Investment Banking Fees</t>
  </si>
  <si>
    <t>Patents</t>
  </si>
  <si>
    <t>Patents:Bone Marrow MSC</t>
  </si>
  <si>
    <t>Patents:Cancer stem cell patent</t>
  </si>
  <si>
    <t>Patents:Defined Medium</t>
  </si>
  <si>
    <t>Patents:Direct Cost, Non-Legal</t>
  </si>
  <si>
    <t>Patents:EquaCell Cell Line patent</t>
  </si>
  <si>
    <t>Patents:FSH Purification</t>
  </si>
  <si>
    <t>Patents:Immortalized Cells</t>
  </si>
  <si>
    <t>Patents:IPS Patent</t>
  </si>
  <si>
    <t>Patents:Legal Fees</t>
  </si>
  <si>
    <t>Patents:Modified FSH</t>
  </si>
  <si>
    <t>Patents:Multi-Dose Syringe</t>
  </si>
  <si>
    <t>Patents:Stem Cell Activation Patent</t>
  </si>
  <si>
    <t>Patents:Stem Cell Materials and Methods</t>
  </si>
  <si>
    <t>Patents:Stem Cells</t>
  </si>
  <si>
    <t>Patents:US Patent 5990288</t>
  </si>
  <si>
    <t>Patents;US Patent 6458593</t>
  </si>
  <si>
    <t>Security Deposit</t>
  </si>
  <si>
    <t>Trade marks</t>
  </si>
  <si>
    <t>Accounts Payable</t>
  </si>
  <si>
    <t>Capital One VISA</t>
  </si>
  <si>
    <t>Fleet Business</t>
  </si>
  <si>
    <t>US BANK JOHN</t>
  </si>
  <si>
    <t>Wells Fargo Business VISA-Jim</t>
  </si>
  <si>
    <t>Wells Fargo Business VISA-Tiana</t>
  </si>
  <si>
    <t>401k Holding</t>
  </si>
  <si>
    <t>Accounts Payable, Trade</t>
  </si>
  <si>
    <t>Accounts Payable, Trade:AP Cutoff</t>
  </si>
  <si>
    <t>Accrued Interest Payable</t>
  </si>
  <si>
    <t>Capital Lease Obligation</t>
  </si>
  <si>
    <t>Capital Lease Obligation:Capital Leas- Clean Room</t>
  </si>
  <si>
    <t>Capital Lease Obligation:Capital lease - Flourometer</t>
  </si>
  <si>
    <t>Capital Lease Obligation:Capital Lease - MAGPIX</t>
  </si>
  <si>
    <t>Capital Lease Obligation:Capital Lease Centrifuge</t>
  </si>
  <si>
    <t>Capital Lease Obligation:Capital Lease-Cytation Imaging</t>
  </si>
  <si>
    <t>Capital Lease Obligation:Microscope &amp; camera</t>
  </si>
  <si>
    <t>CO Unemployment Payable</t>
  </si>
  <si>
    <t>CO Withholding Payable</t>
  </si>
  <si>
    <t>Deferred revenue</t>
  </si>
  <si>
    <t>Federal Unemployment Payable</t>
  </si>
  <si>
    <t>James Musick Loan</t>
  </si>
  <si>
    <t>Notes Payable Accrued</t>
  </si>
  <si>
    <t>Other Accrued Expenses</t>
  </si>
  <si>
    <t>Payables Owed to Jim Musick</t>
  </si>
  <si>
    <t>Payroll Liabilities</t>
  </si>
  <si>
    <t>Payroll Tax Liability</t>
  </si>
  <si>
    <t>Stock purchase warrants</t>
  </si>
  <si>
    <t>Unsecured Notes - Musick</t>
  </si>
  <si>
    <t>US Bank Overdraft</t>
  </si>
  <si>
    <t>N/P - Bruce Peterson</t>
  </si>
  <si>
    <t>N/P - JP III Senior</t>
  </si>
  <si>
    <t>N/P - K Ozelak</t>
  </si>
  <si>
    <t>N/P - P Sordelet</t>
  </si>
  <si>
    <t>N/P CAE</t>
  </si>
  <si>
    <t>N/P Cliff Neuman</t>
  </si>
  <si>
    <t>N/P Jack Zamora</t>
  </si>
  <si>
    <t>NP - EF</t>
  </si>
  <si>
    <t>NP BP II</t>
  </si>
  <si>
    <t>NP Dr. FT</t>
  </si>
  <si>
    <t>NP JZ II</t>
  </si>
  <si>
    <t>NP KVB</t>
  </si>
  <si>
    <t>NP Loren Burlage</t>
  </si>
  <si>
    <t>NP PS II</t>
  </si>
  <si>
    <t>NP TT</t>
  </si>
  <si>
    <t>"B" Warrants</t>
  </si>
  <si>
    <t>Common Stock</t>
  </si>
  <si>
    <t>Gain on Purchase Transaction</t>
  </si>
  <si>
    <t>Opening Bal Equity</t>
  </si>
  <si>
    <t>Outstanding Stock Option</t>
  </si>
  <si>
    <t>Paid in Capital</t>
  </si>
  <si>
    <t>Prepaid Services w Common Stock</t>
  </si>
  <si>
    <t>Series A Convertible Preferred</t>
  </si>
  <si>
    <t>Billable Expense Income</t>
  </si>
  <si>
    <t>Consulting Income</t>
  </si>
  <si>
    <t>Income</t>
  </si>
  <si>
    <t>License Fee Income</t>
  </si>
  <si>
    <t>Markup</t>
  </si>
  <si>
    <t>NIH Grant Support</t>
  </si>
  <si>
    <t>Product Sales</t>
  </si>
  <si>
    <t>Sales of Product Income</t>
  </si>
  <si>
    <t>Shipping</t>
  </si>
  <si>
    <t>Shipping Income</t>
  </si>
  <si>
    <t>Unapplied Cash Payment Income</t>
  </si>
  <si>
    <t>Uncategorized Income</t>
  </si>
  <si>
    <t>COGS</t>
  </si>
  <si>
    <t>COGS:Direct Labor</t>
  </si>
  <si>
    <t>COGS:Finished goods</t>
  </si>
  <si>
    <t>COGS:Freight</t>
  </si>
  <si>
    <t>COGS:Inventory Adjustments</t>
  </si>
  <si>
    <t>COGS:Materials</t>
  </si>
  <si>
    <t>COGS:Production overhead</t>
  </si>
  <si>
    <t>Cost of Goods Sold</t>
  </si>
  <si>
    <t>Amortization</t>
  </si>
  <si>
    <t>Automobile Expense</t>
  </si>
  <si>
    <t>Bad Debt Expense</t>
  </si>
  <si>
    <t>Bank Service Charges</t>
  </si>
  <si>
    <t>Bank Service Charges:VISA/MC/Discover/AmEx</t>
  </si>
  <si>
    <t>Cash Discounts</t>
  </si>
  <si>
    <t>clean room amortization</t>
  </si>
  <si>
    <t>COGS-Vitro</t>
  </si>
  <si>
    <t>COGS-Vitro:COG- Freight</t>
  </si>
  <si>
    <t>Conferences and meetings</t>
  </si>
  <si>
    <t>Contract Services</t>
  </si>
  <si>
    <t>Contributions</t>
  </si>
  <si>
    <t>Credit Card Expenses</t>
  </si>
  <si>
    <t>Depreciation Expense</t>
  </si>
  <si>
    <t>Discontinued Operations</t>
  </si>
  <si>
    <t>Dues and Subscriptions</t>
  </si>
  <si>
    <t>Employee Benefits</t>
  </si>
  <si>
    <t>Entertainment and Meals</t>
  </si>
  <si>
    <t>Equipment</t>
  </si>
  <si>
    <t>Equipment Rental</t>
  </si>
  <si>
    <t>Fair Value Warrants Adjustments</t>
  </si>
  <si>
    <t>Freight</t>
  </si>
  <si>
    <t>Freight:Out-Bound Freight</t>
  </si>
  <si>
    <t>General and Administrative</t>
  </si>
  <si>
    <t>Indirect Costs</t>
  </si>
  <si>
    <t>Insurance</t>
  </si>
  <si>
    <t>Insurance:D &amp; O Insurance</t>
  </si>
  <si>
    <t>Insurance:Disability Insurance</t>
  </si>
  <si>
    <t>Insurance:General Insurance</t>
  </si>
  <si>
    <t>Insurance:Health Insurance</t>
  </si>
  <si>
    <t>Interest Expense</t>
  </si>
  <si>
    <t>Interest Expense:Finance Charge</t>
  </si>
  <si>
    <t>Interest Expense:Interest expense - Leases</t>
  </si>
  <si>
    <t>Interest Expense:Loan Interest</t>
  </si>
  <si>
    <t>Interest Expense:Note Interest</t>
  </si>
  <si>
    <t>Janitorial</t>
  </si>
  <si>
    <t>Labor inventory allocations</t>
  </si>
  <si>
    <t>Licenses and Permits</t>
  </si>
  <si>
    <t>Miscellaneous</t>
  </si>
  <si>
    <t>Office Supplies</t>
  </si>
  <si>
    <t>OH inventory allocation</t>
  </si>
  <si>
    <t>Patent Expenses</t>
  </si>
  <si>
    <t>Patent Expenses:Payroll Clearing</t>
  </si>
  <si>
    <t>Patent impairment</t>
  </si>
  <si>
    <t>Payroll Expenses - Paychex Fees</t>
  </si>
  <si>
    <t>Penalties</t>
  </si>
  <si>
    <t>Postage and Delivery</t>
  </si>
  <si>
    <t>Printing and Reproduction</t>
  </si>
  <si>
    <t>Professional Fees</t>
  </si>
  <si>
    <t>Professional Fees:Accounting/Auditing Fees</t>
  </si>
  <si>
    <t>Professional Fees:Consultation Fees</t>
  </si>
  <si>
    <t>Professional Fees:Legal Fees</t>
  </si>
  <si>
    <t>Purchases</t>
  </si>
  <si>
    <t>Quality Control</t>
  </si>
  <si>
    <t>Quality Control:QC outside testing</t>
  </si>
  <si>
    <t>Quality Control:QC Supplies</t>
  </si>
  <si>
    <t>Reimbursed Expenses</t>
  </si>
  <si>
    <t>Rent</t>
  </si>
  <si>
    <t>Rent:Building</t>
  </si>
  <si>
    <t>Rent:Equipment</t>
  </si>
  <si>
    <t>Rent and Facility, R.P.</t>
  </si>
  <si>
    <t>Repairs</t>
  </si>
  <si>
    <t>Repairs:Building Repairs</t>
  </si>
  <si>
    <t>Repairs:Computer Repairs</t>
  </si>
  <si>
    <t>Repairs:Equipment Repairs</t>
  </si>
  <si>
    <t>Research and Development</t>
  </si>
  <si>
    <t>Retired Inventory</t>
  </si>
  <si>
    <t>Salary Expense</t>
  </si>
  <si>
    <t>Salary Expense:Erik Van Horn</t>
  </si>
  <si>
    <t>Salary Expense:Glenna J. Jennings</t>
  </si>
  <si>
    <t>Salary Expense:Jim Musick</t>
  </si>
  <si>
    <t>Salary Expense:Labor inventory allocation</t>
  </si>
  <si>
    <t>Sales Commissions</t>
  </si>
  <si>
    <t>Sales-Advertising-Marketing</t>
  </si>
  <si>
    <t>Shareholder Relations</t>
  </si>
  <si>
    <t>Stock based compensation</t>
  </si>
  <si>
    <t>Supplies</t>
  </si>
  <si>
    <t>Supplies:Tissue</t>
  </si>
  <si>
    <t>Suspense (Todd)</t>
  </si>
  <si>
    <t>Suspense Account</t>
  </si>
  <si>
    <t>Taxes</t>
  </si>
  <si>
    <t>Taxes:Payroll</t>
  </si>
  <si>
    <t>Taxes:Payroll:FICA</t>
  </si>
  <si>
    <t>Taxes:Payroll:State</t>
  </si>
  <si>
    <t>Taxes:Payroll:Unemployment</t>
  </si>
  <si>
    <t>Taxes:Property Tax</t>
  </si>
  <si>
    <t>Taxes:Sales &amp; use taxes</t>
  </si>
  <si>
    <t>Telephone</t>
  </si>
  <si>
    <t>Travel &amp; Ent</t>
  </si>
  <si>
    <t>Travel &amp; Ent:Entertainment</t>
  </si>
  <si>
    <t>Travel &amp; Ent:Meals</t>
  </si>
  <si>
    <t>Travel &amp; Ent:Travel</t>
  </si>
  <si>
    <t>Unapplied Cash Bill Payment Expense</t>
  </si>
  <si>
    <t>Uncategorized Expense</t>
  </si>
  <si>
    <t>Uncategorized Expenses</t>
  </si>
  <si>
    <t>Utilities</t>
  </si>
  <si>
    <t>Utilities:Gas and Electric</t>
  </si>
  <si>
    <t>Utilities:Water</t>
  </si>
  <si>
    <t>Water Purification</t>
  </si>
  <si>
    <t>Interest Income</t>
  </si>
  <si>
    <t>Other Income</t>
  </si>
  <si>
    <t>Accounting Change</t>
  </si>
  <si>
    <t>Closing Costs</t>
  </si>
  <si>
    <t>Forgiveness of Debt</t>
  </si>
  <si>
    <t>Loss on Other Receivables</t>
  </si>
  <si>
    <t>Other Expenses</t>
  </si>
  <si>
    <t>Vitro Diagnostics, Inc.</t>
  </si>
  <si>
    <t>Trial Balance</t>
  </si>
  <si>
    <t>1005 Cash Equivalents</t>
  </si>
  <si>
    <t>1200 Accounts Receivable</t>
  </si>
  <si>
    <t>1210 Accounts Receivable, Trade</t>
  </si>
  <si>
    <t>1250 Allowance for Doubtful Accounts</t>
  </si>
  <si>
    <t>1280 Note Receivable</t>
  </si>
  <si>
    <t>1290 Other accounts receivable</t>
  </si>
  <si>
    <t>1330 Inventory, Column, Pack, Chem</t>
  </si>
  <si>
    <t>1340 Inventory, Finished Goods</t>
  </si>
  <si>
    <t>1430 Undeposited Funds</t>
  </si>
  <si>
    <t>1715 Computer Software</t>
  </si>
  <si>
    <t>1720 Data Processing Equipment</t>
  </si>
  <si>
    <t>1735 Furniture and Fixtures</t>
  </si>
  <si>
    <t>1740 Furniture and Fixtures CEA Lab</t>
  </si>
  <si>
    <t>1745 Lab Equipment</t>
  </si>
  <si>
    <t>1755 Leasehold Improvements</t>
  </si>
  <si>
    <t>1760 Office Equipment</t>
  </si>
  <si>
    <t>1765 Office Equipment, CEA Lab</t>
  </si>
  <si>
    <t>1782 A/D, Computer Software</t>
  </si>
  <si>
    <t>1783 A/D, Data Processing Equipment</t>
  </si>
  <si>
    <t>1785 A/D, Furniture and Fixtures</t>
  </si>
  <si>
    <t>1786 A/D, F and F CEA Lab</t>
  </si>
  <si>
    <t>1787 A/D, Lab Equipment</t>
  </si>
  <si>
    <t>1789 A/D, Leasehold Improvements</t>
  </si>
  <si>
    <t>1790 A/D, Office Equip CEA Lab</t>
  </si>
  <si>
    <t>1791 A/D, Office Equipment</t>
  </si>
  <si>
    <t>1830 Inventory, Non-current</t>
  </si>
  <si>
    <t>1904 Patents:Cancer stem cell patent</t>
  </si>
  <si>
    <t>1906 Patents:Defined Medium</t>
  </si>
  <si>
    <t>1910 Patents:EquaCell Cell Line patent</t>
  </si>
  <si>
    <t>1912 Patents:FSH Purification</t>
  </si>
  <si>
    <t>1916 Patents:IPS Patent</t>
  </si>
  <si>
    <t>1918 Patents:Legal Fees</t>
  </si>
  <si>
    <t>1920 Patents:Modified FSH</t>
  </si>
  <si>
    <t>1922 Patents:Multi-Dose Syringe</t>
  </si>
  <si>
    <t>1924 Patents:Stem Cell Activation Patent</t>
  </si>
  <si>
    <t>1926 Patents:Stem Cell Materials and Methods</t>
  </si>
  <si>
    <t>1928 Patents:Stem Cells</t>
  </si>
  <si>
    <t>1930 Patents:US Patent 5990288</t>
  </si>
  <si>
    <t>1932 Patents;US Patent 6458593</t>
  </si>
  <si>
    <t>1960 Security Deposit</t>
  </si>
  <si>
    <t>1980 Trade marks</t>
  </si>
  <si>
    <t>2101 Capital One VISA</t>
  </si>
  <si>
    <t>2102 Fleet Business</t>
  </si>
  <si>
    <t>2104 Wells Fargo Business VISA-Jim</t>
  </si>
  <si>
    <t>2020 Accounts Payable, Trade:AP Cutoff</t>
  </si>
  <si>
    <t>2106 US Bank Overdraft</t>
  </si>
  <si>
    <t>2210 Accrued Interest Payable</t>
  </si>
  <si>
    <t>2231 CO Unemployment Payable</t>
  </si>
  <si>
    <t>2232 CO Withholding Payable</t>
  </si>
  <si>
    <t>2233 Federal Unemployment Payable</t>
  </si>
  <si>
    <t>2235 Payroll Tax Liability</t>
  </si>
  <si>
    <t>2236 401k Holding</t>
  </si>
  <si>
    <t>2250 Deferred revenue</t>
  </si>
  <si>
    <t>2270 Stock purchase warrants</t>
  </si>
  <si>
    <t>2280 Payables Owed to Jim Musick</t>
  </si>
  <si>
    <t>2285 Unsecured Notes - Musick</t>
  </si>
  <si>
    <t>2290 Other Accrued Expenses</t>
  </si>
  <si>
    <t>2305 Payroll Liabilities</t>
  </si>
  <si>
    <t>2310 James Musick Loan</t>
  </si>
  <si>
    <t>2400 Capital Lease Obligation</t>
  </si>
  <si>
    <t>2410 Capital Lease Obligation:Capital lease - Flourometer</t>
  </si>
  <si>
    <t>2415 Capital Lease Obligation:Capital Lease - MAGPIX</t>
  </si>
  <si>
    <t>2420 Capital Lease Obligation:Capital Lease Centrifuge</t>
  </si>
  <si>
    <t>2425 Capital Lease Obligation:Capital Lease-Cytation Imaging</t>
  </si>
  <si>
    <t>2430 Capital Lease Obligation:Microscope &amp; camera</t>
  </si>
  <si>
    <t>3300 Gain on Purchase Transaction</t>
  </si>
  <si>
    <t>3400 Opening Bal Equity</t>
  </si>
  <si>
    <t>3800 Prepaid Services w Common Stock</t>
  </si>
  <si>
    <t>4500 Shipping</t>
  </si>
  <si>
    <t>6025 Bank Service Charges</t>
  </si>
  <si>
    <t>6030 Bank Service Charges:VISA/MC/Discover/AmEx</t>
  </si>
  <si>
    <t>6085 Dues and Subscriptions</t>
  </si>
  <si>
    <t>6120 Freight:Out-Bound Freight</t>
  </si>
  <si>
    <t>6150 Insurance:General Insurance</t>
  </si>
  <si>
    <t>6155 Insurance:Health Insurance</t>
  </si>
  <si>
    <t>6210 Licenses and Permits</t>
  </si>
  <si>
    <t>6215 Miscellaneous</t>
  </si>
  <si>
    <t>6220 Office Supplies</t>
  </si>
  <si>
    <t>6245 Payroll Expenses - Paychex Fees</t>
  </si>
  <si>
    <t>6255 Postage and Delivery</t>
  </si>
  <si>
    <t>6270 Professional Fees:Accounting/Auditing Fees</t>
  </si>
  <si>
    <t>6280 Professional Fees:Legal Fees</t>
  </si>
  <si>
    <t>6350 Research and Development</t>
  </si>
  <si>
    <t>6400 Salary Expense</t>
  </si>
  <si>
    <t>6430 Sales-Advertising-Marketing</t>
  </si>
  <si>
    <t>6435 Shareholder Relations</t>
  </si>
  <si>
    <t>6445 Supplies</t>
  </si>
  <si>
    <t>6510 Taxes:Payroll:FICA</t>
  </si>
  <si>
    <t>6550 Travel &amp; Ent:Meals</t>
  </si>
  <si>
    <t>7510 Interest Expense:Finance Charge</t>
  </si>
  <si>
    <t>7530 Interest Expense:Loan Interest</t>
  </si>
  <si>
    <t>6260 Printing and Reproduction</t>
  </si>
  <si>
    <t>6275 Professional Fees:Consultation Fees</t>
  </si>
  <si>
    <t>6315 Rent:Building</t>
  </si>
  <si>
    <t>6345 Repairs:Equipment Repairs</t>
  </si>
  <si>
    <t>6450 Supplies:Tissue</t>
  </si>
  <si>
    <t>6525 Taxes:Property Tax</t>
  </si>
  <si>
    <t>6295 Quality Control:QC outside testing</t>
  </si>
  <si>
    <t>5020 COGS:Finished goods</t>
  </si>
  <si>
    <t>5050 COGS:Materials</t>
  </si>
  <si>
    <t>6010 Amortization</t>
  </si>
  <si>
    <t>F/S Map</t>
  </si>
  <si>
    <t>BS27</t>
  </si>
  <si>
    <t>IS25</t>
  </si>
  <si>
    <t>BS30.1</t>
  </si>
  <si>
    <t>6075 Depreciation Expense</t>
  </si>
  <si>
    <t>6100 Equipment</t>
  </si>
  <si>
    <t>7520 Interest Expense:Interest expense - Leases</t>
  </si>
  <si>
    <t>As of October 31, 2018</t>
  </si>
  <si>
    <t>1710 Clean Room</t>
  </si>
  <si>
    <t>1750 Microscope and camera</t>
  </si>
  <si>
    <t>1781 A/D Clean Room</t>
  </si>
  <si>
    <t>1788 A/D Microscope and Camera</t>
  </si>
  <si>
    <t>1840 Investment Banking Fees</t>
  </si>
  <si>
    <t>1902 Patents:Bone Marrow MSC</t>
  </si>
  <si>
    <t>2103 US BANK JOHN</t>
  </si>
  <si>
    <t>2105 Wells Fargo Business VISA-Tiana</t>
  </si>
  <si>
    <t>2405 Capital Lease Obligation:Capital Leas- Clean Room</t>
  </si>
  <si>
    <t>2705 N/P - Bruce Peterson</t>
  </si>
  <si>
    <t>2710 N/P - JP III Senior</t>
  </si>
  <si>
    <t>2715 N/P - K Ozelak</t>
  </si>
  <si>
    <t>2720 N/P - P Sordelet</t>
  </si>
  <si>
    <t>2725 N/P CAE</t>
  </si>
  <si>
    <t>2730 N/P Cliff Neuman</t>
  </si>
  <si>
    <t>2735 N/P Jack Zamora</t>
  </si>
  <si>
    <t>2740 NP - EF</t>
  </si>
  <si>
    <t>2750 NP BP II</t>
  </si>
  <si>
    <t>2755 NP Dr. FT</t>
  </si>
  <si>
    <t>2760 NP JZ II</t>
  </si>
  <si>
    <t>2765 NP KVB</t>
  </si>
  <si>
    <t>2770 NP Loren Burlage</t>
  </si>
  <si>
    <t>2775 NP PS II</t>
  </si>
  <si>
    <t>2780 NP TT</t>
  </si>
  <si>
    <t>4900 Income</t>
  </si>
  <si>
    <t>5000 COGS</t>
  </si>
  <si>
    <t>5010 COGS:Direct Labor</t>
  </si>
  <si>
    <t>5060 COGS:Production overhead</t>
  </si>
  <si>
    <t>5080 COGS-Vitro</t>
  </si>
  <si>
    <t>6015 Automobile Expense</t>
  </si>
  <si>
    <t>6055 Conferences and meetings</t>
  </si>
  <si>
    <t>6105 Equipment Rental</t>
  </si>
  <si>
    <t>6115 Freight</t>
  </si>
  <si>
    <t>6300 Quality Control:QC Supplies</t>
  </si>
  <si>
    <t>6305 Reimbursed Expenses</t>
  </si>
  <si>
    <t>6325 Rent and Facility, R.P.</t>
  </si>
  <si>
    <t>6505 Taxes:Payroll</t>
  </si>
  <si>
    <t>6540 Travel &amp; Ent</t>
  </si>
  <si>
    <t>7500 Interest Expense</t>
  </si>
  <si>
    <t>7540 Interest Expense:Note Interest</t>
  </si>
  <si>
    <t>7600 Loss on Other Receivables</t>
  </si>
  <si>
    <t>As of January 31, 2019</t>
  </si>
  <si>
    <t>1725 Dry Shipper</t>
  </si>
  <si>
    <t>1784 A/D Dry Shipper</t>
  </si>
  <si>
    <t>As of April 30, 2019</t>
  </si>
  <si>
    <t>6060 Contract Services</t>
  </si>
  <si>
    <t>6135 Insurance</t>
  </si>
  <si>
    <t>6265 Professional Fees</t>
  </si>
  <si>
    <t>6335 Repairs:Building Repairs</t>
  </si>
  <si>
    <t>6545 Travel &amp; Ent:Entertainment</t>
  </si>
  <si>
    <t>6555 Travel &amp; Ent:Travel</t>
  </si>
  <si>
    <t>As of July 31, 2019</t>
  </si>
  <si>
    <t>2320 Notes Payable Accrued</t>
  </si>
  <si>
    <t>5030 COGS:Freight</t>
  </si>
  <si>
    <t>6065 Contributions</t>
  </si>
  <si>
    <t>As of October 31, 2019</t>
  </si>
  <si>
    <t>1788</t>
  </si>
  <si>
    <t>A/D, Microscope and camera</t>
  </si>
  <si>
    <t>Notes payable</t>
  </si>
  <si>
    <t>Accrued interest payable</t>
  </si>
  <si>
    <t>Beginning Bal</t>
  </si>
  <si>
    <t>WASO</t>
  </si>
  <si>
    <t>Total</t>
  </si>
  <si>
    <t>Wtd Avg</t>
  </si>
  <si>
    <t>WASO Calcs</t>
  </si>
  <si>
    <t>Beginning Balance</t>
  </si>
  <si>
    <t>Ending Balance</t>
  </si>
  <si>
    <t>1/31/2019</t>
  </si>
  <si>
    <t>4/30/19</t>
  </si>
  <si>
    <t>7/31/19</t>
  </si>
  <si>
    <t>10/31/19</t>
  </si>
  <si>
    <t>See Below for Individual Quarters, rather than cumulatives</t>
  </si>
  <si>
    <t>Operating Activities</t>
  </si>
  <si>
    <t>Net Loss</t>
  </si>
  <si>
    <t>Adjustment to reconcile Net Loss</t>
  </si>
  <si>
    <t>Depreciation expense</t>
  </si>
  <si>
    <t>Amortization expense</t>
  </si>
  <si>
    <t>Issuance of shares for services</t>
  </si>
  <si>
    <t>Changes in asset and liability</t>
  </si>
  <si>
    <t>Accounts receivable, net</t>
  </si>
  <si>
    <t>Accts Receivable Related Party</t>
  </si>
  <si>
    <t>Notes Rcvble and Prepaid Expenses</t>
  </si>
  <si>
    <t>Accounts Payable Related Parties</t>
  </si>
  <si>
    <t>Accrued Interest</t>
  </si>
  <si>
    <t>Accrued payroll liabilities</t>
  </si>
  <si>
    <t>A/R, Net</t>
  </si>
  <si>
    <t>A/R Rel Pty</t>
  </si>
  <si>
    <t>Inventory</t>
  </si>
  <si>
    <t>NR and Prepaid</t>
  </si>
  <si>
    <t>PP&amp;E</t>
  </si>
  <si>
    <t>Deferred Costs</t>
  </si>
  <si>
    <t>Other Assets</t>
  </si>
  <si>
    <t>A/P</t>
  </si>
  <si>
    <t>A/P Rel Pty</t>
  </si>
  <si>
    <t>Current maturities of capital lease obligations</t>
  </si>
  <si>
    <t>Other Accr</t>
  </si>
  <si>
    <t>Liabs</t>
  </si>
  <si>
    <t>Curr Portion</t>
  </si>
  <si>
    <t>Cap Lease</t>
  </si>
  <si>
    <t>Lines of</t>
  </si>
  <si>
    <t>Accr Int</t>
  </si>
  <si>
    <t>Payable</t>
  </si>
  <si>
    <t>Accr Payroll</t>
  </si>
  <si>
    <t>Expenses</t>
  </si>
  <si>
    <t>Notes Payable</t>
  </si>
  <si>
    <t>LT Portion</t>
  </si>
  <si>
    <t>Preferred</t>
  </si>
  <si>
    <t>Stock</t>
  </si>
  <si>
    <t>APIC</t>
  </si>
  <si>
    <t>Retained</t>
  </si>
  <si>
    <t>Earnings</t>
  </si>
  <si>
    <t>Total Operating Activities</t>
  </si>
  <si>
    <t>Investing Activities</t>
  </si>
  <si>
    <t>Financing Activities</t>
  </si>
  <si>
    <t>Right to use asset</t>
  </si>
  <si>
    <t>BS13</t>
  </si>
  <si>
    <t>Right to use</t>
  </si>
  <si>
    <t>Asset</t>
  </si>
  <si>
    <t>Total Financing Activities</t>
  </si>
  <si>
    <t>Total Investing Activities</t>
  </si>
  <si>
    <t>Net Cash Flow</t>
  </si>
  <si>
    <t>Common stock sold</t>
  </si>
  <si>
    <t>Preferred stock sold</t>
  </si>
  <si>
    <t>1950 Patents:A/A, Patents</t>
  </si>
  <si>
    <t>Treasury</t>
  </si>
  <si>
    <t>Less Treasury stock</t>
  </si>
  <si>
    <t>Treasury Stock</t>
  </si>
  <si>
    <t>BS36</t>
  </si>
  <si>
    <t>Treasury stock at cost</t>
  </si>
  <si>
    <t>Convertible notes payable</t>
  </si>
  <si>
    <t>Capital Lease principal payments</t>
  </si>
  <si>
    <t>3600 Treasury Stock</t>
  </si>
  <si>
    <t>NP Accrued Interest</t>
  </si>
  <si>
    <t>2745 NP Accrued Interest</t>
  </si>
  <si>
    <t>2790</t>
  </si>
  <si>
    <t>Notes Payable Discount</t>
  </si>
  <si>
    <t>2790 Notes Payable Discount</t>
  </si>
  <si>
    <t>7590 Interest Expense:Discount Accretion</t>
  </si>
  <si>
    <t>7590</t>
  </si>
  <si>
    <t>Interest Expense:Note Discount Accretion</t>
  </si>
  <si>
    <t>2785 N/P - Caribbean Development</t>
  </si>
  <si>
    <t>6440 Stock based compensation</t>
  </si>
  <si>
    <t>7400 Forgiveness of Debt</t>
  </si>
  <si>
    <t xml:space="preserve">    Forgiveness of debt income</t>
  </si>
  <si>
    <t>IS60</t>
  </si>
  <si>
    <t>2470</t>
  </si>
  <si>
    <t>Lease obligation</t>
  </si>
  <si>
    <t>BS28</t>
  </si>
  <si>
    <t>New Bals</t>
  </si>
  <si>
    <t>Monday, Oct 19, 2020 07:15:06 AM GMT-7 - Accrual Basis</t>
  </si>
  <si>
    <t>1810 Right to use asset</t>
  </si>
  <si>
    <t>2470 Lease liability - office lease</t>
  </si>
  <si>
    <t>Monday, Oct 19, 2020 12:08:53 PM GMT-7 - Accrual Basis</t>
  </si>
  <si>
    <t>Monday, Oct 19, 2020 12:11:40 PM GMT-7 - Accrual Basis</t>
  </si>
  <si>
    <t>Monday, Oct 19, 2020 12:14:15 PM GMT-7 - Accrual Basis</t>
  </si>
  <si>
    <t>Monday, Oct 19, 2020 08:16:18 AM GMT-7 - Accrual Basis</t>
  </si>
  <si>
    <t>As of January 31, 2020</t>
  </si>
  <si>
    <t>3050 Series A Convertible Preferred</t>
  </si>
  <si>
    <t>6420 Salary Expense:Labor inventory allocation</t>
  </si>
  <si>
    <t>As of April 30, 2020</t>
  </si>
  <si>
    <t>6330 Repairs</t>
  </si>
  <si>
    <t>As of July 31, 2020</t>
  </si>
  <si>
    <t>6340 Repairs:Computer Repairs</t>
  </si>
  <si>
    <t>Lease</t>
  </si>
  <si>
    <t>obligation</t>
  </si>
  <si>
    <t>Obligation</t>
  </si>
  <si>
    <t>Payment of line of credit</t>
  </si>
  <si>
    <t>Fix posting into 1820 Capital Lease Payments</t>
  </si>
  <si>
    <t>Increase in Other Assets</t>
  </si>
  <si>
    <t>Acct#</t>
  </si>
  <si>
    <t>Account Name</t>
  </si>
  <si>
    <t>DR</t>
  </si>
  <si>
    <t>CR</t>
  </si>
  <si>
    <t>COGS - materials</t>
  </si>
  <si>
    <t>Write off inventory</t>
  </si>
  <si>
    <t>Inventory raw materials</t>
  </si>
  <si>
    <t>Inventory finished goods</t>
  </si>
  <si>
    <t>Lease expense</t>
  </si>
  <si>
    <t>Reclass posting error</t>
  </si>
  <si>
    <t>Insurance expense</t>
  </si>
  <si>
    <t>Reclass entry to true up</t>
  </si>
  <si>
    <t>Lease payments</t>
  </si>
  <si>
    <t xml:space="preserve">Additional Paid in Capital </t>
  </si>
  <si>
    <t>Additional Paid in Capital Preferred</t>
  </si>
  <si>
    <t xml:space="preserve">To Reclassify APIC related to </t>
  </si>
  <si>
    <t xml:space="preserve">To properly Classify </t>
  </si>
  <si>
    <t>Ed Friedberger Preferred</t>
  </si>
  <si>
    <t xml:space="preserve"> </t>
  </si>
  <si>
    <t>To properly state series A</t>
  </si>
  <si>
    <t xml:space="preserve">Par Value </t>
  </si>
  <si>
    <t>Journal Entries posted after giving Auditors Trial Balances and GL's on 10/xx/2020</t>
  </si>
  <si>
    <t>Haven't yet provided this period to auditors</t>
  </si>
  <si>
    <t>Miscellaneous expense</t>
  </si>
  <si>
    <t>Other accrued expense</t>
  </si>
  <si>
    <t>2220 Accrued dividends</t>
  </si>
  <si>
    <t>3150 Paid in Capital - Preferred</t>
  </si>
  <si>
    <t>3150</t>
  </si>
  <si>
    <t>Paid in Capital - Preferred</t>
  </si>
  <si>
    <t>Accrued dividends</t>
  </si>
  <si>
    <t>Preferred dividends</t>
  </si>
  <si>
    <t>Accrued dividend</t>
  </si>
  <si>
    <t>Rufus Rhodes</t>
  </si>
  <si>
    <t>Michael Price</t>
  </si>
  <si>
    <t>Stock option vesting</t>
  </si>
  <si>
    <t>As of October 31, 2020</t>
  </si>
  <si>
    <t>3150 Paid-In Capital or Surplus</t>
  </si>
  <si>
    <t>4550 Shipping Income</t>
  </si>
  <si>
    <t>6090 Employee Benefits</t>
  </si>
  <si>
    <t>Wednesday, Nov 25, 2020 08:24:12 AM GMT-8 - Accrual Basis</t>
  </si>
  <si>
    <t>Accretion of debt discount</t>
  </si>
  <si>
    <t>Statements of Cash Flows</t>
  </si>
  <si>
    <t xml:space="preserve">    Amortization expense</t>
  </si>
  <si>
    <t xml:space="preserve">    Depreciation expense</t>
  </si>
  <si>
    <t xml:space="preserve">    Accretion of debt discount</t>
  </si>
  <si>
    <t xml:space="preserve">    Issuance of shares for services</t>
  </si>
  <si>
    <t>Changes in assets and liabilities</t>
  </si>
  <si>
    <t xml:space="preserve">    Inventory</t>
  </si>
  <si>
    <t xml:space="preserve">    Prepaid expenses</t>
  </si>
  <si>
    <t xml:space="preserve">    Accounts payable</t>
  </si>
  <si>
    <t xml:space="preserve">    Other accrued liabilities</t>
  </si>
  <si>
    <t xml:space="preserve">    Accrued interest</t>
  </si>
  <si>
    <t xml:space="preserve">    Acquisition of property and equipment</t>
  </si>
  <si>
    <t xml:space="preserve">    Preferred stock issued for cash</t>
  </si>
  <si>
    <t xml:space="preserve">    Treasury stock acquired at cost</t>
  </si>
  <si>
    <t xml:space="preserve">    Capital lease principal payments</t>
  </si>
  <si>
    <t>Total cash provided (used) during the fiscal year</t>
  </si>
  <si>
    <t>Beginning cash balance</t>
  </si>
  <si>
    <t>Ending cash balance</t>
  </si>
  <si>
    <t>Per Balance Sheet</t>
  </si>
  <si>
    <t>Diff</t>
  </si>
  <si>
    <t>Cash paid for interest</t>
  </si>
  <si>
    <t>Cash paid for income taxes</t>
  </si>
  <si>
    <t>Shares issued for services</t>
  </si>
  <si>
    <t>Patent Impairment</t>
  </si>
  <si>
    <t>2220 Accrued Preferred Dividends</t>
  </si>
  <si>
    <t>Par Value</t>
  </si>
  <si>
    <t>Balance at October 31, 2018</t>
  </si>
  <si>
    <t>Balance at October 31, 2019</t>
  </si>
  <si>
    <t>Balance at October 31, 2018 from above</t>
  </si>
  <si>
    <t xml:space="preserve">   from Balance Sheet</t>
  </si>
  <si>
    <t>Balance at October 31, 2019 from above</t>
  </si>
  <si>
    <t>Balance at October 31, 2020 from above</t>
  </si>
  <si>
    <t>Acquisition of treasury stock</t>
  </si>
  <si>
    <t>Common shares shows as number less 100,000 related to treas stock acq</t>
  </si>
  <si>
    <t>Sale of preferred stock</t>
  </si>
  <si>
    <t>Common shares issued for services</t>
  </si>
  <si>
    <t>Preferred stock dividends</t>
  </si>
  <si>
    <t>LT Notes</t>
  </si>
  <si>
    <t>Convertible</t>
  </si>
  <si>
    <t>Monday, Dec 21, 2020 10:57:00 AM GMT-8 - Accrual Basis</t>
  </si>
  <si>
    <t>Monday, Dec 21, 2020 10:58:43 AM GMT-8 - Accrual Basis</t>
  </si>
  <si>
    <t>Monday, Dec 21, 2020 11:00:24 AM GMT-8 - Accrual Basis</t>
  </si>
  <si>
    <t>Bad debt expense</t>
  </si>
  <si>
    <t>6020 Bad debt expense</t>
  </si>
  <si>
    <t xml:space="preserve">    Accounts payable, related parties</t>
  </si>
  <si>
    <t>Accrued interest payable, related parties</t>
  </si>
  <si>
    <t>Rel Pty</t>
  </si>
  <si>
    <t>Accrued interest related parties</t>
  </si>
  <si>
    <t>Net loss available to common stockholders</t>
  </si>
  <si>
    <t>Notes</t>
  </si>
  <si>
    <t xml:space="preserve">    Accounts receivable, related parties</t>
  </si>
  <si>
    <t>Accrued Interest, related parties</t>
  </si>
  <si>
    <t xml:space="preserve">    Accrued interest, related parties</t>
  </si>
  <si>
    <t>Hard code</t>
  </si>
  <si>
    <t>Product sales, related parties</t>
  </si>
  <si>
    <t>Unsecured 6% note payable - related party</t>
  </si>
  <si>
    <t>Unsecured 4% note payable - related party</t>
  </si>
  <si>
    <t>Convertible promissory notes - 10%</t>
  </si>
  <si>
    <t>Convertible promissory notes - 10% - related parties</t>
  </si>
  <si>
    <t>Other expense:</t>
  </si>
  <si>
    <t>Accrued payroll</t>
  </si>
  <si>
    <t>Accrued interest - payroll</t>
  </si>
  <si>
    <t>Interest</t>
  </si>
  <si>
    <t xml:space="preserve">    Accrued interest - payroll</t>
  </si>
  <si>
    <t>Accumulated deficit</t>
  </si>
  <si>
    <t>Accumulated</t>
  </si>
  <si>
    <t>Deficit</t>
  </si>
  <si>
    <t xml:space="preserve">Beneficial conversion feature </t>
  </si>
  <si>
    <t xml:space="preserve">   on convertible preferred stock</t>
  </si>
  <si>
    <t>Deemed dividend on convertible</t>
  </si>
  <si>
    <t xml:space="preserve">   preferred stock</t>
  </si>
  <si>
    <t>Richard Dean</t>
  </si>
  <si>
    <t>Phil Bosa</t>
  </si>
  <si>
    <t>Evans Treas Stock</t>
  </si>
  <si>
    <t xml:space="preserve">  Total revenue</t>
  </si>
  <si>
    <t>6% note</t>
  </si>
  <si>
    <t>4% note</t>
  </si>
  <si>
    <t>4</t>
  </si>
  <si>
    <t>5</t>
  </si>
  <si>
    <t>Map into Prod Sales</t>
  </si>
  <si>
    <t>Accounts receivable, net of allowance</t>
  </si>
  <si>
    <t>Prepaid expense</t>
  </si>
  <si>
    <t>Operating lease obligation , net of current portion</t>
  </si>
  <si>
    <t>SHAREHOLDERS' DEFICIT</t>
  </si>
  <si>
    <t>Total Liabilities and Stockholders' Deficit</t>
  </si>
  <si>
    <t>Debt discount related to beneficial</t>
  </si>
  <si>
    <t xml:space="preserve">     conversion feature</t>
  </si>
  <si>
    <t>Statement of Changes in Stockholders' Deficit</t>
  </si>
  <si>
    <t>Balance at October 31, 2020</t>
  </si>
  <si>
    <t xml:space="preserve">    Bad debt expense</t>
  </si>
  <si>
    <t>Operating lease obligation</t>
  </si>
  <si>
    <t>Amortization of Op lease ROU Asset</t>
  </si>
  <si>
    <t xml:space="preserve">    Amortization of operating lease - ROU asset</t>
  </si>
  <si>
    <t xml:space="preserve">    Operating lease obligation</t>
  </si>
  <si>
    <t xml:space="preserve">    Accounts receivable</t>
  </si>
  <si>
    <t xml:space="preserve">    Proceeds from notes payable</t>
  </si>
  <si>
    <t xml:space="preserve">    Proceeds from notes payable - related parties</t>
  </si>
  <si>
    <t>Convertible notes payable - rel party</t>
  </si>
  <si>
    <t>Net cash used in operating activities</t>
  </si>
  <si>
    <t>Net cash used in investing activities</t>
  </si>
  <si>
    <t>Net cash provided by financing activities</t>
  </si>
  <si>
    <t>Supplemental schedule of non cash financing activities:</t>
  </si>
  <si>
    <t xml:space="preserve">   Accrued management bonus reclassified to notes payable</t>
  </si>
  <si>
    <t xml:space="preserve">   Debt discount related to beneficial conversion feature</t>
  </si>
  <si>
    <t xml:space="preserve">   Initial recognition of ROU asset and liability associated with operating lease</t>
  </si>
  <si>
    <t xml:space="preserve">   Deemed dividend on convertible preferred stock</t>
  </si>
  <si>
    <t>Common stock, 50,000,000 shares authorized,</t>
  </si>
  <si>
    <t>Series A convertible preferred stock, 5,000,000 shares authorized,</t>
  </si>
  <si>
    <t xml:space="preserve">   41,000 and -0- outstanding, respectively</t>
  </si>
  <si>
    <t>Deemed dividend on Series A Convertible preferred stock</t>
  </si>
  <si>
    <t>Cumulative Series A Convertible preferred stock dividend requirement</t>
  </si>
  <si>
    <t>Right of use asset - operating lease</t>
  </si>
  <si>
    <t>Current maturities of operating lease obligations</t>
  </si>
  <si>
    <t xml:space="preserve">   46,130,200 and 46,010,200 outstanding, respectively</t>
  </si>
  <si>
    <t xml:space="preserve">    Stock based compensation</t>
  </si>
  <si>
    <t xml:space="preserve">    Total Current Liabilities</t>
  </si>
  <si>
    <t xml:space="preserve">    Total Long Term Liabilities</t>
  </si>
  <si>
    <t xml:space="preserve">    Total Stockholders' Deficit</t>
  </si>
  <si>
    <t>$</t>
  </si>
  <si>
    <t xml:space="preserve">    Total Liabilities</t>
  </si>
  <si>
    <t>Adjustments to reconcile net loss: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</si>
</sst>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-#,##0.00"/>
    <numFmt numFmtId="165" formatCode="[$-409]mmmm\ d\,\ yyyy;@"/>
    <numFmt numFmtId="166" formatCode="_(* #,##0_);_(* \(#,##0\);_(* &quot;-&quot;??_);_(@_)"/>
    <numFmt numFmtId="167" formatCode="_(&quot;$&quot;* #,##0_);_(&quot;$&quot;* \(#,##0\);_(&quot;$&quot;* &quot;-&quot;??_);_(@_)"/>
    <numFmt numFmtId="168" formatCode="#,##0.00\ _€"/>
    <numFmt numFmtId="169" formatCode="&quot;$&quot;* #,##0.00\ _€"/>
    <numFmt numFmtId="170" formatCode="#,##0.0_);\(#,##0.0\)"/>
    <numFmt numFmtId="171" formatCode="m/d/yyyy;@"/>
    <numFmt numFmtId="172" formatCode="_(* #,##0.0000_);_(* \(#,##0.0000\);_(* &quot;-&quot;??_);_(@_)"/>
    <numFmt numFmtId="173" formatCode="_(* #,##0.00000_);_(* \(#,##0.00000\);_(* &quot;-&quot;??_);_(@_)"/>
  </numFmts>
  <fonts count="22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Arial"/>
      <family val="2"/>
    </font>
    <font>
      <b/>
      <sz val="12"/>
      <color rgb="FF00000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4">
    <xf numFmtId="0" fontId="0" fillId="0" borderId="0" xfId="0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Border="1"/>
    <xf numFmtId="0" fontId="1" fillId="0" borderId="0" xfId="0" applyFont="1"/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3" fillId="0" borderId="0" xfId="1"/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/>
    <xf numFmtId="0" fontId="1" fillId="0" borderId="0" xfId="0" applyNumberFormat="1" applyFont="1" applyFill="1" applyAlignment="1">
      <alignment horizontal="center"/>
    </xf>
    <xf numFmtId="49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49" fontId="1" fillId="0" borderId="0" xfId="0" applyNumberFormat="1" applyFont="1" applyFill="1" applyAlignment="1">
      <alignment horizontal="left"/>
    </xf>
    <xf numFmtId="0" fontId="1" fillId="0" borderId="0" xfId="0" applyNumberFormat="1" applyFont="1" applyFill="1"/>
    <xf numFmtId="39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43" fontId="7" fillId="0" borderId="0" xfId="2" applyFont="1"/>
    <xf numFmtId="0" fontId="7" fillId="2" borderId="0" xfId="0" applyFont="1" applyFill="1"/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66" fontId="7" fillId="0" borderId="0" xfId="2" applyNumberFormat="1" applyFont="1"/>
    <xf numFmtId="166" fontId="7" fillId="0" borderId="3" xfId="2" applyNumberFormat="1" applyFont="1" applyBorder="1"/>
    <xf numFmtId="166" fontId="7" fillId="0" borderId="0" xfId="2" applyNumberFormat="1" applyFont="1" applyBorder="1"/>
    <xf numFmtId="166" fontId="7" fillId="0" borderId="4" xfId="2" applyNumberFormat="1" applyFont="1" applyBorder="1"/>
    <xf numFmtId="43" fontId="0" fillId="0" borderId="0" xfId="2" applyFont="1"/>
    <xf numFmtId="166" fontId="0" fillId="0" borderId="0" xfId="2" applyNumberFormat="1" applyFont="1"/>
    <xf numFmtId="14" fontId="0" fillId="0" borderId="0" xfId="0" applyNumberFormat="1"/>
    <xf numFmtId="0" fontId="5" fillId="0" borderId="0" xfId="0" applyFont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0" borderId="0" xfId="2" applyNumberFormat="1" applyFont="1" applyAlignment="1">
      <alignment horizontal="center" vertical="top"/>
    </xf>
    <xf numFmtId="44" fontId="7" fillId="0" borderId="4" xfId="3" applyFont="1" applyBorder="1"/>
    <xf numFmtId="167" fontId="7" fillId="0" borderId="0" xfId="0" applyNumberFormat="1" applyFont="1"/>
    <xf numFmtId="167" fontId="7" fillId="0" borderId="4" xfId="3" applyNumberFormat="1" applyFont="1" applyBorder="1"/>
    <xf numFmtId="167" fontId="7" fillId="0" borderId="0" xfId="2" applyNumberFormat="1" applyFont="1"/>
    <xf numFmtId="167" fontId="7" fillId="0" borderId="0" xfId="3" applyNumberFormat="1" applyFont="1"/>
    <xf numFmtId="14" fontId="0" fillId="3" borderId="0" xfId="0" applyNumberFormat="1" applyFill="1"/>
    <xf numFmtId="43" fontId="0" fillId="0" borderId="0" xfId="2" applyFont="1" applyAlignment="1">
      <alignment horizontal="center"/>
    </xf>
    <xf numFmtId="43" fontId="0" fillId="0" borderId="0" xfId="2" applyFont="1" applyBorder="1" applyAlignment="1">
      <alignment horizontal="centerContinuous"/>
    </xf>
    <xf numFmtId="43" fontId="1" fillId="0" borderId="0" xfId="2" applyFont="1" applyBorder="1" applyAlignment="1">
      <alignment horizontal="center"/>
    </xf>
    <xf numFmtId="43" fontId="2" fillId="0" borderId="0" xfId="2" applyFont="1"/>
    <xf numFmtId="43" fontId="2" fillId="0" borderId="0" xfId="2" applyFont="1" applyBorder="1"/>
    <xf numFmtId="43" fontId="1" fillId="0" borderId="0" xfId="2" applyFont="1" applyBorder="1"/>
    <xf numFmtId="43" fontId="2" fillId="4" borderId="0" xfId="2" applyFont="1" applyFill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14" fontId="7" fillId="3" borderId="0" xfId="0" applyNumberFormat="1" applyFont="1" applyFill="1"/>
    <xf numFmtId="170" fontId="0" fillId="0" borderId="0" xfId="0" applyNumberFormat="1"/>
    <xf numFmtId="0" fontId="0" fillId="0" borderId="0" xfId="0"/>
    <xf numFmtId="166" fontId="7" fillId="0" borderId="0" xfId="2" applyNumberFormat="1" applyFont="1" applyFill="1"/>
    <xf numFmtId="166" fontId="7" fillId="3" borderId="4" xfId="2" applyNumberFormat="1" applyFont="1" applyFill="1" applyBorder="1"/>
    <xf numFmtId="0" fontId="7" fillId="3" borderId="0" xfId="0" applyFont="1" applyFill="1"/>
    <xf numFmtId="166" fontId="7" fillId="3" borderId="0" xfId="2" applyNumberFormat="1" applyFont="1" applyFill="1"/>
    <xf numFmtId="166" fontId="7" fillId="3" borderId="0" xfId="2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171" fontId="0" fillId="0" borderId="0" xfId="2" applyNumberFormat="1" applyFont="1" applyAlignment="1">
      <alignment horizontal="left"/>
    </xf>
    <xf numFmtId="166" fontId="0" fillId="3" borderId="0" xfId="2" applyNumberFormat="1" applyFont="1" applyFill="1"/>
    <xf numFmtId="0" fontId="7" fillId="6" borderId="0" xfId="0" applyFont="1" applyFill="1"/>
    <xf numFmtId="166" fontId="7" fillId="6" borderId="0" xfId="2" applyNumberFormat="1" applyFont="1" applyFill="1"/>
    <xf numFmtId="0" fontId="0" fillId="0" borderId="0" xfId="0"/>
    <xf numFmtId="171" fontId="0" fillId="0" borderId="0" xfId="0" applyNumberFormat="1"/>
    <xf numFmtId="43" fontId="0" fillId="0" borderId="6" xfId="2" applyFont="1" applyBorder="1"/>
    <xf numFmtId="43" fontId="0" fillId="0" borderId="0" xfId="0" applyNumberFormat="1"/>
    <xf numFmtId="0" fontId="0" fillId="0" borderId="3" xfId="0" applyBorder="1"/>
    <xf numFmtId="43" fontId="0" fillId="0" borderId="3" xfId="0" applyNumberFormat="1" applyBorder="1"/>
    <xf numFmtId="43" fontId="0" fillId="0" borderId="4" xfId="2" applyFont="1" applyBorder="1"/>
    <xf numFmtId="43" fontId="0" fillId="3" borderId="0" xfId="2" applyFont="1" applyFill="1"/>
    <xf numFmtId="0" fontId="0" fillId="3" borderId="0" xfId="0" applyFill="1"/>
    <xf numFmtId="0" fontId="0" fillId="0" borderId="0" xfId="0"/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3" fillId="0" borderId="0" xfId="0" applyFont="1" applyAlignment="1">
      <alignment horizontal="left" wrapText="1"/>
    </xf>
    <xf numFmtId="168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wrapText="1"/>
    </xf>
    <xf numFmtId="169" fontId="13" fillId="0" borderId="3" xfId="0" applyNumberFormat="1" applyFont="1" applyBorder="1" applyAlignment="1">
      <alignment horizontal="right" wrapText="1"/>
    </xf>
    <xf numFmtId="0" fontId="0" fillId="0" borderId="0" xfId="0"/>
    <xf numFmtId="0" fontId="0" fillId="0" borderId="0" xfId="0"/>
    <xf numFmtId="43" fontId="0" fillId="0" borderId="0" xfId="2" applyFont="1" applyFill="1"/>
    <xf numFmtId="0" fontId="0" fillId="0" borderId="0" xfId="0"/>
    <xf numFmtId="0" fontId="0" fillId="0" borderId="0" xfId="0"/>
    <xf numFmtId="43" fontId="5" fillId="0" borderId="0" xfId="2" applyFont="1" applyAlignment="1">
      <alignment horizontal="center"/>
    </xf>
    <xf numFmtId="0" fontId="5" fillId="0" borderId="0" xfId="0" applyFont="1"/>
    <xf numFmtId="171" fontId="0" fillId="0" borderId="0" xfId="0" applyNumberFormat="1" applyAlignment="1">
      <alignment horizontal="center"/>
    </xf>
    <xf numFmtId="168" fontId="14" fillId="3" borderId="0" xfId="0" applyNumberFormat="1" applyFont="1" applyFill="1" applyAlignment="1">
      <alignment horizontal="right" wrapText="1"/>
    </xf>
    <xf numFmtId="14" fontId="0" fillId="0" borderId="0" xfId="0" applyNumberFormat="1" applyAlignment="1">
      <alignment horizontal="center"/>
    </xf>
    <xf numFmtId="166" fontId="0" fillId="0" borderId="3" xfId="2" applyNumberFormat="1" applyFont="1" applyBorder="1"/>
    <xf numFmtId="0" fontId="0" fillId="0" borderId="0" xfId="0"/>
    <xf numFmtId="0" fontId="0" fillId="0" borderId="0" xfId="0"/>
    <xf numFmtId="0" fontId="17" fillId="0" borderId="5" xfId="0" applyFont="1" applyBorder="1" applyAlignment="1">
      <alignment horizontal="center" wrapText="1"/>
    </xf>
    <xf numFmtId="0" fontId="18" fillId="0" borderId="0" xfId="0" applyFont="1" applyAlignment="1">
      <alignment horizontal="left" wrapText="1"/>
    </xf>
    <xf numFmtId="168" fontId="19" fillId="0" borderId="0" xfId="0" applyNumberFormat="1" applyFont="1" applyAlignment="1">
      <alignment horizontal="right" wrapText="1"/>
    </xf>
    <xf numFmtId="168" fontId="19" fillId="0" borderId="0" xfId="0" applyNumberFormat="1" applyFont="1" applyAlignment="1">
      <alignment wrapText="1"/>
    </xf>
    <xf numFmtId="169" fontId="18" fillId="0" borderId="3" xfId="0" applyNumberFormat="1" applyFont="1" applyBorder="1" applyAlignment="1">
      <alignment horizontal="right" wrapText="1"/>
    </xf>
    <xf numFmtId="0" fontId="0" fillId="0" borderId="0" xfId="0"/>
    <xf numFmtId="168" fontId="19" fillId="3" borderId="0" xfId="0" applyNumberFormat="1" applyFont="1" applyFill="1" applyAlignment="1">
      <alignment horizontal="right" wrapText="1"/>
    </xf>
    <xf numFmtId="44" fontId="0" fillId="0" borderId="0" xfId="0" applyNumberFormat="1"/>
    <xf numFmtId="0" fontId="0" fillId="0" borderId="0" xfId="0"/>
    <xf numFmtId="43" fontId="0" fillId="3" borderId="6" xfId="2" applyFont="1" applyFill="1" applyBorder="1"/>
    <xf numFmtId="4" fontId="0" fillId="0" borderId="0" xfId="0" applyNumberFormat="1"/>
    <xf numFmtId="0" fontId="0" fillId="0" borderId="0" xfId="0"/>
    <xf numFmtId="0" fontId="0" fillId="0" borderId="0" xfId="0"/>
    <xf numFmtId="168" fontId="14" fillId="3" borderId="0" xfId="0" applyNumberFormat="1" applyFont="1" applyFill="1" applyAlignment="1">
      <alignment wrapText="1"/>
    </xf>
    <xf numFmtId="168" fontId="19" fillId="3" borderId="0" xfId="0" applyNumberFormat="1" applyFont="1" applyFill="1" applyAlignment="1">
      <alignment wrapText="1"/>
    </xf>
    <xf numFmtId="0" fontId="0" fillId="0" borderId="0" xfId="0"/>
    <xf numFmtId="0" fontId="0" fillId="0" borderId="0" xfId="0" applyFont="1"/>
    <xf numFmtId="0" fontId="14" fillId="0" borderId="0" xfId="0" applyFont="1" applyAlignment="1">
      <alignment horizontal="left" wrapText="1"/>
    </xf>
    <xf numFmtId="43" fontId="4" fillId="0" borderId="0" xfId="2" applyFont="1"/>
    <xf numFmtId="4" fontId="0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Fill="1" applyAlignment="1"/>
    <xf numFmtId="0" fontId="20" fillId="5" borderId="0" xfId="0" applyFont="1" applyFill="1" applyAlignment="1"/>
    <xf numFmtId="0" fontId="21" fillId="5" borderId="0" xfId="0" applyFont="1" applyFill="1"/>
    <xf numFmtId="0" fontId="21" fillId="2" borderId="0" xfId="0" applyFont="1" applyFill="1"/>
    <xf numFmtId="0" fontId="21" fillId="0" borderId="0" xfId="0" applyFont="1"/>
    <xf numFmtId="0" fontId="21" fillId="3" borderId="0" xfId="0" applyFont="1" applyFill="1"/>
    <xf numFmtId="0" fontId="20" fillId="0" borderId="0" xfId="0" applyFont="1"/>
    <xf numFmtId="0" fontId="21" fillId="0" borderId="0" xfId="0" applyFont="1" applyFill="1"/>
    <xf numFmtId="165" fontId="20" fillId="0" borderId="0" xfId="0" applyNumberFormat="1" applyFont="1"/>
    <xf numFmtId="165" fontId="20" fillId="0" borderId="0" xfId="0" applyNumberFormat="1" applyFont="1" applyFill="1"/>
    <xf numFmtId="165" fontId="20" fillId="5" borderId="0" xfId="0" applyNumberFormat="1" applyFont="1" applyFill="1"/>
    <xf numFmtId="165" fontId="21" fillId="0" borderId="0" xfId="0" applyNumberFormat="1" applyFont="1" applyAlignment="1">
      <alignment horizontal="center"/>
    </xf>
    <xf numFmtId="165" fontId="21" fillId="0" borderId="0" xfId="0" applyNumberFormat="1" applyFont="1"/>
    <xf numFmtId="43" fontId="21" fillId="0" borderId="0" xfId="2" applyFont="1"/>
    <xf numFmtId="43" fontId="21" fillId="0" borderId="0" xfId="2" applyFont="1" applyFill="1"/>
    <xf numFmtId="43" fontId="21" fillId="5" borderId="0" xfId="2" applyFont="1" applyFill="1"/>
    <xf numFmtId="166" fontId="21" fillId="0" borderId="0" xfId="2" applyNumberFormat="1" applyFont="1"/>
    <xf numFmtId="166" fontId="21" fillId="0" borderId="0" xfId="2" applyNumberFormat="1" applyFont="1" applyFill="1"/>
    <xf numFmtId="166" fontId="21" fillId="5" borderId="0" xfId="2" applyNumberFormat="1" applyFont="1" applyFill="1"/>
    <xf numFmtId="166" fontId="21" fillId="0" borderId="0" xfId="0" applyNumberFormat="1" applyFont="1"/>
    <xf numFmtId="166" fontId="21" fillId="0" borderId="3" xfId="2" applyNumberFormat="1" applyFont="1" applyBorder="1"/>
    <xf numFmtId="166" fontId="21" fillId="5" borderId="3" xfId="2" applyNumberFormat="1" applyFont="1" applyFill="1" applyBorder="1"/>
    <xf numFmtId="166" fontId="21" fillId="0" borderId="0" xfId="2" applyNumberFormat="1" applyFont="1" applyBorder="1"/>
    <xf numFmtId="166" fontId="21" fillId="5" borderId="0" xfId="2" applyNumberFormat="1" applyFont="1" applyFill="1" applyBorder="1"/>
    <xf numFmtId="166" fontId="21" fillId="0" borderId="4" xfId="2" applyNumberFormat="1" applyFont="1" applyBorder="1"/>
    <xf numFmtId="166" fontId="21" fillId="5" borderId="4" xfId="2" applyNumberFormat="1" applyFont="1" applyFill="1" applyBorder="1"/>
    <xf numFmtId="166" fontId="21" fillId="0" borderId="3" xfId="2" applyNumberFormat="1" applyFont="1" applyFill="1" applyBorder="1"/>
    <xf numFmtId="166" fontId="21" fillId="0" borderId="0" xfId="2" applyNumberFormat="1" applyFont="1" applyFill="1" applyBorder="1"/>
    <xf numFmtId="0" fontId="21" fillId="0" borderId="0" xfId="0" applyFont="1" applyFill="1" applyAlignment="1"/>
    <xf numFmtId="0" fontId="21" fillId="5" borderId="0" xfId="0" applyFont="1" applyFill="1" applyAlignment="1"/>
    <xf numFmtId="0" fontId="21" fillId="4" borderId="0" xfId="0" applyFont="1" applyFill="1"/>
    <xf numFmtId="166" fontId="21" fillId="4" borderId="0" xfId="2" applyNumberFormat="1" applyFont="1" applyFill="1"/>
    <xf numFmtId="173" fontId="21" fillId="0" borderId="0" xfId="2" applyNumberFormat="1" applyFont="1"/>
    <xf numFmtId="172" fontId="21" fillId="0" borderId="0" xfId="2" applyNumberFormat="1" applyFont="1"/>
    <xf numFmtId="0" fontId="20" fillId="0" borderId="0" xfId="0" applyFont="1" applyAlignment="1">
      <alignment horizontal="center"/>
    </xf>
    <xf numFmtId="165" fontId="20" fillId="0" borderId="0" xfId="0" applyNumberFormat="1" applyFont="1" applyAlignment="1">
      <alignment horizontal="center"/>
    </xf>
    <xf numFmtId="167" fontId="21" fillId="0" borderId="0" xfId="3" applyNumberFormat="1" applyFont="1"/>
    <xf numFmtId="167" fontId="21" fillId="0" borderId="0" xfId="0" applyNumberFormat="1" applyFont="1"/>
    <xf numFmtId="9" fontId="21" fillId="0" borderId="0" xfId="4" applyFont="1"/>
    <xf numFmtId="167" fontId="21" fillId="0" borderId="4" xfId="3" applyNumberFormat="1" applyFont="1" applyBorder="1"/>
    <xf numFmtId="167" fontId="21" fillId="0" borderId="0" xfId="2" applyNumberFormat="1" applyFont="1"/>
    <xf numFmtId="44" fontId="21" fillId="0" borderId="4" xfId="3" applyFont="1" applyBorder="1"/>
    <xf numFmtId="166" fontId="21" fillId="0" borderId="4" xfId="2" applyNumberFormat="1" applyFont="1" applyFill="1" applyBorder="1"/>
    <xf numFmtId="43" fontId="21" fillId="4" borderId="0" xfId="2" applyFont="1" applyFill="1"/>
    <xf numFmtId="14" fontId="21" fillId="3" borderId="0" xfId="0" applyNumberFormat="1" applyFont="1" applyFill="1"/>
    <xf numFmtId="166" fontId="21" fillId="3" borderId="0" xfId="2" applyNumberFormat="1" applyFont="1" applyFill="1"/>
    <xf numFmtId="166" fontId="21" fillId="3" borderId="0" xfId="2" applyNumberFormat="1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3" fontId="21" fillId="0" borderId="3" xfId="2" applyFont="1" applyBorder="1"/>
    <xf numFmtId="166" fontId="21" fillId="0" borderId="5" xfId="2" applyNumberFormat="1" applyFont="1" applyBorder="1"/>
    <xf numFmtId="0" fontId="21" fillId="0" borderId="0" xfId="0" applyFont="1" applyAlignment="1">
      <alignment horizontal="center"/>
    </xf>
    <xf numFmtId="166" fontId="21" fillId="2" borderId="0" xfId="2" applyNumberFormat="1" applyFont="1" applyFill="1"/>
    <xf numFmtId="0" fontId="21" fillId="0" borderId="0" xfId="0" applyFont="1" applyAlignment="1">
      <alignment wrapText="1"/>
    </xf>
    <xf numFmtId="43" fontId="21" fillId="0" borderId="7" xfId="2" applyFont="1" applyBorder="1"/>
    <xf numFmtId="166" fontId="21" fillId="0" borderId="7" xfId="2" applyNumberFormat="1" applyFont="1" applyBorder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1" fillId="4" borderId="0" xfId="0" applyFont="1" applyFill="1" applyAlignment="1">
      <alignment horizontal="right"/>
    </xf>
    <xf numFmtId="165" fontId="20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right"/>
    </xf>
    <xf numFmtId="165" fontId="21" fillId="0" borderId="0" xfId="0" applyNumberFormat="1" applyFont="1" applyFill="1" applyAlignment="1">
      <alignment horizontal="right"/>
    </xf>
    <xf numFmtId="165" fontId="21" fillId="4" borderId="0" xfId="0" applyNumberFormat="1" applyFont="1" applyFill="1" applyAlignment="1">
      <alignment horizontal="right"/>
    </xf>
    <xf numFmtId="166" fontId="21" fillId="4" borderId="0" xfId="2" applyNumberFormat="1" applyFont="1" applyFill="1" applyAlignment="1">
      <alignment horizontal="right"/>
    </xf>
    <xf numFmtId="166" fontId="21" fillId="0" borderId="0" xfId="2" applyNumberFormat="1" applyFont="1" applyAlignment="1">
      <alignment horizontal="right"/>
    </xf>
    <xf numFmtId="43" fontId="21" fillId="0" borderId="0" xfId="2" applyFont="1" applyAlignment="1">
      <alignment horizontal="right"/>
    </xf>
    <xf numFmtId="166" fontId="21" fillId="0" borderId="4" xfId="3" applyNumberFormat="1" applyFont="1" applyBorder="1"/>
    <xf numFmtId="166" fontId="21" fillId="0" borderId="0" xfId="3" applyNumberFormat="1" applyFont="1"/>
    <xf numFmtId="0" fontId="21" fillId="2" borderId="0" xfId="0" applyFont="1" applyFill="1" applyAlignment="1">
      <alignment horizontal="right"/>
    </xf>
    <xf numFmtId="166" fontId="21" fillId="0" borderId="0" xfId="2" applyNumberFormat="1" applyFont="1" applyBorder="1" applyAlignment="1">
      <alignment horizontal="right"/>
    </xf>
    <xf numFmtId="167" fontId="21" fillId="0" borderId="0" xfId="2" applyNumberFormat="1" applyFont="1" applyAlignment="1">
      <alignment horizontal="right"/>
    </xf>
    <xf numFmtId="166" fontId="21" fillId="2" borderId="0" xfId="2" applyNumberFormat="1" applyFont="1" applyFill="1" applyAlignment="1">
      <alignment horizontal="righ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NumberFormat="1" applyFont="1" applyFill="1" applyAlignment="1">
      <alignment horizontal="center"/>
    </xf>
    <xf numFmtId="0" fontId="0" fillId="0" borderId="0" xfId="0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0" borderId="0" xfId="1"/>
  </cellXfs>
  <cellStyles count="5">
    <cellStyle name="Comma" xfId="2" builtinId="3"/>
    <cellStyle name="Currency" xfId="3" builtinId="4"/>
    <cellStyle name="Normal" xfId="0" builtinId="0"/>
    <cellStyle name="Normal 2" xfId="1" xr:uid="{6D67E972-F9E3-437F-84DA-652A8AB28FC1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image" Target="../media/image22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3.emf"/><Relationship Id="rId1" Type="http://schemas.openxmlformats.org/officeDocument/2006/relationships/image" Target="../media/image24.emf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5.emf"/><Relationship Id="rId1" Type="http://schemas.openxmlformats.org/officeDocument/2006/relationships/image" Target="../media/image26.emf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7.emf"/><Relationship Id="rId1" Type="http://schemas.openxmlformats.org/officeDocument/2006/relationships/image" Target="../media/image28.emf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0.emf"/><Relationship Id="rId1" Type="http://schemas.openxmlformats.org/officeDocument/2006/relationships/image" Target="../media/image29.emf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2.emf"/><Relationship Id="rId1" Type="http://schemas.openxmlformats.org/officeDocument/2006/relationships/image" Target="../media/image31.emf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4.emf"/><Relationship Id="rId1" Type="http://schemas.openxmlformats.org/officeDocument/2006/relationships/image" Target="../media/image33.emf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6.emf"/><Relationship Id="rId1" Type="http://schemas.openxmlformats.org/officeDocument/2006/relationships/image" Target="../media/image35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10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12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4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1</xdr:col>
          <xdr:colOff>123825</xdr:colOff>
          <xdr:row>1</xdr:row>
          <xdr:rowOff>47625</xdr:rowOff>
        </xdr:to>
        <xdr:sp macro="" textlink="">
          <xdr:nvSpPr>
            <xdr:cNvPr id="27649" name="FILTER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C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1</xdr:col>
          <xdr:colOff>123825</xdr:colOff>
          <xdr:row>1</xdr:row>
          <xdr:rowOff>47625</xdr:rowOff>
        </xdr:to>
        <xdr:sp macro="" textlink="">
          <xdr:nvSpPr>
            <xdr:cNvPr id="27650" name="HEADER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C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57345" name="FILTER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16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57346" name="HEADER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16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15361" name="FILTER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18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15362" name="HEADER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18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19457" name="FILTER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9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19458" name="HEADER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19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81" name="FILTER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A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82" name="HEADER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1A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1505" name="FILTER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B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1506" name="HEADER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1B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55297" name="FILTER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C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55298" name="HEADER" hidden="1">
              <a:extLst>
                <a:ext uri="{63B3BB69-23CF-44E3-9099-C40C66FF867C}">
                  <a14:compatExt spid="_x0000_s55298"/>
                </a:ext>
                <a:ext uri="{FF2B5EF4-FFF2-40B4-BE49-F238E27FC236}">
                  <a16:creationId xmlns:a16="http://schemas.microsoft.com/office/drawing/2014/main" id="{00000000-0008-0000-1C00-00000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52225" name="FILTER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1D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52226" name="HEADER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1D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53249" name="FILTER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1E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53250" name="HEADER" hidden="1">
              <a:extLst>
                <a:ext uri="{63B3BB69-23CF-44E3-9099-C40C66FF867C}">
                  <a14:compatExt spid="_x0000_s53250"/>
                </a:ext>
                <a:ext uri="{FF2B5EF4-FFF2-40B4-BE49-F238E27FC236}">
                  <a16:creationId xmlns:a16="http://schemas.microsoft.com/office/drawing/2014/main" id="{00000000-0008-0000-1E00-00000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54273" name="FILTER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1F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54274" name="HEADER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0000000-0008-0000-1F00-00000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64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40961" name="FILTER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E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40962" name="HEADER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E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18433" name="FILTER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F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18434" name="HEADER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F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58369" name="FILTER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10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58370" name="HEADER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10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1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1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16385" name="FILTER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12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16386" name="HEADER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12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17409" name="FILTER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17410" name="HEADER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13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51201" name="FILTER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1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51202" name="HEADER" hidden="1">
              <a:extLst>
                <a:ext uri="{63B3BB69-23CF-44E3-9099-C40C66FF867C}">
                  <a14:compatExt spid="_x0000_s51202"/>
                </a:ext>
                <a:ext uri="{FF2B5EF4-FFF2-40B4-BE49-F238E27FC236}">
                  <a16:creationId xmlns:a16="http://schemas.microsoft.com/office/drawing/2014/main" id="{00000000-0008-0000-1400-00000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56321" name="FILTER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5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9525</xdr:rowOff>
        </xdr:from>
        <xdr:to>
          <xdr:col>1</xdr:col>
          <xdr:colOff>123825</xdr:colOff>
          <xdr:row>4</xdr:row>
          <xdr:rowOff>38100</xdr:rowOff>
        </xdr:to>
        <xdr:sp macro="" textlink="">
          <xdr:nvSpPr>
            <xdr:cNvPr id="56322" name="HEADER" hidden="1">
              <a:extLst>
                <a:ext uri="{63B3BB69-23CF-44E3-9099-C40C66FF867C}">
                  <a14:compatExt spid="_x0000_s56322"/>
                </a:ext>
                <a:ext uri="{FF2B5EF4-FFF2-40B4-BE49-F238E27FC236}">
                  <a16:creationId xmlns:a16="http://schemas.microsoft.com/office/drawing/2014/main" id="{00000000-0008-0000-1500-00000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6" Type="http://schemas.openxmlformats.org/officeDocument/2006/relationships/control" Target="../activeX/activeX6.xml"/><Relationship Id="rId5" Type="http://schemas.openxmlformats.org/officeDocument/2006/relationships/image" Target="../media/image5.emf"/><Relationship Id="rId4" Type="http://schemas.openxmlformats.org/officeDocument/2006/relationships/control" Target="../activeX/activeX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8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6" Type="http://schemas.openxmlformats.org/officeDocument/2006/relationships/control" Target="../activeX/activeX8.xml"/><Relationship Id="rId5" Type="http://schemas.openxmlformats.org/officeDocument/2006/relationships/image" Target="../media/image7.emf"/><Relationship Id="rId4" Type="http://schemas.openxmlformats.org/officeDocument/2006/relationships/control" Target="../activeX/activeX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image" Target="../media/image10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6" Type="http://schemas.openxmlformats.org/officeDocument/2006/relationships/control" Target="../activeX/activeX10.xml"/><Relationship Id="rId5" Type="http://schemas.openxmlformats.org/officeDocument/2006/relationships/image" Target="../media/image9.emf"/><Relationship Id="rId4" Type="http://schemas.openxmlformats.org/officeDocument/2006/relationships/control" Target="../activeX/activeX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image" Target="../media/image12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Relationship Id="rId6" Type="http://schemas.openxmlformats.org/officeDocument/2006/relationships/control" Target="../activeX/activeX12.xml"/><Relationship Id="rId5" Type="http://schemas.openxmlformats.org/officeDocument/2006/relationships/image" Target="../media/image11.emf"/><Relationship Id="rId4" Type="http://schemas.openxmlformats.org/officeDocument/2006/relationships/control" Target="../activeX/activeX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14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6" Type="http://schemas.openxmlformats.org/officeDocument/2006/relationships/control" Target="../activeX/activeX14.xml"/><Relationship Id="rId5" Type="http://schemas.openxmlformats.org/officeDocument/2006/relationships/image" Target="../media/image13.emf"/><Relationship Id="rId4" Type="http://schemas.openxmlformats.org/officeDocument/2006/relationships/control" Target="../activeX/activeX1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16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Relationship Id="rId6" Type="http://schemas.openxmlformats.org/officeDocument/2006/relationships/control" Target="../activeX/activeX16.xml"/><Relationship Id="rId5" Type="http://schemas.openxmlformats.org/officeDocument/2006/relationships/image" Target="../media/image15.emf"/><Relationship Id="rId4" Type="http://schemas.openxmlformats.org/officeDocument/2006/relationships/control" Target="../activeX/activeX1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18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control" Target="../activeX/activeX18.xml"/><Relationship Id="rId5" Type="http://schemas.openxmlformats.org/officeDocument/2006/relationships/image" Target="../media/image17.emf"/><Relationship Id="rId4" Type="http://schemas.openxmlformats.org/officeDocument/2006/relationships/control" Target="../activeX/activeX1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image" Target="../media/image20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Relationship Id="rId6" Type="http://schemas.openxmlformats.org/officeDocument/2006/relationships/control" Target="../activeX/activeX20.xml"/><Relationship Id="rId5" Type="http://schemas.openxmlformats.org/officeDocument/2006/relationships/image" Target="../media/image19.emf"/><Relationship Id="rId4" Type="http://schemas.openxmlformats.org/officeDocument/2006/relationships/control" Target="../activeX/activeX19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7" Type="http://schemas.openxmlformats.org/officeDocument/2006/relationships/image" Target="../media/image22.emf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Relationship Id="rId6" Type="http://schemas.openxmlformats.org/officeDocument/2006/relationships/control" Target="../activeX/activeX22.xml"/><Relationship Id="rId5" Type="http://schemas.openxmlformats.org/officeDocument/2006/relationships/image" Target="../media/image21.emf"/><Relationship Id="rId4" Type="http://schemas.openxmlformats.org/officeDocument/2006/relationships/control" Target="../activeX/activeX21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7" Type="http://schemas.openxmlformats.org/officeDocument/2006/relationships/image" Target="../media/image24.emf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Relationship Id="rId6" Type="http://schemas.openxmlformats.org/officeDocument/2006/relationships/control" Target="../activeX/activeX24.xml"/><Relationship Id="rId5" Type="http://schemas.openxmlformats.org/officeDocument/2006/relationships/image" Target="../media/image23.emf"/><Relationship Id="rId4" Type="http://schemas.openxmlformats.org/officeDocument/2006/relationships/control" Target="../activeX/activeX23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7" Type="http://schemas.openxmlformats.org/officeDocument/2006/relationships/image" Target="../media/image26.emf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Relationship Id="rId6" Type="http://schemas.openxmlformats.org/officeDocument/2006/relationships/control" Target="../activeX/activeX26.xml"/><Relationship Id="rId5" Type="http://schemas.openxmlformats.org/officeDocument/2006/relationships/image" Target="../media/image25.emf"/><Relationship Id="rId4" Type="http://schemas.openxmlformats.org/officeDocument/2006/relationships/control" Target="../activeX/activeX25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7" Type="http://schemas.openxmlformats.org/officeDocument/2006/relationships/image" Target="../media/image28.emf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Relationship Id="rId6" Type="http://schemas.openxmlformats.org/officeDocument/2006/relationships/control" Target="../activeX/activeX28.xml"/><Relationship Id="rId5" Type="http://schemas.openxmlformats.org/officeDocument/2006/relationships/image" Target="../media/image27.emf"/><Relationship Id="rId4" Type="http://schemas.openxmlformats.org/officeDocument/2006/relationships/control" Target="../activeX/activeX2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7" Type="http://schemas.openxmlformats.org/officeDocument/2006/relationships/image" Target="../media/image30.emf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Relationship Id="rId6" Type="http://schemas.openxmlformats.org/officeDocument/2006/relationships/control" Target="../activeX/activeX30.xml"/><Relationship Id="rId5" Type="http://schemas.openxmlformats.org/officeDocument/2006/relationships/image" Target="../media/image29.emf"/><Relationship Id="rId4" Type="http://schemas.openxmlformats.org/officeDocument/2006/relationships/control" Target="../activeX/activeX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7" Type="http://schemas.openxmlformats.org/officeDocument/2006/relationships/image" Target="../media/image32.emf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Relationship Id="rId6" Type="http://schemas.openxmlformats.org/officeDocument/2006/relationships/control" Target="../activeX/activeX32.xml"/><Relationship Id="rId5" Type="http://schemas.openxmlformats.org/officeDocument/2006/relationships/image" Target="../media/image31.emf"/><Relationship Id="rId4" Type="http://schemas.openxmlformats.org/officeDocument/2006/relationships/control" Target="../activeX/activeX31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7" Type="http://schemas.openxmlformats.org/officeDocument/2006/relationships/image" Target="../media/image34.emf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Relationship Id="rId6" Type="http://schemas.openxmlformats.org/officeDocument/2006/relationships/control" Target="../activeX/activeX34.xml"/><Relationship Id="rId5" Type="http://schemas.openxmlformats.org/officeDocument/2006/relationships/image" Target="../media/image33.emf"/><Relationship Id="rId4" Type="http://schemas.openxmlformats.org/officeDocument/2006/relationships/control" Target="../activeX/activeX33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7" Type="http://schemas.openxmlformats.org/officeDocument/2006/relationships/image" Target="../media/image36.emf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Relationship Id="rId6" Type="http://schemas.openxmlformats.org/officeDocument/2006/relationships/control" Target="../activeX/activeX36.xml"/><Relationship Id="rId5" Type="http://schemas.openxmlformats.org/officeDocument/2006/relationships/image" Target="../media/image35.emf"/><Relationship Id="rId4" Type="http://schemas.openxmlformats.org/officeDocument/2006/relationships/control" Target="../activeX/activeX3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AE85-9C4C-4C09-A397-CEFB690C5BA5}">
  <sheetPr>
    <tabColor rgb="FF92D050"/>
    <pageSetUpPr fitToPage="1"/>
  </sheetPr>
  <dimension ref="A1:T144"/>
  <sheetViews>
    <sheetView showGridLines="0" tabSelected="1" workbookViewId="0">
      <pane xSplit="3" ySplit="7" topLeftCell="D65" activePane="bottomRight" state="frozen"/>
      <selection pane="topRight" activeCell="C1" sqref="C1"/>
      <selection pane="bottomLeft" activeCell="A8" sqref="A8"/>
      <selection pane="bottomRight" sqref="A1:G68"/>
    </sheetView>
  </sheetViews>
  <sheetFormatPr defaultColWidth="9.1328125" defaultRowHeight="15.75" x14ac:dyDescent="0.75"/>
  <cols>
    <col min="1" max="1" width="13.7265625" style="125" customWidth="1"/>
    <col min="2" max="2" width="59.7265625" style="125" customWidth="1"/>
    <col min="3" max="3" width="3.86328125" style="177" customWidth="1"/>
    <col min="4" max="4" width="18.86328125" style="125" customWidth="1"/>
    <col min="5" max="5" width="3.26953125" style="177" customWidth="1"/>
    <col min="6" max="6" width="18.86328125" style="125" customWidth="1"/>
    <col min="7" max="7" width="2.86328125" style="128" customWidth="1"/>
    <col min="8" max="8" width="18.86328125" style="125" customWidth="1"/>
    <col min="9" max="9" width="4" style="125" customWidth="1"/>
    <col min="10" max="10" width="16.1328125" style="124" customWidth="1"/>
    <col min="11" max="11" width="18.54296875" style="125" customWidth="1"/>
    <col min="12" max="12" width="4.54296875" style="125" customWidth="1"/>
    <col min="13" max="15" width="19.86328125" style="125" customWidth="1"/>
    <col min="16" max="18" width="19.86328125" style="125" hidden="1" customWidth="1"/>
    <col min="19" max="19" width="5.7265625" style="125" customWidth="1"/>
    <col min="20" max="20" width="14.40625" style="125" customWidth="1"/>
    <col min="21" max="16384" width="9.1328125" style="125"/>
  </cols>
  <sheetData>
    <row r="1" spans="2:20" x14ac:dyDescent="0.75">
      <c r="B1" s="192" t="s">
        <v>386</v>
      </c>
      <c r="C1" s="192"/>
      <c r="D1" s="192"/>
      <c r="E1" s="192"/>
      <c r="F1" s="192"/>
      <c r="G1" s="121"/>
      <c r="H1" s="122"/>
      <c r="I1" s="123"/>
      <c r="L1" s="126"/>
      <c r="M1" s="126"/>
      <c r="N1" s="126"/>
      <c r="O1" s="126"/>
      <c r="P1" s="126"/>
      <c r="Q1" s="126"/>
      <c r="R1" s="126"/>
      <c r="S1" s="126"/>
    </row>
    <row r="2" spans="2:20" x14ac:dyDescent="0.75">
      <c r="B2" s="192" t="s">
        <v>387</v>
      </c>
      <c r="C2" s="192"/>
      <c r="D2" s="192"/>
      <c r="E2" s="192"/>
      <c r="F2" s="192"/>
      <c r="G2" s="121"/>
      <c r="H2" s="122"/>
      <c r="I2" s="123"/>
    </row>
    <row r="3" spans="2:20" x14ac:dyDescent="0.75">
      <c r="B3" s="127"/>
      <c r="D3" s="140"/>
      <c r="F3" s="140"/>
      <c r="H3" s="123"/>
      <c r="I3" s="123"/>
      <c r="O3" s="134"/>
    </row>
    <row r="4" spans="2:20" x14ac:dyDescent="0.75">
      <c r="H4" s="123"/>
      <c r="I4" s="123"/>
    </row>
    <row r="5" spans="2:20" x14ac:dyDescent="0.75">
      <c r="D5" s="129">
        <v>44135</v>
      </c>
      <c r="E5" s="179"/>
      <c r="F5" s="129">
        <v>43769</v>
      </c>
      <c r="G5" s="130"/>
      <c r="H5" s="131">
        <f>DATE(YEAR(F5)-1,MONTH(F5),DAY(F5))</f>
        <v>43404</v>
      </c>
      <c r="I5" s="123"/>
      <c r="J5" s="124" t="s">
        <v>393</v>
      </c>
      <c r="M5" s="132">
        <v>44043</v>
      </c>
      <c r="N5" s="132">
        <v>43951</v>
      </c>
      <c r="O5" s="132">
        <v>43861</v>
      </c>
      <c r="P5" s="132">
        <v>43677</v>
      </c>
      <c r="Q5" s="132">
        <v>43585</v>
      </c>
      <c r="R5" s="132">
        <v>43496</v>
      </c>
    </row>
    <row r="6" spans="2:20" x14ac:dyDescent="0.75">
      <c r="B6" s="127" t="s">
        <v>389</v>
      </c>
      <c r="E6" s="180"/>
      <c r="H6" s="123"/>
      <c r="I6" s="123"/>
    </row>
    <row r="7" spans="2:20" x14ac:dyDescent="0.75">
      <c r="D7" s="134"/>
      <c r="E7" s="180"/>
      <c r="F7" s="134"/>
      <c r="G7" s="135"/>
      <c r="H7" s="136"/>
      <c r="I7" s="123"/>
    </row>
    <row r="8" spans="2:20" x14ac:dyDescent="0.75">
      <c r="B8" s="125" t="s">
        <v>388</v>
      </c>
      <c r="C8" s="177" t="s">
        <v>1135</v>
      </c>
      <c r="D8" s="137">
        <f>ROUND(SUMIF('Q4 TB-20'!$H$6:$H$308,'Balance Sheets'!$J8,'Q4 TB-20'!$G$6:$G$308),0)</f>
        <v>297212</v>
      </c>
      <c r="E8" s="180" t="s">
        <v>1135</v>
      </c>
      <c r="F8" s="137">
        <f>ROUND(SUMIF('Q4 TB-19'!$H$6:$H$308,'Balance Sheets'!$J8,'Q4 TB-19'!$G$6:$G$308),0)</f>
        <v>118624</v>
      </c>
      <c r="G8" s="138"/>
      <c r="H8" s="139">
        <f>ROUND(SUMIF('PY TB-18'!$H$6:$H$308,'Balance Sheets'!$J8,'PY TB-18'!$G$6:$G$308),0)</f>
        <v>392547</v>
      </c>
      <c r="I8" s="123"/>
      <c r="J8" s="124" t="s">
        <v>171</v>
      </c>
      <c r="K8" s="140">
        <f>F8-H8</f>
        <v>-273923</v>
      </c>
      <c r="M8" s="137">
        <f>ROUND(SUMIF('Q3 TB-20'!$H$6:$H$308,'Balance Sheets'!$J8,'Q3 TB-20'!$G$6:$G$308),0)</f>
        <v>359161</v>
      </c>
      <c r="N8" s="137">
        <f>ROUND(SUMIF('Q2 TB-20'!$H$6:$H$308,'Balance Sheets'!$J8,'Q2 TB-20'!$G$6:$G$308),0)</f>
        <v>316137</v>
      </c>
      <c r="O8" s="137">
        <f>ROUND(SUMIF('Q1 TB-20'!$H$6:$H$308,'Balance Sheets'!$J8,'Q1 TB-20'!$G$6:$G$308),0)</f>
        <v>384845</v>
      </c>
      <c r="P8" s="137">
        <f>ROUND(SUMIF('Q3 TB-19'!$H$6:$H$308,'Balance Sheets'!$J8,'Q3 TB-19'!$G$6:$G$308),0)</f>
        <v>97725</v>
      </c>
      <c r="Q8" s="137">
        <f>ROUND(SUMIF('Q2 TB-19'!$H$6:$H$308,'Balance Sheets'!$J8,'Q2 TB-19'!$G$6:$G$308),0)</f>
        <v>128706</v>
      </c>
      <c r="R8" s="137">
        <f>ROUND(SUMIF('Q1 TB-19'!$H$6:$H$308,'Balance Sheets'!$J8,'Q1 TB-19'!$G$6:$G$308),0)</f>
        <v>179408</v>
      </c>
    </row>
    <row r="9" spans="2:20" x14ac:dyDescent="0.75">
      <c r="B9" s="125" t="s">
        <v>1097</v>
      </c>
      <c r="D9" s="137">
        <f>ROUND(SUMIF('Q4 TB-20'!$H$6:$H$308,'Balance Sheets'!$J9,'Q4 TB-20'!$G$6:$G$308),0)-D10</f>
        <v>93660</v>
      </c>
      <c r="E9" s="180"/>
      <c r="F9" s="137">
        <f>ROUND(SUMIF('Q4 TB-19'!$H$6:$H$308,'Balance Sheets'!$J9,'Q4 TB-19'!$G$6:$G$308),0)-F10</f>
        <v>44569</v>
      </c>
      <c r="G9" s="138"/>
      <c r="H9" s="139">
        <f>ROUND(SUMIF('PY TB-18'!$H$6:$H$308,'Balance Sheets'!$J9,'PY TB-18'!$G$6:$G$308),0)-H10</f>
        <v>27548</v>
      </c>
      <c r="I9" s="123"/>
      <c r="J9" s="124" t="s">
        <v>172</v>
      </c>
      <c r="K9" s="140">
        <f>H9-F9</f>
        <v>-17021</v>
      </c>
      <c r="M9" s="137">
        <f>ROUND(SUMIF('Q3 TB-20'!$H$6:$H$308,'Balance Sheets'!$J9,'Q3 TB-20'!$G$6:$G$308),0)</f>
        <v>245144</v>
      </c>
      <c r="N9" s="137">
        <f>ROUND(SUMIF('Q2 TB-20'!$H$6:$H$308,'Balance Sheets'!$J9,'Q2 TB-20'!$G$6:$G$308),0)</f>
        <v>234146</v>
      </c>
      <c r="O9" s="137">
        <f>ROUND(SUMIF('Q1 TB-20'!$H$6:$H$308,'Balance Sheets'!$J9,'Q1 TB-20'!$G$6:$G$308),0)</f>
        <v>216396</v>
      </c>
      <c r="P9" s="137">
        <f>ROUND(SUMIF('Q3 TB-19'!$H$6:$H$308,'Balance Sheets'!$J9,'Q3 TB-19'!$G$6:$G$308),0)</f>
        <v>177439</v>
      </c>
      <c r="Q9" s="137">
        <f>ROUND(SUMIF('Q2 TB-19'!$H$6:$H$308,'Balance Sheets'!$J9,'Q2 TB-19'!$G$6:$G$308),0)</f>
        <v>137031</v>
      </c>
      <c r="R9" s="137">
        <f>ROUND(SUMIF('Q1 TB-19'!$H$6:$H$308,'Balance Sheets'!$J9,'Q1 TB-19'!$G$6:$G$308),0)</f>
        <v>134200</v>
      </c>
    </row>
    <row r="10" spans="2:20" x14ac:dyDescent="0.75">
      <c r="B10" s="125" t="s">
        <v>407</v>
      </c>
      <c r="D10" s="137">
        <v>58250</v>
      </c>
      <c r="E10" s="180"/>
      <c r="F10" s="137">
        <v>129800</v>
      </c>
      <c r="G10" s="138"/>
      <c r="H10" s="139">
        <f>ROUND(SUMIF('PY TB-18'!$H$6:$H$308,'Balance Sheets'!$J10,'PY TB-18'!$G$6:$G$308),0)</f>
        <v>0</v>
      </c>
      <c r="I10" s="123"/>
      <c r="J10" s="124" t="s">
        <v>442</v>
      </c>
      <c r="K10" s="140">
        <f t="shared" ref="K10:K12" si="0">H10-F10</f>
        <v>-129800</v>
      </c>
      <c r="M10" s="137">
        <f>ROUND(SUMIF('Q3 TB-20'!$H$6:$H$308,'Balance Sheets'!$J10,'Q3 TB-20'!$G$6:$G$308),0)</f>
        <v>0</v>
      </c>
      <c r="N10" s="137">
        <f>ROUND(SUMIF('Q2 TB-20'!$H$6:$H$308,'Balance Sheets'!$J10,'Q2 TB-20'!$G$6:$G$308),0)</f>
        <v>0</v>
      </c>
      <c r="O10" s="137">
        <f>ROUND(SUMIF('Q1 TB-20'!$H$6:$H$308,'Balance Sheets'!$J10,'Q1 TB-20'!$G$6:$G$308),0)</f>
        <v>0</v>
      </c>
      <c r="P10" s="137">
        <f>ROUND(SUMIF('Q3 TB-19'!$H$6:$H$308,'Balance Sheets'!$J10,'Q3 TB-19'!$G$6:$G$308),0)</f>
        <v>0</v>
      </c>
      <c r="Q10" s="137">
        <f>ROUND(SUMIF('Q2 TB-19'!$H$6:$H$308,'Balance Sheets'!$J10,'Q2 TB-19'!$G$6:$G$308),0)</f>
        <v>0</v>
      </c>
      <c r="R10" s="137">
        <f>ROUND(SUMIF('Q1 TB-19'!$H$6:$H$308,'Balance Sheets'!$J10,'Q1 TB-19'!$G$6:$G$308),0)</f>
        <v>0</v>
      </c>
    </row>
    <row r="11" spans="2:20" x14ac:dyDescent="0.75">
      <c r="B11" s="125" t="s">
        <v>894</v>
      </c>
      <c r="D11" s="137">
        <f>ROUND(SUMIF('Q4 TB-20'!$H$6:$H$308,'Balance Sheets'!$J11,'Q4 TB-20'!$G$6:$G$308),0)</f>
        <v>35000</v>
      </c>
      <c r="E11" s="180"/>
      <c r="F11" s="137">
        <f>ROUND(SUMIF('Q4 TB-19'!$H$6:$H$308,'Balance Sheets'!$J11,'Q4 TB-19'!$G$6:$G$308),0)</f>
        <v>0</v>
      </c>
      <c r="G11" s="138"/>
      <c r="H11" s="139">
        <f>ROUND(SUMIF('PY TB-18'!$H$6:$H$308,'Balance Sheets'!$J11,'PY TB-18'!$G$6:$G$308),0)</f>
        <v>0</v>
      </c>
      <c r="I11" s="123"/>
      <c r="J11" s="124" t="s">
        <v>174</v>
      </c>
      <c r="K11" s="140">
        <f t="shared" si="0"/>
        <v>0</v>
      </c>
      <c r="M11" s="137">
        <f>ROUND(SUMIF('Q3 TB-20'!$H$6:$H$308,'Balance Sheets'!$J11,'Q3 TB-20'!$G$6:$G$308),0)</f>
        <v>82282</v>
      </c>
      <c r="N11" s="137">
        <f>ROUND(SUMIF('Q2 TB-20'!$H$6:$H$308,'Balance Sheets'!$J11,'Q2 TB-20'!$G$6:$G$308),0)</f>
        <v>68877</v>
      </c>
      <c r="O11" s="137">
        <f>ROUND(SUMIF('Q1 TB-20'!$H$6:$H$308,'Balance Sheets'!$J11,'Q1 TB-20'!$G$6:$G$308),0)</f>
        <v>-21989</v>
      </c>
      <c r="P11" s="137">
        <f>ROUND(SUMIF('Q3 TB-19'!$H$6:$H$308,'Balance Sheets'!$J11,'Q3 TB-19'!$G$6:$G$308),0)</f>
        <v>67459</v>
      </c>
      <c r="Q11" s="137">
        <f>ROUND(SUMIF('Q2 TB-19'!$H$6:$H$308,'Balance Sheets'!$J11,'Q2 TB-19'!$G$6:$G$308),0)</f>
        <v>51475</v>
      </c>
      <c r="R11" s="137">
        <f>ROUND(SUMIF('Q1 TB-19'!$H$6:$H$308,'Balance Sheets'!$J11,'Q1 TB-19'!$G$6:$G$308),0)</f>
        <v>41082</v>
      </c>
    </row>
    <row r="12" spans="2:20" x14ac:dyDescent="0.75">
      <c r="B12" s="125" t="s">
        <v>1098</v>
      </c>
      <c r="D12" s="137">
        <f>ROUND(SUMIF('Q4 TB-20'!$H$6:$H$308,'Balance Sheets'!$J12,'Q4 TB-20'!$G$6:$G$308),0)</f>
        <v>0</v>
      </c>
      <c r="E12" s="180"/>
      <c r="F12" s="137">
        <f>ROUND(SUMIF('Q4 TB-19'!$H$6:$H$308,'Balance Sheets'!$J12,'Q4 TB-19'!$G$6:$G$308),0)</f>
        <v>13000</v>
      </c>
      <c r="G12" s="138"/>
      <c r="H12" s="139">
        <f>ROUND(SUMIF('PY TB-18'!$H$6:$H$308,'Balance Sheets'!$J12,'PY TB-18'!$G$6:$G$308),0)</f>
        <v>16000</v>
      </c>
      <c r="I12" s="123"/>
      <c r="J12" s="124" t="s">
        <v>175</v>
      </c>
      <c r="K12" s="140">
        <f t="shared" si="0"/>
        <v>3000</v>
      </c>
      <c r="M12" s="137">
        <f>ROUND(SUMIF('Q3 TB-20'!$H$6:$H$308,'Balance Sheets'!$J12,'Q3 TB-20'!$G$6:$G$308),0)</f>
        <v>21250</v>
      </c>
      <c r="N12" s="137">
        <f>ROUND(SUMIF('Q2 TB-20'!$H$6:$H$308,'Balance Sheets'!$J12,'Q2 TB-20'!$G$6:$G$308),0)</f>
        <v>50000</v>
      </c>
      <c r="O12" s="137">
        <f>ROUND(SUMIF('Q1 TB-20'!$H$6:$H$308,'Balance Sheets'!$J12,'Q1 TB-20'!$G$6:$G$308),0)</f>
        <v>80750</v>
      </c>
      <c r="P12" s="137">
        <f>ROUND(SUMIF('Q3 TB-19'!$H$6:$H$308,'Balance Sheets'!$J12,'Q3 TB-19'!$G$6:$G$308),0)</f>
        <v>45042</v>
      </c>
      <c r="Q12" s="137">
        <f>ROUND(SUMIF('Q2 TB-19'!$H$6:$H$308,'Balance Sheets'!$J12,'Q2 TB-19'!$G$6:$G$308),0)</f>
        <v>54084</v>
      </c>
      <c r="R12" s="137">
        <f>ROUND(SUMIF('Q1 TB-19'!$H$6:$H$308,'Balance Sheets'!$J12,'Q1 TB-19'!$G$6:$G$308),0)</f>
        <v>42609</v>
      </c>
    </row>
    <row r="13" spans="2:20" x14ac:dyDescent="0.75">
      <c r="D13" s="141"/>
      <c r="E13" s="180"/>
      <c r="F13" s="141"/>
      <c r="G13" s="138"/>
      <c r="H13" s="142"/>
      <c r="I13" s="123"/>
      <c r="M13" s="141"/>
      <c r="N13" s="141"/>
      <c r="O13" s="141"/>
      <c r="P13" s="141"/>
      <c r="Q13" s="141"/>
      <c r="R13" s="141"/>
    </row>
    <row r="14" spans="2:20" x14ac:dyDescent="0.75">
      <c r="B14" s="125" t="s">
        <v>390</v>
      </c>
      <c r="D14" s="143">
        <f>SUM(D7:D12)</f>
        <v>484122</v>
      </c>
      <c r="E14" s="180"/>
      <c r="F14" s="143">
        <f t="shared" ref="F14" si="1">SUM(F7:F12)</f>
        <v>305993</v>
      </c>
      <c r="G14" s="138"/>
      <c r="H14" s="144">
        <f t="shared" ref="H14" si="2">SUM(H7:H12)</f>
        <v>436095</v>
      </c>
      <c r="I14" s="123"/>
      <c r="M14" s="143">
        <f>SUM(M7:M12)</f>
        <v>707837</v>
      </c>
      <c r="N14" s="143">
        <f t="shared" ref="N14:O14" si="3">SUM(N7:N12)</f>
        <v>669160</v>
      </c>
      <c r="O14" s="143">
        <f t="shared" si="3"/>
        <v>660002</v>
      </c>
      <c r="P14" s="143">
        <f>SUM(P7:P12)</f>
        <v>387665</v>
      </c>
      <c r="Q14" s="143">
        <f t="shared" ref="Q14:R14" si="4">SUM(Q7:Q12)</f>
        <v>371296</v>
      </c>
      <c r="R14" s="143">
        <f t="shared" si="4"/>
        <v>397299</v>
      </c>
      <c r="T14" s="140">
        <f>D14-D39</f>
        <v>-69078</v>
      </c>
    </row>
    <row r="15" spans="2:20" x14ac:dyDescent="0.75">
      <c r="D15" s="137"/>
      <c r="E15" s="180"/>
      <c r="F15" s="137"/>
      <c r="G15" s="138"/>
      <c r="H15" s="139"/>
      <c r="I15" s="123"/>
      <c r="M15" s="137"/>
      <c r="N15" s="137"/>
      <c r="O15" s="137"/>
      <c r="P15" s="137"/>
      <c r="Q15" s="137"/>
      <c r="R15" s="137"/>
    </row>
    <row r="16" spans="2:20" x14ac:dyDescent="0.75">
      <c r="B16" s="125" t="s">
        <v>391</v>
      </c>
      <c r="D16" s="137">
        <f>ROUND(SUMIF('Q4 TB-20'!$H$6:$H$308,'Balance Sheets'!$J16,'Q4 TB-20'!$G$6:$G$308),0)</f>
        <v>146440</v>
      </c>
      <c r="E16" s="180"/>
      <c r="F16" s="137">
        <f>ROUND(SUMIF('Q4 TB-19'!$H$6:$H$308,'Balance Sheets'!$J16,'Q4 TB-19'!$G$6:$G$308),0)</f>
        <v>196271</v>
      </c>
      <c r="G16" s="138"/>
      <c r="H16" s="139">
        <f>ROUND(SUMIF('PY TB-18'!$H$6:$H$308,'Balance Sheets'!$J16,'PY TB-18'!$G$6:$G$308),0)</f>
        <v>101216</v>
      </c>
      <c r="I16" s="123"/>
      <c r="J16" s="124" t="s">
        <v>173</v>
      </c>
      <c r="K16" s="140">
        <f t="shared" ref="K16:K18" si="5">H16-F16</f>
        <v>-95055</v>
      </c>
      <c r="M16" s="137">
        <f>ROUND(SUMIF('Q3 TB-20'!$H$6:$H$308,'Balance Sheets'!$J16,'Q3 TB-20'!$G$6:$G$308),0)</f>
        <v>161814</v>
      </c>
      <c r="N16" s="137">
        <f>ROUND(SUMIF('Q2 TB-20'!$H$6:$H$308,'Balance Sheets'!$J16,'Q2 TB-20'!$G$6:$G$308),0)</f>
        <v>161211</v>
      </c>
      <c r="O16" s="137">
        <f>ROUND(SUMIF('Q1 TB-20'!$H$6:$H$308,'Balance Sheets'!$J16,'Q1 TB-20'!$G$6:$G$308),0)</f>
        <v>180309</v>
      </c>
      <c r="P16" s="137">
        <f>ROUND(SUMIF('Q3 TB-19'!$H$6:$H$308,'Balance Sheets'!$J16,'Q3 TB-19'!$G$6:$G$308),0)</f>
        <v>99541</v>
      </c>
      <c r="Q16" s="137">
        <f>ROUND(SUMIF('Q2 TB-19'!$H$6:$H$308,'Balance Sheets'!$J16,'Q2 TB-19'!$G$6:$G$308),0)</f>
        <v>91285</v>
      </c>
      <c r="R16" s="137">
        <f>ROUND(SUMIF('Q1 TB-19'!$H$6:$H$308,'Balance Sheets'!$J16,'Q1 TB-19'!$G$6:$G$308),0)</f>
        <v>95494</v>
      </c>
    </row>
    <row r="17" spans="2:18" hidden="1" x14ac:dyDescent="0.75">
      <c r="B17" s="125" t="s">
        <v>408</v>
      </c>
      <c r="D17" s="137">
        <f>ROUND(SUMIF('Q4 TB-20'!$H$6:$H$308,'Balance Sheets'!$J17,'Q4 TB-20'!$G$6:$G$308),0)</f>
        <v>0</v>
      </c>
      <c r="E17" s="180"/>
      <c r="F17" s="137">
        <f>ROUND(SUMIF('Q4 TB-19'!$H$6:$H$308,'Balance Sheets'!$J17,'Q4 TB-19'!$G$6:$G$308),0)</f>
        <v>0</v>
      </c>
      <c r="G17" s="138"/>
      <c r="H17" s="139">
        <f>ROUND(SUMIF('PY TB-18'!$H$6:$H$308,'Balance Sheets'!$J17,'PY TB-18'!$G$6:$G$308),0)</f>
        <v>9754</v>
      </c>
      <c r="I17" s="123"/>
      <c r="J17" s="124" t="s">
        <v>176</v>
      </c>
      <c r="K17" s="140">
        <f t="shared" si="5"/>
        <v>9754</v>
      </c>
      <c r="L17" s="140"/>
      <c r="M17" s="137">
        <f>ROUND(SUMIF('Q3 TB-20'!$H$6:$H$308,'Balance Sheets'!$J17,'Q3 TB-20'!$G$6:$G$308),0)</f>
        <v>0</v>
      </c>
      <c r="N17" s="137">
        <f>ROUND(SUMIF('Q2 TB-20'!$H$6:$H$308,'Balance Sheets'!$J17,'Q2 TB-20'!$G$6:$G$308),0)</f>
        <v>0</v>
      </c>
      <c r="O17" s="137">
        <f>ROUND(SUMIF('Q1 TB-20'!$H$6:$H$308,'Balance Sheets'!$J17,'Q1 TB-20'!$G$6:$G$308),0)</f>
        <v>0</v>
      </c>
      <c r="P17" s="137">
        <f>ROUND(SUMIF('Q3 TB-19'!$H$6:$H$308,'Balance Sheets'!$J17,'Q3 TB-19'!$G$6:$G$308),0)</f>
        <v>31371</v>
      </c>
      <c r="Q17" s="137">
        <f>ROUND(SUMIF('Q2 TB-19'!$H$6:$H$308,'Balance Sheets'!$J17,'Q2 TB-19'!$G$6:$G$308),0)</f>
        <v>33314</v>
      </c>
      <c r="R17" s="137">
        <f>ROUND(SUMIF('Q1 TB-19'!$H$6:$H$308,'Balance Sheets'!$J17,'Q1 TB-19'!$G$6:$G$308),0)</f>
        <v>37220</v>
      </c>
    </row>
    <row r="18" spans="2:18" x14ac:dyDescent="0.75">
      <c r="B18" s="125" t="s">
        <v>1128</v>
      </c>
      <c r="D18" s="137">
        <f>ROUND(SUMIF('Q4 TB-20'!$H$6:$H$308,'Balance Sheets'!$J18,'Q4 TB-20'!$G$6:$G$308),0)</f>
        <v>394793</v>
      </c>
      <c r="E18" s="180"/>
      <c r="F18" s="137">
        <f>ROUND(SUMIF('Q4 TB-19'!$H$6:$H$308,'Balance Sheets'!$J18,'Q4 TB-19'!$G$6:$G$308),0)</f>
        <v>62155</v>
      </c>
      <c r="G18" s="138"/>
      <c r="H18" s="139">
        <f>ROUND(SUMIF('PY TB-18'!$H$6:$H$308,'Balance Sheets'!$J18,'PY TB-18'!$G$6:$G$308),0)</f>
        <v>0</v>
      </c>
      <c r="I18" s="123"/>
      <c r="J18" s="124" t="s">
        <v>922</v>
      </c>
      <c r="K18" s="140">
        <f t="shared" si="5"/>
        <v>-62155</v>
      </c>
      <c r="L18" s="140"/>
      <c r="M18" s="137">
        <f>ROUND(SUMIF('Q3 TB-20'!$H$6:$H$308,'Balance Sheets'!$J18,'Q3 TB-20'!$G$6:$G$308),0)</f>
        <v>411287</v>
      </c>
      <c r="N18" s="137">
        <f>ROUND(SUMIF('Q2 TB-20'!$H$6:$H$308,'Balance Sheets'!$J18,'Q2 TB-20'!$G$6:$G$308),0)</f>
        <v>50911</v>
      </c>
      <c r="O18" s="137">
        <f>ROUND(SUMIF('Q1 TB-20'!$H$6:$H$308,'Balance Sheets'!$J18,'Q1 TB-20'!$G$6:$G$308),0)</f>
        <v>56459</v>
      </c>
      <c r="P18" s="137">
        <f>ROUND(SUMIF('Q3 TB-19'!$H$6:$H$308,'Balance Sheets'!$J18,'Q3 TB-19'!$G$6:$G$308),0)</f>
        <v>68003</v>
      </c>
      <c r="Q18" s="137">
        <f>ROUND(SUMIF('Q2 TB-19'!$H$6:$H$308,'Balance Sheets'!$J18,'Q2 TB-19'!$G$6:$G$308),0)</f>
        <v>74007</v>
      </c>
      <c r="R18" s="137">
        <f>ROUND(SUMIF('Q1 TB-19'!$H$6:$H$308,'Balance Sheets'!$J18,'Q1 TB-19'!$G$6:$G$308),0)</f>
        <v>80171</v>
      </c>
    </row>
    <row r="19" spans="2:18" hidden="1" x14ac:dyDescent="0.75">
      <c r="B19" s="125" t="s">
        <v>409</v>
      </c>
      <c r="D19" s="137">
        <f>ROUND(SUMIF('Q4 TB-20'!$H$6:$H$308,'Balance Sheets'!$J19,'Q4 TB-20'!$G$6:$G$308),0)</f>
        <v>0</v>
      </c>
      <c r="E19" s="180"/>
      <c r="F19" s="137">
        <f>ROUND(SUMIF('Q4 TB-19'!$H$6:$H$308,'Balance Sheets'!$J19,'Q4 TB-19'!$G$6:$G$308),0)</f>
        <v>0</v>
      </c>
      <c r="G19" s="138"/>
      <c r="H19" s="139">
        <f>ROUND(SUMIF('PY TB-18'!$H$6:$H$308,'Balance Sheets'!$J19,'PY TB-18'!$G$6:$G$308),0)</f>
        <v>0</v>
      </c>
      <c r="I19" s="123"/>
      <c r="J19" s="124" t="s">
        <v>443</v>
      </c>
      <c r="M19" s="137">
        <f>ROUND(SUMIF('Q3 TB-20'!$H$6:$H$308,'Balance Sheets'!$J19,'Q3 TB-20'!$G$6:$G$308),0)</f>
        <v>0</v>
      </c>
      <c r="N19" s="137">
        <f>ROUND(SUMIF('Q2 TB-20'!$H$6:$H$308,'Balance Sheets'!$J19,'Q2 TB-20'!$G$6:$G$308),0)</f>
        <v>0</v>
      </c>
      <c r="O19" s="137">
        <f>ROUND(SUMIF('Q1 TB-20'!$H$6:$H$308,'Balance Sheets'!$J19,'Q1 TB-20'!$G$6:$G$308),0)</f>
        <v>0</v>
      </c>
      <c r="P19" s="137">
        <f>ROUND(SUMIF('Q3 TB-19'!$H$6:$H$308,'Balance Sheets'!$J19,'Q3 TB-19'!$G$6:$G$308),0)</f>
        <v>0</v>
      </c>
      <c r="Q19" s="137">
        <f>ROUND(SUMIF('Q2 TB-19'!$H$6:$H$308,'Balance Sheets'!$J19,'Q2 TB-19'!$G$6:$G$308),0)</f>
        <v>0</v>
      </c>
      <c r="R19" s="137">
        <f>ROUND(SUMIF('Q1 TB-19'!$H$6:$H$308,'Balance Sheets'!$J19,'Q1 TB-19'!$G$6:$G$308),0)</f>
        <v>0</v>
      </c>
    </row>
    <row r="20" spans="2:18" hidden="1" x14ac:dyDescent="0.75">
      <c r="B20" s="125" t="s">
        <v>410</v>
      </c>
      <c r="D20" s="137">
        <f>ROUND(SUMIF('Q4 TB-20'!$H$6:$H$308,'Balance Sheets'!$J20,'Q4 TB-20'!$G$6:$G$308),0)</f>
        <v>0</v>
      </c>
      <c r="E20" s="180"/>
      <c r="F20" s="137">
        <f>ROUND(SUMIF('Q4 TB-19'!$H$6:$H$308,'Balance Sheets'!$J20,'Q4 TB-19'!$G$6:$G$308),0)</f>
        <v>0</v>
      </c>
      <c r="G20" s="138"/>
      <c r="H20" s="139">
        <f>ROUND(SUMIF('PY TB-18'!$H$6:$H$308,'Balance Sheets'!$J20,'PY TB-18'!$G$6:$G$308),0)</f>
        <v>0</v>
      </c>
      <c r="I20" s="123"/>
      <c r="J20" s="124" t="s">
        <v>444</v>
      </c>
      <c r="L20" s="140"/>
      <c r="M20" s="137">
        <f>ROUND(SUMIF('Q3 TB-20'!$H$6:$H$308,'Balance Sheets'!$J20,'Q3 TB-20'!$G$6:$G$308),0)</f>
        <v>0</v>
      </c>
      <c r="N20" s="137">
        <f>ROUND(SUMIF('Q2 TB-20'!$H$6:$H$308,'Balance Sheets'!$J20,'Q2 TB-20'!$G$6:$G$308),0)</f>
        <v>0</v>
      </c>
      <c r="O20" s="137">
        <f>ROUND(SUMIF('Q1 TB-20'!$H$6:$H$308,'Balance Sheets'!$J20,'Q1 TB-20'!$G$6:$G$308),0)</f>
        <v>0</v>
      </c>
      <c r="P20" s="137">
        <f>ROUND(SUMIF('Q3 TB-19'!$H$6:$H$308,'Balance Sheets'!$J20,'Q3 TB-19'!$G$6:$G$308),0)</f>
        <v>0</v>
      </c>
      <c r="Q20" s="137">
        <f>ROUND(SUMIF('Q2 TB-19'!$H$6:$H$308,'Balance Sheets'!$J20,'Q2 TB-19'!$G$6:$G$308),0)</f>
        <v>0</v>
      </c>
      <c r="R20" s="137">
        <f>ROUND(SUMIF('Q1 TB-19'!$H$6:$H$308,'Balance Sheets'!$J20,'Q1 TB-19'!$G$6:$G$308),0)</f>
        <v>0</v>
      </c>
    </row>
    <row r="21" spans="2:18" x14ac:dyDescent="0.75">
      <c r="D21" s="141"/>
      <c r="E21" s="180"/>
      <c r="F21" s="141"/>
      <c r="G21" s="138"/>
      <c r="H21" s="142"/>
      <c r="I21" s="123"/>
      <c r="L21" s="140"/>
      <c r="M21" s="141"/>
      <c r="N21" s="141"/>
      <c r="O21" s="141"/>
      <c r="P21" s="141"/>
      <c r="Q21" s="141"/>
      <c r="R21" s="141"/>
    </row>
    <row r="22" spans="2:18" ht="16.5" thickBot="1" x14ac:dyDescent="0.9">
      <c r="B22" s="127" t="s">
        <v>392</v>
      </c>
      <c r="C22" s="177" t="s">
        <v>1135</v>
      </c>
      <c r="D22" s="145">
        <f t="shared" ref="D22:F22" si="6">SUM(D14:D21)</f>
        <v>1025355</v>
      </c>
      <c r="E22" s="180" t="s">
        <v>1135</v>
      </c>
      <c r="F22" s="145">
        <f t="shared" si="6"/>
        <v>564419</v>
      </c>
      <c r="G22" s="138"/>
      <c r="H22" s="146">
        <f t="shared" ref="H22" si="7">SUM(H14:H21)</f>
        <v>547065</v>
      </c>
      <c r="I22" s="123"/>
      <c r="M22" s="145">
        <f t="shared" ref="M22:O22" si="8">SUM(M14:M21)</f>
        <v>1280938</v>
      </c>
      <c r="N22" s="145">
        <f t="shared" si="8"/>
        <v>881282</v>
      </c>
      <c r="O22" s="145">
        <f t="shared" si="8"/>
        <v>896770</v>
      </c>
      <c r="P22" s="145">
        <f t="shared" ref="P22:R22" si="9">SUM(P14:P21)</f>
        <v>586580</v>
      </c>
      <c r="Q22" s="145">
        <f t="shared" si="9"/>
        <v>569902</v>
      </c>
      <c r="R22" s="145">
        <f t="shared" si="9"/>
        <v>610184</v>
      </c>
    </row>
    <row r="23" spans="2:18" ht="16.5" thickTop="1" x14ac:dyDescent="0.75">
      <c r="D23" s="137"/>
      <c r="E23" s="180"/>
      <c r="F23" s="137"/>
      <c r="G23" s="138"/>
      <c r="H23" s="139"/>
      <c r="I23" s="123"/>
      <c r="M23" s="137"/>
      <c r="N23" s="137"/>
      <c r="O23" s="137"/>
      <c r="P23" s="137"/>
      <c r="Q23" s="137"/>
      <c r="R23" s="137"/>
    </row>
    <row r="24" spans="2:18" x14ac:dyDescent="0.75">
      <c r="D24" s="137"/>
      <c r="E24" s="180"/>
      <c r="F24" s="137"/>
      <c r="G24" s="138"/>
      <c r="H24" s="139"/>
      <c r="I24" s="123"/>
      <c r="M24" s="137"/>
      <c r="N24" s="137"/>
      <c r="O24" s="137"/>
      <c r="P24" s="137"/>
      <c r="Q24" s="137"/>
      <c r="R24" s="137"/>
    </row>
    <row r="25" spans="2:18" x14ac:dyDescent="0.75">
      <c r="B25" s="127" t="s">
        <v>394</v>
      </c>
      <c r="D25" s="137"/>
      <c r="E25" s="180"/>
      <c r="F25" s="137"/>
      <c r="G25" s="138"/>
      <c r="H25" s="139"/>
      <c r="I25" s="123"/>
      <c r="M25" s="137"/>
      <c r="N25" s="137"/>
      <c r="O25" s="137"/>
      <c r="P25" s="137"/>
      <c r="Q25" s="137"/>
      <c r="R25" s="137"/>
    </row>
    <row r="26" spans="2:18" x14ac:dyDescent="0.75">
      <c r="D26" s="137"/>
      <c r="E26" s="180"/>
      <c r="F26" s="137"/>
      <c r="G26" s="138"/>
      <c r="H26" s="139"/>
      <c r="I26" s="123"/>
      <c r="M26" s="137"/>
      <c r="N26" s="137"/>
      <c r="O26" s="137"/>
      <c r="P26" s="137"/>
      <c r="Q26" s="137"/>
      <c r="R26" s="137"/>
    </row>
    <row r="27" spans="2:18" x14ac:dyDescent="0.75">
      <c r="B27" s="125" t="s">
        <v>452</v>
      </c>
      <c r="C27" s="177" t="s">
        <v>1135</v>
      </c>
      <c r="D27" s="137">
        <f>-ROUND(SUMIF('Q4 TB-20'!$H$6:$H$308,'Balance Sheets'!$J27,'Q4 TB-20'!$G$6:$G$308),0)-D28</f>
        <v>46392</v>
      </c>
      <c r="E27" s="180" t="s">
        <v>1135</v>
      </c>
      <c r="F27" s="137">
        <f>-ROUND(SUMIF('Q4 TB-19'!$H$6:$H$308,'Balance Sheets'!$J27,'Q4 TB-19'!$G$6:$G$308),0)-F28</f>
        <v>31667</v>
      </c>
      <c r="G27" s="138"/>
      <c r="H27" s="139">
        <f>-ROUND(SUMIF('PY TB-18'!$H$6:$H$308,'Balance Sheets'!$J27,'PY TB-18'!$G$6:$G$308),0)-H28</f>
        <v>40031</v>
      </c>
      <c r="I27" s="123"/>
      <c r="J27" s="124" t="s">
        <v>177</v>
      </c>
      <c r="K27" s="140">
        <f>F27-H27</f>
        <v>-8364</v>
      </c>
      <c r="M27" s="137">
        <f>-ROUND(SUMIF('Q3 TB-20'!$H$6:$H$308,'Balance Sheets'!$J27,'Q3 TB-20'!$G$6:$G$308),0)-M28</f>
        <v>52649</v>
      </c>
      <c r="N27" s="137">
        <f>-ROUND(SUMIF('Q2 TB-20'!$H$6:$H$308,'Balance Sheets'!$J27,'Q2 TB-20'!$G$6:$G$308),0)-N28</f>
        <v>97075</v>
      </c>
      <c r="O27" s="137">
        <f>-ROUND(SUMIF('Q1 TB-20'!$H$6:$H$308,'Balance Sheets'!$J27,'Q1 TB-20'!$G$6:$G$308),0)-O28</f>
        <v>15899</v>
      </c>
      <c r="P27" s="137">
        <f>-ROUND(SUMIF('Q3 TB-19'!$H$6:$H$308,'Balance Sheets'!$J27,'Q3 TB-19'!$G$6:$G$308),0)-P28</f>
        <v>79294</v>
      </c>
      <c r="Q27" s="137">
        <f>-ROUND(SUMIF('Q2 TB-19'!$H$6:$H$308,'Balance Sheets'!$J27,'Q2 TB-19'!$G$6:$G$308),0)-Q28</f>
        <v>76633</v>
      </c>
      <c r="R27" s="137">
        <f>-ROUND(SUMIF('Q1 TB-19'!$H$6:$H$308,'Balance Sheets'!$J27,'Q1 TB-19'!$G$6:$G$308),0)-R28</f>
        <v>78844</v>
      </c>
    </row>
    <row r="28" spans="2:18" x14ac:dyDescent="0.75">
      <c r="B28" s="125" t="s">
        <v>411</v>
      </c>
      <c r="D28" s="138">
        <v>32212</v>
      </c>
      <c r="E28" s="180"/>
      <c r="F28" s="138">
        <v>20456</v>
      </c>
      <c r="G28" s="138"/>
      <c r="H28" s="139">
        <v>9000</v>
      </c>
      <c r="I28" s="123"/>
      <c r="J28" s="124" t="s">
        <v>445</v>
      </c>
      <c r="K28" s="140">
        <f t="shared" ref="K28:K34" si="10">F28-H28</f>
        <v>11456</v>
      </c>
      <c r="M28" s="139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</row>
    <row r="29" spans="2:18" x14ac:dyDescent="0.75">
      <c r="B29" s="125" t="s">
        <v>412</v>
      </c>
      <c r="D29" s="137">
        <f>-ROUND(SUMIF('Q4 TB-20'!$H$6:$H$308,'Balance Sheets'!$J29,'Q4 TB-20'!$G$6:$G$308),0)-1-1-1</f>
        <v>165923</v>
      </c>
      <c r="E29" s="180"/>
      <c r="F29" s="137">
        <f>-ROUND(SUMIF('Q4 TB-19'!$H$6:$H$308,'Balance Sheets'!$J29,'Q4 TB-19'!$G$6:$G$308),0)-F32-1</f>
        <v>78340</v>
      </c>
      <c r="G29" s="138"/>
      <c r="H29" s="139">
        <f>-ROUND(SUMIF('PY TB-18'!$H$6:$H$308,'Balance Sheets'!$J29,'PY TB-18'!$G$6:$G$308),0)-H32-1</f>
        <v>45278</v>
      </c>
      <c r="I29" s="123"/>
      <c r="J29" s="124" t="s">
        <v>178</v>
      </c>
      <c r="K29" s="140">
        <f t="shared" si="10"/>
        <v>33062</v>
      </c>
      <c r="M29" s="137">
        <f>-ROUND(SUMIF('Q3 TB-20'!$H$6:$H$308,'Balance Sheets'!$J29,'Q3 TB-20'!$G$6:$G$308),0)+1+2</f>
        <v>102267</v>
      </c>
      <c r="N29" s="137">
        <f>-ROUND(SUMIF('Q2 TB-20'!$H$6:$H$308,'Balance Sheets'!$J29,'Q2 TB-20'!$G$6:$G$308),0)</f>
        <v>84210</v>
      </c>
      <c r="O29" s="137">
        <f>-ROUND(SUMIF('Q1 TB-20'!$H$6:$H$308,'Balance Sheets'!$J29,'Q1 TB-20'!$G$6:$G$308),0)-1</f>
        <v>78103</v>
      </c>
      <c r="P29" s="137">
        <f>-ROUND(SUMIF('Q3 TB-19'!$H$6:$H$308,'Balance Sheets'!$J29,'Q3 TB-19'!$G$6:$G$308),0)</f>
        <v>49342</v>
      </c>
      <c r="Q29" s="137">
        <f>-ROUND(SUMIF('Q2 TB-19'!$H$6:$H$308,'Balance Sheets'!$J29,'Q2 TB-19'!$G$6:$G$308),0)+2</f>
        <v>51759</v>
      </c>
      <c r="R29" s="137">
        <f>-ROUND(SUMIF('Q1 TB-19'!$H$6:$H$308,'Balance Sheets'!$J29,'Q1 TB-19'!$G$6:$G$308),0)-1</f>
        <v>43960</v>
      </c>
    </row>
    <row r="30" spans="2:18" x14ac:dyDescent="0.75">
      <c r="B30" s="125" t="s">
        <v>901</v>
      </c>
      <c r="D30" s="138">
        <v>44735</v>
      </c>
      <c r="E30" s="181"/>
      <c r="F30" s="138">
        <v>41193</v>
      </c>
      <c r="G30" s="138"/>
      <c r="H30" s="139">
        <v>21411</v>
      </c>
      <c r="I30" s="123"/>
      <c r="J30" s="124" t="s">
        <v>447</v>
      </c>
      <c r="K30" s="140">
        <f t="shared" si="10"/>
        <v>19782</v>
      </c>
      <c r="M30" s="138">
        <v>41193</v>
      </c>
      <c r="N30" s="138">
        <v>41193</v>
      </c>
      <c r="O30" s="138">
        <v>41193</v>
      </c>
      <c r="P30" s="139">
        <v>0</v>
      </c>
      <c r="Q30" s="139">
        <v>0</v>
      </c>
      <c r="R30" s="139">
        <v>0</v>
      </c>
    </row>
    <row r="31" spans="2:18" x14ac:dyDescent="0.75">
      <c r="B31" s="125" t="s">
        <v>1129</v>
      </c>
      <c r="D31" s="138">
        <v>61797</v>
      </c>
      <c r="E31" s="181"/>
      <c r="F31" s="138">
        <v>21910</v>
      </c>
      <c r="G31" s="138"/>
      <c r="H31" s="139">
        <v>0</v>
      </c>
      <c r="I31" s="123"/>
      <c r="J31" s="124" t="s">
        <v>447</v>
      </c>
      <c r="K31" s="140">
        <f t="shared" si="10"/>
        <v>21910</v>
      </c>
      <c r="M31" s="138">
        <v>21910</v>
      </c>
      <c r="N31" s="138">
        <v>21910</v>
      </c>
      <c r="O31" s="138">
        <v>21910</v>
      </c>
      <c r="P31" s="139"/>
      <c r="Q31" s="139"/>
      <c r="R31" s="139"/>
    </row>
    <row r="32" spans="2:18" hidden="1" x14ac:dyDescent="0.75">
      <c r="B32" s="125" t="s">
        <v>413</v>
      </c>
      <c r="D32" s="137">
        <f>-ROUND(SUMIF('Q4 TB-20'!$H$6:$H$308,'Balance Sheets'!$J32,'Q4 TB-20'!$G$6:$G$308),0)</f>
        <v>0</v>
      </c>
      <c r="E32" s="180"/>
      <c r="F32" s="137"/>
      <c r="G32" s="138"/>
      <c r="H32" s="139"/>
      <c r="I32" s="123"/>
      <c r="J32" s="124" t="s">
        <v>179</v>
      </c>
      <c r="K32" s="140">
        <f t="shared" si="10"/>
        <v>0</v>
      </c>
      <c r="M32" s="137">
        <f>-ROUND(SUMIF('Q3 TB-20'!$H$6:$H$308,'Balance Sheets'!$J32,'Q3 TB-20'!$G$6:$G$308),0)</f>
        <v>0</v>
      </c>
      <c r="N32" s="137">
        <f>-ROUND(SUMIF('Q2 TB-20'!$H$6:$H$308,'Balance Sheets'!$J32,'Q2 TB-20'!$G$6:$G$308),0)</f>
        <v>0</v>
      </c>
      <c r="O32" s="137">
        <f>-ROUND(SUMIF('Q1 TB-20'!$H$6:$H$308,'Balance Sheets'!$J32,'Q1 TB-20'!$G$6:$G$308),0)</f>
        <v>0</v>
      </c>
      <c r="P32" s="137">
        <f>-ROUND(SUMIF('Q3 TB-19'!$H$6:$H$308,'Balance Sheets'!$J32,'Q3 TB-19'!$G$6:$G$308),0)</f>
        <v>0</v>
      </c>
      <c r="Q32" s="137">
        <f>-ROUND(SUMIF('Q2 TB-19'!$H$6:$H$308,'Balance Sheets'!$J32,'Q2 TB-19'!$G$6:$G$308),0)</f>
        <v>0</v>
      </c>
      <c r="R32" s="137">
        <f>-ROUND(SUMIF('Q1 TB-19'!$H$6:$H$308,'Balance Sheets'!$J32,'Q1 TB-19'!$G$6:$G$308),0)</f>
        <v>0</v>
      </c>
    </row>
    <row r="33" spans="2:18" x14ac:dyDescent="0.75">
      <c r="B33" s="125" t="s">
        <v>866</v>
      </c>
      <c r="D33" s="137">
        <f>-ROUND(SUMIF('Q4 TB-20'!$H$6:$H$308,'Balance Sheets'!$J33,'Q4 TB-20'!$G$6:$G$308),0)-D34</f>
        <v>83251</v>
      </c>
      <c r="E33" s="180"/>
      <c r="F33" s="137">
        <f>-ROUND(SUMIF('Q4 TB-19'!$H$6:$H$308,'Balance Sheets'!$J33,'Q4 TB-19'!$G$6:$G$308),0)-F34</f>
        <v>45561</v>
      </c>
      <c r="G33" s="138"/>
      <c r="H33" s="139">
        <f>-ROUND(SUMIF('PY TB-18'!$H$6:$H$308,'Balance Sheets'!$J33,'PY TB-18'!$G$6:$G$308),0)-H34</f>
        <v>24673</v>
      </c>
      <c r="I33" s="123"/>
      <c r="J33" s="124" t="s">
        <v>182</v>
      </c>
      <c r="K33" s="140">
        <f t="shared" si="10"/>
        <v>20888</v>
      </c>
      <c r="M33" s="137">
        <f>-ROUND(SUMIF('Q3 TB-20'!$H$6:$H$308,'Balance Sheets'!$J33,'Q3 TB-20'!$G$6:$G$308),0)</f>
        <v>180186</v>
      </c>
      <c r="N33" s="137">
        <f>-ROUND(SUMIF('Q2 TB-20'!$H$6:$H$308,'Balance Sheets'!$J33,'Q2 TB-20'!$G$6:$G$308),0)</f>
        <v>158232</v>
      </c>
      <c r="O33" s="137">
        <f>-ROUND(SUMIF('Q1 TB-20'!$H$6:$H$308,'Balance Sheets'!$J33,'Q1 TB-20'!$G$6:$G$308),0)</f>
        <v>136754</v>
      </c>
      <c r="P33" s="137">
        <f>-ROUND(SUMIF('Q3 TB-19'!$H$6:$H$308,'Balance Sheets'!$J33,'Q3 TB-19'!$G$6:$G$308),0)</f>
        <v>710785</v>
      </c>
      <c r="Q33" s="137">
        <f>-ROUND(SUMIF('Q2 TB-19'!$H$6:$H$308,'Balance Sheets'!$J33,'Q2 TB-19'!$G$6:$G$308),0)</f>
        <v>681639</v>
      </c>
      <c r="R33" s="137">
        <f>-ROUND(SUMIF('Q1 TB-19'!$H$6:$H$308,'Balance Sheets'!$J33,'Q1 TB-19'!$G$6:$G$308),0)</f>
        <v>653320</v>
      </c>
    </row>
    <row r="34" spans="2:18" x14ac:dyDescent="0.75">
      <c r="B34" s="125" t="s">
        <v>1062</v>
      </c>
      <c r="D34" s="138">
        <f>89363+29527</f>
        <v>118890</v>
      </c>
      <c r="E34" s="180"/>
      <c r="F34" s="137">
        <f>46246+22993</f>
        <v>69239</v>
      </c>
      <c r="G34" s="138"/>
      <c r="H34" s="139">
        <v>8467</v>
      </c>
      <c r="I34" s="123"/>
      <c r="J34" s="124" t="s">
        <v>447</v>
      </c>
      <c r="K34" s="140">
        <f t="shared" si="10"/>
        <v>60772</v>
      </c>
      <c r="M34" s="137"/>
      <c r="N34" s="137"/>
      <c r="O34" s="137"/>
      <c r="P34" s="137"/>
      <c r="Q34" s="137"/>
      <c r="R34" s="137"/>
    </row>
    <row r="35" spans="2:18" hidden="1" x14ac:dyDescent="0.75">
      <c r="B35" s="125" t="s">
        <v>865</v>
      </c>
      <c r="D35" s="138">
        <f>-ROUND(SUMIF('Q4 TB-20'!$H$6:$H$308,'Balance Sheets'!$J35,'Q4 TB-20'!$G$6:$G$308),0)</f>
        <v>0</v>
      </c>
      <c r="E35" s="180"/>
      <c r="F35" s="137">
        <f>-ROUND(SUMIF('Q4 TB-19'!$H$6:$H$308,'Balance Sheets'!$J35,'Q4 TB-19'!$G$6:$G$308),0)</f>
        <v>0</v>
      </c>
      <c r="G35" s="138"/>
      <c r="H35" s="139">
        <f>-ROUND(SUMIF('PY TB-18'!$H$6:$H$308,'Balance Sheets'!$J35,'PY TB-18'!$G$6:$G$308),0)</f>
        <v>0</v>
      </c>
      <c r="I35" s="123"/>
      <c r="K35" s="140"/>
      <c r="M35" s="137">
        <f>-ROUND(SUMIF('Q3 TB-20'!$H$6:$H$308,'Balance Sheets'!$J35,'Q3 TB-20'!$G$6:$G$308),0)</f>
        <v>0</v>
      </c>
      <c r="N35" s="137">
        <f>-ROUND(SUMIF('Q2 TB-20'!$H$6:$H$308,'Balance Sheets'!$J35,'Q2 TB-20'!$G$6:$G$308),0)</f>
        <v>0</v>
      </c>
      <c r="O35" s="137">
        <f>-ROUND(SUMIF('Q1 TB-20'!$H$6:$H$308,'Balance Sheets'!$J35,'Q1 TB-20'!$G$6:$G$308),0)</f>
        <v>0</v>
      </c>
      <c r="P35" s="137">
        <f>-ROUND(SUMIF('Q3 TB-19'!$H$6:$H$308,'Balance Sheets'!$J35,'Q3 TB-19'!$G$6:$G$308),0)</f>
        <v>0</v>
      </c>
      <c r="Q35" s="137">
        <f>-ROUND(SUMIF('Q2 TB-19'!$H$6:$H$308,'Balance Sheets'!$J35,'Q2 TB-19'!$G$6:$G$308),0)</f>
        <v>0</v>
      </c>
      <c r="R35" s="137">
        <f>-ROUND(SUMIF('Q1 TB-19'!$H$6:$H$308,'Balance Sheets'!$J35,'Q1 TB-19'!$G$6:$G$308),0)</f>
        <v>0</v>
      </c>
    </row>
    <row r="36" spans="2:18" hidden="1" x14ac:dyDescent="0.75">
      <c r="B36" s="125" t="s">
        <v>1077</v>
      </c>
      <c r="D36" s="138">
        <f>-ROUND(SUMIF('Q4 TB-20'!$H$6:$H$308,'Balance Sheets'!$J36,'Q4 TB-20'!$G$6:$G$308),0)</f>
        <v>0</v>
      </c>
      <c r="E36" s="180"/>
      <c r="F36" s="137">
        <f>-ROUND(SUMIF('Q4 TB-19'!$H$6:$H$308,'Balance Sheets'!$J36,'Q4 TB-19'!$G$6:$G$308),0)</f>
        <v>0</v>
      </c>
      <c r="G36" s="138"/>
      <c r="H36" s="139">
        <f>-ROUND(SUMIF('PY TB-18'!$H$6:$H$308,'Balance Sheets'!$J36,'PY TB-18'!$G$6:$G$308),0)</f>
        <v>0</v>
      </c>
      <c r="I36" s="123"/>
      <c r="M36" s="137"/>
      <c r="N36" s="137"/>
      <c r="O36" s="137"/>
      <c r="P36" s="137"/>
      <c r="Q36" s="137"/>
      <c r="R36" s="137"/>
    </row>
    <row r="37" spans="2:18" hidden="1" x14ac:dyDescent="0.75">
      <c r="B37" s="125" t="s">
        <v>1078</v>
      </c>
      <c r="D37" s="138">
        <f>-ROUND(SUMIF('Q4 TB-20'!$H$6:$H$308,'Balance Sheets'!$J37,'Q4 TB-20'!$G$6:$G$308),0)</f>
        <v>0</v>
      </c>
      <c r="E37" s="180"/>
      <c r="F37" s="137">
        <f>-ROUND(SUMIF('Q4 TB-19'!$H$6:$H$308,'Balance Sheets'!$J37,'Q4 TB-19'!$G$6:$G$308),0)</f>
        <v>0</v>
      </c>
      <c r="G37" s="138"/>
      <c r="H37" s="139">
        <f>-ROUND(SUMIF('PY TB-18'!$H$6:$H$308,'Balance Sheets'!$J37,'PY TB-18'!$G$6:$G$308),0)</f>
        <v>0</v>
      </c>
      <c r="I37" s="123"/>
      <c r="M37" s="137"/>
      <c r="N37" s="137"/>
      <c r="O37" s="137"/>
      <c r="P37" s="137"/>
      <c r="Q37" s="137"/>
      <c r="R37" s="137"/>
    </row>
    <row r="38" spans="2:18" x14ac:dyDescent="0.75">
      <c r="D38" s="147"/>
      <c r="E38" s="180"/>
      <c r="F38" s="141"/>
      <c r="G38" s="138"/>
      <c r="H38" s="142"/>
      <c r="I38" s="123"/>
      <c r="M38" s="141"/>
      <c r="N38" s="141"/>
      <c r="O38" s="141"/>
      <c r="P38" s="141"/>
      <c r="Q38" s="141"/>
      <c r="R38" s="141"/>
    </row>
    <row r="39" spans="2:18" x14ac:dyDescent="0.75">
      <c r="B39" s="125" t="s">
        <v>1132</v>
      </c>
      <c r="D39" s="148">
        <f>SUM(D26:D38)</f>
        <v>553200</v>
      </c>
      <c r="E39" s="180"/>
      <c r="F39" s="143">
        <f>SUM(F26:F38)</f>
        <v>308366</v>
      </c>
      <c r="G39" s="138"/>
      <c r="H39" s="144">
        <f>SUM(H26:H38)</f>
        <v>148860</v>
      </c>
      <c r="I39" s="123"/>
      <c r="M39" s="143">
        <f t="shared" ref="M39:R39" si="11">SUM(M26:M38)</f>
        <v>398205</v>
      </c>
      <c r="N39" s="143">
        <f t="shared" si="11"/>
        <v>402620</v>
      </c>
      <c r="O39" s="143">
        <f t="shared" si="11"/>
        <v>293859</v>
      </c>
      <c r="P39" s="143">
        <f t="shared" si="11"/>
        <v>839421</v>
      </c>
      <c r="Q39" s="143">
        <f t="shared" si="11"/>
        <v>810031</v>
      </c>
      <c r="R39" s="143">
        <f t="shared" si="11"/>
        <v>776124</v>
      </c>
    </row>
    <row r="40" spans="2:18" x14ac:dyDescent="0.75">
      <c r="D40" s="147"/>
      <c r="E40" s="180"/>
      <c r="F40" s="141"/>
      <c r="G40" s="138"/>
      <c r="H40" s="142"/>
      <c r="I40" s="123"/>
      <c r="M40" s="141"/>
      <c r="N40" s="141"/>
      <c r="O40" s="141"/>
      <c r="P40" s="141"/>
      <c r="Q40" s="141"/>
      <c r="R40" s="141"/>
    </row>
    <row r="41" spans="2:18" hidden="1" x14ac:dyDescent="0.75">
      <c r="B41" s="125" t="s">
        <v>395</v>
      </c>
      <c r="D41" s="138">
        <f>-ROUND(SUMIF('Q4 TB-20'!$H$6:$H$308,'Balance Sheets'!$J41,'Q4 TB-20'!$G$6:$G$308),0)</f>
        <v>0</v>
      </c>
      <c r="E41" s="180"/>
      <c r="F41" s="137">
        <f>-ROUND(SUMIF('Q4 TB-19'!$H$6:$H$308,'Balance Sheets'!$J41,'Q4 TB-19'!$G$6:$G$308),0)</f>
        <v>0</v>
      </c>
      <c r="G41" s="138"/>
      <c r="H41" s="139">
        <f>-ROUND(SUMIF('PY TB-18'!$H$6:$H$308,'Balance Sheets'!$J41,'PY TB-18'!$G$6:$G$308),0)</f>
        <v>0</v>
      </c>
      <c r="I41" s="123"/>
      <c r="M41" s="137">
        <f>-ROUND(SUMIF('Q3 TB-20'!$H$6:$H$308,'Balance Sheets'!$J41,'Q3 TB-20'!$G$6:$G$308),0)</f>
        <v>0</v>
      </c>
      <c r="N41" s="137">
        <f>-ROUND(SUMIF('Q2 TB-20'!$H$6:$H$308,'Balance Sheets'!$J41,'Q2 TB-20'!$G$6:$G$308),0)</f>
        <v>0</v>
      </c>
      <c r="O41" s="137">
        <f>-ROUND(SUMIF('Q1 TB-20'!$H$6:$H$308,'Balance Sheets'!$J41,'Q1 TB-20'!$G$6:$G$308),0)</f>
        <v>0</v>
      </c>
      <c r="P41" s="137">
        <f>-ROUND(SUMIF('Q3 TB-19'!$H$6:$H$308,'Balance Sheets'!$J41,'Q3 TB-19'!$G$6:$G$308),0)</f>
        <v>0</v>
      </c>
      <c r="Q41" s="137">
        <f>-ROUND(SUMIF('Q2 TB-19'!$H$6:$H$308,'Balance Sheets'!$J41,'Q2 TB-19'!$G$6:$G$308),0)</f>
        <v>0</v>
      </c>
      <c r="R41" s="137">
        <f>-ROUND(SUMIF('Q1 TB-19'!$H$6:$H$308,'Balance Sheets'!$J41,'Q1 TB-19'!$G$6:$G$308),0)</f>
        <v>0</v>
      </c>
    </row>
    <row r="42" spans="2:18" x14ac:dyDescent="0.75">
      <c r="B42" s="125" t="s">
        <v>396</v>
      </c>
      <c r="D42" s="138">
        <f>-ROUND(SUMIF('Q4 TB-20'!$H$6:$H$308,'Balance Sheets'!$J42,'Q4 TB-20'!$G$6:$G$308),0)-D30</f>
        <v>98464</v>
      </c>
      <c r="E42" s="180"/>
      <c r="F42" s="137">
        <f>-ROUND(SUMIF('Q4 TB-19'!$H$6:$H$308,'Balance Sheets'!$J42,'Q4 TB-19'!$G$6:$G$308),0)-F30</f>
        <v>143199</v>
      </c>
      <c r="G42" s="138"/>
      <c r="H42" s="139">
        <f>-ROUND(SUMIF('PY TB-18'!$H$6:$H$308,'Balance Sheets'!$J42,'PY TB-18'!$G$6:$G$308),0)-H30</f>
        <v>52121</v>
      </c>
      <c r="I42" s="123"/>
      <c r="J42" s="124" t="s">
        <v>180</v>
      </c>
      <c r="K42" s="140">
        <f t="shared" ref="K42:K49" si="12">F42-H42</f>
        <v>91078</v>
      </c>
      <c r="M42" s="137">
        <f>-ROUND(SUMIF('Q3 TB-20'!$H$6:$H$308,'Balance Sheets'!$J42,'Q3 TB-20'!$G$6:$G$308),0)-M30</f>
        <v>112624</v>
      </c>
      <c r="N42" s="137">
        <f>-ROUND(SUMIF('Q2 TB-20'!$H$6:$H$308,'Balance Sheets'!$J42,'Q2 TB-20'!$G$6:$G$308),0)-N30</f>
        <v>123027</v>
      </c>
      <c r="O42" s="137">
        <f>-ROUND(SUMIF('Q1 TB-20'!$H$6:$H$308,'Balance Sheets'!$J42,'Q1 TB-20'!$G$6:$G$308),0)-O30</f>
        <v>133217</v>
      </c>
      <c r="P42" s="137">
        <f>-ROUND(SUMIF('Q3 TB-19'!$H$6:$H$308,'Balance Sheets'!$J42,'Q3 TB-19'!$G$6:$G$308),0)-P30</f>
        <v>76483</v>
      </c>
      <c r="Q42" s="137">
        <f>-ROUND(SUMIF('Q2 TB-19'!$H$6:$H$308,'Balance Sheets'!$J42,'Q2 TB-19'!$G$6:$G$308),0)-Q30</f>
        <v>62800</v>
      </c>
      <c r="R42" s="137">
        <f>-ROUND(SUMIF('Q1 TB-19'!$H$6:$H$308,'Balance Sheets'!$J42,'Q1 TB-19'!$G$6:$G$308),0)-R30</f>
        <v>69244</v>
      </c>
    </row>
    <row r="43" spans="2:18" x14ac:dyDescent="0.75">
      <c r="B43" s="125" t="s">
        <v>1099</v>
      </c>
      <c r="D43" s="138">
        <f>-ROUND(SUMIF('Q4 TB-20'!$H$6:$H$308,'Balance Sheets'!$J43,'Q4 TB-20'!$G$6:$G$308),0)-D31</f>
        <v>332996</v>
      </c>
      <c r="E43" s="180"/>
      <c r="F43" s="137">
        <f>-ROUND(SUMIF('Q4 TB-19'!$H$6:$H$308,'Balance Sheets'!$J43,'Q4 TB-19'!$G$6:$G$308),0)-F31</f>
        <v>40245</v>
      </c>
      <c r="G43" s="138"/>
      <c r="H43" s="139">
        <f>-ROUND(SUMIF('PY TB-18'!$H$6:$H$308,'Balance Sheets'!$J43,'PY TB-18'!$G$6:$G$308),0)-H31</f>
        <v>0</v>
      </c>
      <c r="I43" s="123"/>
      <c r="J43" s="124" t="s">
        <v>954</v>
      </c>
      <c r="K43" s="140">
        <f t="shared" si="12"/>
        <v>40245</v>
      </c>
      <c r="M43" s="137">
        <f>-ROUND(SUMIF('Q3 TB-20'!$H$6:$H$308,'Balance Sheets'!$J43,'Q3 TB-20'!$G$6:$G$308),0)-M31</f>
        <v>389377</v>
      </c>
      <c r="N43" s="137">
        <f>-ROUND(SUMIF('Q2 TB-20'!$H$6:$H$308,'Balance Sheets'!$J43,'Q2 TB-20'!$G$6:$G$308),0)-N31</f>
        <v>29001</v>
      </c>
      <c r="O43" s="137">
        <f>-ROUND(SUMIF('Q1 TB-20'!$H$6:$H$308,'Balance Sheets'!$J43,'Q1 TB-20'!$G$6:$G$308),0)-O31</f>
        <v>34549</v>
      </c>
      <c r="P43" s="137">
        <f>-ROUND(SUMIF('Q3 TB-19'!$H$6:$H$308,'Balance Sheets'!$J43,'Q3 TB-19'!$G$6:$G$308),0)-P31</f>
        <v>68003</v>
      </c>
      <c r="Q43" s="137">
        <f>-ROUND(SUMIF('Q2 TB-19'!$H$6:$H$308,'Balance Sheets'!$J43,'Q2 TB-19'!$G$6:$G$308),0)-Q31</f>
        <v>74007</v>
      </c>
      <c r="R43" s="137">
        <f>-ROUND(SUMIF('Q1 TB-19'!$H$6:$H$308,'Balance Sheets'!$J43,'Q1 TB-19'!$G$6:$G$308),0)-R31</f>
        <v>80171</v>
      </c>
    </row>
    <row r="44" spans="2:18" hidden="1" x14ac:dyDescent="0.75">
      <c r="B44" s="125" t="s">
        <v>397</v>
      </c>
      <c r="D44" s="138">
        <f>-ROUND(SUMIF('Q4 TB-20'!$H$6:$H$308,'Balance Sheets'!$J44,'Q4 TB-20'!$G$6:$G$308),0)</f>
        <v>0</v>
      </c>
      <c r="E44" s="180"/>
      <c r="F44" s="137">
        <f>-ROUND(SUMIF('Q4 TB-19'!$H$6:$H$308,'Balance Sheets'!$J44,'Q4 TB-19'!$G$6:$G$308),0)</f>
        <v>0</v>
      </c>
      <c r="G44" s="138"/>
      <c r="H44" s="139">
        <f>-ROUND(SUMIF('PY TB-18'!$H$6:$H$308,'Balance Sheets'!$J44,'PY TB-18'!$G$6:$G$308),0)</f>
        <v>0</v>
      </c>
      <c r="I44" s="123"/>
      <c r="K44" s="140">
        <f t="shared" si="12"/>
        <v>0</v>
      </c>
      <c r="M44" s="137">
        <f>-ROUND(SUMIF('Q3 TB-20'!$H$6:$H$308,'Balance Sheets'!$J44,'Q3 TB-20'!$G$6:$G$308),0)</f>
        <v>0</v>
      </c>
      <c r="N44" s="137">
        <f>-ROUND(SUMIF('Q2 TB-20'!$H$6:$H$308,'Balance Sheets'!$J44,'Q2 TB-20'!$G$6:$G$308),0)</f>
        <v>0</v>
      </c>
      <c r="O44" s="137">
        <f>-ROUND(SUMIF('Q1 TB-20'!$H$6:$H$308,'Balance Sheets'!$J44,'Q1 TB-20'!$G$6:$G$308),0)</f>
        <v>0</v>
      </c>
      <c r="P44" s="137">
        <f>-ROUND(SUMIF('Q3 TB-19'!$H$6:$H$308,'Balance Sheets'!$J44,'Q3 TB-19'!$G$6:$G$308),0)</f>
        <v>0</v>
      </c>
      <c r="Q44" s="137">
        <f>-ROUND(SUMIF('Q2 TB-19'!$H$6:$H$308,'Balance Sheets'!$J44,'Q2 TB-19'!$G$6:$G$308),0)</f>
        <v>0</v>
      </c>
      <c r="R44" s="137">
        <f>-ROUND(SUMIF('Q1 TB-19'!$H$6:$H$308,'Balance Sheets'!$J44,'Q1 TB-19'!$G$6:$G$308),0)</f>
        <v>0</v>
      </c>
    </row>
    <row r="45" spans="2:18" hidden="1" x14ac:dyDescent="0.75">
      <c r="B45" s="125" t="s">
        <v>398</v>
      </c>
      <c r="D45" s="138">
        <f>-ROUND(SUMIF('Q4 TB-20'!$H$6:$H$308,'Balance Sheets'!$J45,'Q4 TB-20'!$G$6:$G$308),0)</f>
        <v>0</v>
      </c>
      <c r="E45" s="180"/>
      <c r="F45" s="137">
        <f>-ROUND(SUMIF('Q4 TB-19'!$H$6:$H$308,'Balance Sheets'!$J45,'Q4 TB-19'!$G$6:$G$308),0)</f>
        <v>0</v>
      </c>
      <c r="G45" s="138"/>
      <c r="H45" s="139">
        <f>-ROUND(SUMIF('PY TB-18'!$H$6:$H$308,'Balance Sheets'!$J45,'PY TB-18'!$G$6:$G$308),0)</f>
        <v>0</v>
      </c>
      <c r="I45" s="123"/>
      <c r="K45" s="140">
        <f t="shared" si="12"/>
        <v>0</v>
      </c>
      <c r="M45" s="137">
        <f>-ROUND(SUMIF('Q3 TB-20'!$H$6:$H$308,'Balance Sheets'!$J45,'Q3 TB-20'!$G$6:$G$308),0)</f>
        <v>0</v>
      </c>
      <c r="N45" s="137">
        <f>-ROUND(SUMIF('Q2 TB-20'!$H$6:$H$308,'Balance Sheets'!$J45,'Q2 TB-20'!$G$6:$G$308),0)</f>
        <v>0</v>
      </c>
      <c r="O45" s="137">
        <f>-ROUND(SUMIF('Q1 TB-20'!$H$6:$H$308,'Balance Sheets'!$J45,'Q1 TB-20'!$G$6:$G$308),0)</f>
        <v>0</v>
      </c>
      <c r="P45" s="137">
        <f>-ROUND(SUMIF('Q3 TB-19'!$H$6:$H$308,'Balance Sheets'!$J45,'Q3 TB-19'!$G$6:$G$308),0)</f>
        <v>0</v>
      </c>
      <c r="Q45" s="137">
        <f>-ROUND(SUMIF('Q2 TB-19'!$H$6:$H$308,'Balance Sheets'!$J45,'Q2 TB-19'!$G$6:$G$308),0)</f>
        <v>0</v>
      </c>
      <c r="R45" s="137">
        <f>-ROUND(SUMIF('Q1 TB-19'!$H$6:$H$308,'Balance Sheets'!$J45,'Q1 TB-19'!$G$6:$G$308),0)</f>
        <v>0</v>
      </c>
    </row>
    <row r="46" spans="2:18" x14ac:dyDescent="0.75">
      <c r="B46" s="125" t="s">
        <v>1074</v>
      </c>
      <c r="D46" s="138">
        <f>-ROUND(SUMIF('Q4 TB-20'!$H$6:$H$308,'Balance Sheets'!$J46,'Q4 TB-20'!$G$6:$G$308),0)-D47</f>
        <v>260257</v>
      </c>
      <c r="E46" s="180"/>
      <c r="F46" s="137">
        <f>-ROUND(SUMIF('Q4 TB-19'!$H$6:$H$308,'Balance Sheets'!$J46,'Q4 TB-19'!$G$6:$G$308),0)-F47</f>
        <v>229118</v>
      </c>
      <c r="G46" s="138"/>
      <c r="H46" s="139">
        <f>-ROUND(SUMIF('PY TB-18'!$H$6:$H$308,'Balance Sheets'!$J46,'PY TB-18'!$G$6:$G$308),0)-H47</f>
        <v>237381</v>
      </c>
      <c r="I46" s="123"/>
      <c r="J46" s="124" t="s">
        <v>800</v>
      </c>
      <c r="K46" s="140">
        <f t="shared" si="12"/>
        <v>-8263</v>
      </c>
      <c r="M46" s="137">
        <f>-ROUND(SUMIF('Q3 TB-20'!$H$6:$H$308,'Balance Sheets'!$J46,'Q3 TB-20'!$G$6:$G$308),0)</f>
        <v>674162</v>
      </c>
      <c r="N46" s="137">
        <f>-ROUND(SUMIF('Q2 TB-20'!$H$6:$H$308,'Balance Sheets'!$J46,'Q2 TB-20'!$G$6:$G$308),0)</f>
        <v>636229</v>
      </c>
      <c r="O46" s="137">
        <f>-ROUND(SUMIF('Q1 TB-20'!$H$6:$H$308,'Balance Sheets'!$J46,'Q1 TB-20'!$G$6:$G$308),0)</f>
        <v>599121</v>
      </c>
      <c r="P46" s="137"/>
      <c r="Q46" s="137"/>
      <c r="R46" s="137"/>
    </row>
    <row r="47" spans="2:18" x14ac:dyDescent="0.75">
      <c r="B47" s="125" t="s">
        <v>1075</v>
      </c>
      <c r="D47" s="138">
        <f>316815+100023</f>
        <v>416838</v>
      </c>
      <c r="E47" s="180"/>
      <c r="F47" s="137">
        <f>219572+77498</f>
        <v>297070</v>
      </c>
      <c r="G47" s="138"/>
      <c r="H47" s="139">
        <v>144231</v>
      </c>
      <c r="I47" s="123"/>
      <c r="J47" s="124" t="s">
        <v>447</v>
      </c>
      <c r="K47" s="140">
        <f t="shared" si="12"/>
        <v>152839</v>
      </c>
      <c r="M47" s="137"/>
      <c r="N47" s="137"/>
      <c r="O47" s="137"/>
      <c r="P47" s="137"/>
      <c r="Q47" s="137"/>
      <c r="R47" s="137"/>
    </row>
    <row r="48" spans="2:18" x14ac:dyDescent="0.75">
      <c r="B48" s="125" t="s">
        <v>1072</v>
      </c>
      <c r="D48" s="138">
        <f>-ROUND(SUMIF('Q4 TB-20'!$H$6:$H$308,'Balance Sheets'!$J48,'Q4 TB-20'!$G$6:$G$308),0)</f>
        <v>767288</v>
      </c>
      <c r="E48" s="180"/>
      <c r="F48" s="137">
        <f>-ROUND(SUMIF('Q4 TB-19'!$H$6:$H$308,'Balance Sheets'!$J48,'Q4 TB-19'!$G$6:$G$308),0)</f>
        <v>730110</v>
      </c>
      <c r="G48" s="138"/>
      <c r="H48" s="139">
        <f>-ROUND(SUMIF('PY TB-18'!$H$6:$H$308,'Balance Sheets'!$J48,'PY TB-18'!$G$6:$G$308),0)</f>
        <v>663034</v>
      </c>
      <c r="I48" s="123"/>
      <c r="J48" s="124" t="s">
        <v>446</v>
      </c>
      <c r="K48" s="140">
        <f t="shared" si="12"/>
        <v>67076</v>
      </c>
      <c r="M48" s="137">
        <f>-ROUND(SUMIF('Q3 TB-20'!$H$6:$H$308,'Balance Sheets'!$J48,'Q3 TB-20'!$G$6:$G$308),0)</f>
        <v>696535</v>
      </c>
      <c r="N48" s="137">
        <f>-ROUND(SUMIF('Q2 TB-20'!$H$6:$H$308,'Balance Sheets'!$J48,'Q2 TB-20'!$G$6:$G$308),0)</f>
        <v>687189</v>
      </c>
      <c r="O48" s="137">
        <f>-ROUND(SUMIF('Q1 TB-20'!$H$6:$H$308,'Balance Sheets'!$J48,'Q1 TB-20'!$G$6:$G$308),0)</f>
        <v>678047</v>
      </c>
      <c r="P48" s="137"/>
      <c r="Q48" s="137"/>
      <c r="R48" s="137"/>
    </row>
    <row r="49" spans="2:18" x14ac:dyDescent="0.75">
      <c r="B49" s="125" t="s">
        <v>1073</v>
      </c>
      <c r="D49" s="138">
        <f>-ROUND(SUMIF('Q4 TB-20'!$H$6:$H$308,'Balance Sheets'!$J49,'Q4 TB-20'!$G$6:$G$308),0)</f>
        <v>1221958</v>
      </c>
      <c r="E49" s="180"/>
      <c r="F49" s="137">
        <f>-ROUND(SUMIF('Q4 TB-19'!$H$6:$H$308,'Balance Sheets'!$J49,'Q4 TB-19'!$G$6:$G$308),0)</f>
        <v>1221958</v>
      </c>
      <c r="G49" s="138"/>
      <c r="H49" s="139">
        <f>-ROUND(SUMIF('PY TB-18'!$H$6:$H$308,'Balance Sheets'!$J49,'PY TB-18'!$G$6:$G$308),0)</f>
        <v>1221958</v>
      </c>
      <c r="I49" s="123"/>
      <c r="J49" s="124" t="s">
        <v>181</v>
      </c>
      <c r="K49" s="140">
        <f t="shared" si="12"/>
        <v>0</v>
      </c>
      <c r="M49" s="137">
        <f>-ROUND(SUMIF('Q3 TB-20'!$H$6:$H$308,'Balance Sheets'!$J49,'Q3 TB-20'!$G$6:$G$308),0)</f>
        <v>1221958</v>
      </c>
      <c r="N49" s="137">
        <f>-ROUND(SUMIF('Q2 TB-20'!$H$6:$H$308,'Balance Sheets'!$J49,'Q2 TB-20'!$G$6:$G$308),0)</f>
        <v>1221958</v>
      </c>
      <c r="O49" s="137">
        <f>-ROUND(SUMIF('Q1 TB-20'!$H$6:$H$308,'Balance Sheets'!$J49,'Q1 TB-20'!$G$6:$G$308),0)</f>
        <v>1221958</v>
      </c>
      <c r="P49" s="137">
        <f>-ROUND(SUMIF('Q3 TB-19'!$H$6:$H$308,'Balance Sheets'!$J49,'Q3 TB-19'!$G$6:$G$308),0)</f>
        <v>1221958</v>
      </c>
      <c r="Q49" s="137">
        <f>-ROUND(SUMIF('Q2 TB-19'!$H$6:$H$308,'Balance Sheets'!$J49,'Q2 TB-19'!$G$6:$G$308),0)</f>
        <v>1221958</v>
      </c>
      <c r="R49" s="137">
        <f>-ROUND(SUMIF('Q1 TB-19'!$H$6:$H$308,'Balance Sheets'!$J49,'Q1 TB-19'!$G$6:$G$308),0)</f>
        <v>1221958</v>
      </c>
    </row>
    <row r="50" spans="2:18" x14ac:dyDescent="0.75">
      <c r="D50" s="147"/>
      <c r="E50" s="180"/>
      <c r="F50" s="141"/>
      <c r="G50" s="138"/>
      <c r="H50" s="142"/>
      <c r="I50" s="123"/>
      <c r="M50" s="141"/>
      <c r="N50" s="141"/>
      <c r="O50" s="141"/>
      <c r="P50" s="141"/>
      <c r="Q50" s="141"/>
      <c r="R50" s="141"/>
    </row>
    <row r="51" spans="2:18" x14ac:dyDescent="0.75">
      <c r="B51" s="125" t="s">
        <v>1133</v>
      </c>
      <c r="D51" s="148">
        <f>SUM(D40:D50)</f>
        <v>3097801</v>
      </c>
      <c r="E51" s="180"/>
      <c r="F51" s="143">
        <f>SUM(F40:F50)</f>
        <v>2661700</v>
      </c>
      <c r="G51" s="138"/>
      <c r="H51" s="144">
        <f>SUM(H40:H50)</f>
        <v>2318725</v>
      </c>
      <c r="I51" s="123"/>
      <c r="M51" s="143">
        <f>SUM(M40:M50)</f>
        <v>3094656</v>
      </c>
      <c r="N51" s="143">
        <f>SUM(N40:N50)</f>
        <v>2697404</v>
      </c>
      <c r="O51" s="143">
        <f>SUM(O40:O50)</f>
        <v>2666892</v>
      </c>
      <c r="P51" s="143">
        <f>SUM(P40:P45)</f>
        <v>144486</v>
      </c>
      <c r="Q51" s="143">
        <f>SUM(Q40:Q45)</f>
        <v>136807</v>
      </c>
      <c r="R51" s="143">
        <f>SUM(R40:R45)</f>
        <v>149415</v>
      </c>
    </row>
    <row r="52" spans="2:18" x14ac:dyDescent="0.75">
      <c r="D52" s="147"/>
      <c r="E52" s="180"/>
      <c r="F52" s="141"/>
      <c r="G52" s="138"/>
      <c r="H52" s="142"/>
      <c r="I52" s="123"/>
      <c r="M52" s="141"/>
      <c r="N52" s="141"/>
      <c r="O52" s="141"/>
      <c r="P52" s="141"/>
      <c r="Q52" s="141"/>
      <c r="R52" s="141"/>
    </row>
    <row r="53" spans="2:18" x14ac:dyDescent="0.75">
      <c r="B53" s="127" t="s">
        <v>1136</v>
      </c>
      <c r="C53" s="177" t="s">
        <v>1135</v>
      </c>
      <c r="D53" s="143">
        <f>D51+D39</f>
        <v>3651001</v>
      </c>
      <c r="E53" s="180" t="s">
        <v>1135</v>
      </c>
      <c r="F53" s="143">
        <f>F51+F39</f>
        <v>2970066</v>
      </c>
      <c r="G53" s="138"/>
      <c r="H53" s="144">
        <f>H51+H39</f>
        <v>2467585</v>
      </c>
      <c r="I53" s="123"/>
      <c r="M53" s="143">
        <f t="shared" ref="M53:R53" si="13">M51+M39</f>
        <v>3492861</v>
      </c>
      <c r="N53" s="143">
        <f t="shared" si="13"/>
        <v>3100024</v>
      </c>
      <c r="O53" s="143">
        <f t="shared" si="13"/>
        <v>2960751</v>
      </c>
      <c r="P53" s="143">
        <f t="shared" si="13"/>
        <v>983907</v>
      </c>
      <c r="Q53" s="143">
        <f t="shared" si="13"/>
        <v>946838</v>
      </c>
      <c r="R53" s="143">
        <f t="shared" si="13"/>
        <v>925539</v>
      </c>
    </row>
    <row r="54" spans="2:18" x14ac:dyDescent="0.75">
      <c r="D54" s="141"/>
      <c r="E54" s="180"/>
      <c r="F54" s="141"/>
      <c r="G54" s="138"/>
      <c r="H54" s="142"/>
      <c r="I54" s="123"/>
      <c r="M54" s="141"/>
      <c r="N54" s="141"/>
      <c r="O54" s="141"/>
      <c r="P54" s="141"/>
      <c r="Q54" s="141"/>
      <c r="R54" s="141"/>
    </row>
    <row r="55" spans="2:18" x14ac:dyDescent="0.75">
      <c r="D55" s="137"/>
      <c r="E55" s="180"/>
      <c r="F55" s="137"/>
      <c r="G55" s="138"/>
      <c r="H55" s="139"/>
      <c r="I55" s="123"/>
      <c r="M55" s="137"/>
      <c r="N55" s="137"/>
      <c r="O55" s="137"/>
      <c r="P55" s="137"/>
      <c r="Q55" s="137"/>
      <c r="R55" s="137"/>
    </row>
    <row r="56" spans="2:18" x14ac:dyDescent="0.75">
      <c r="B56" s="127" t="s">
        <v>1100</v>
      </c>
      <c r="D56" s="137"/>
      <c r="E56" s="180"/>
      <c r="F56" s="137"/>
      <c r="G56" s="138"/>
      <c r="H56" s="139"/>
      <c r="I56" s="123"/>
      <c r="M56" s="137"/>
      <c r="N56" s="137"/>
      <c r="O56" s="137"/>
      <c r="P56" s="137"/>
      <c r="Q56" s="137"/>
      <c r="R56" s="137"/>
    </row>
    <row r="57" spans="2:18" x14ac:dyDescent="0.75">
      <c r="D57" s="137"/>
      <c r="E57" s="180"/>
      <c r="F57" s="137"/>
      <c r="G57" s="138"/>
      <c r="H57" s="139"/>
      <c r="I57" s="123"/>
      <c r="M57" s="137"/>
      <c r="N57" s="137"/>
      <c r="O57" s="137"/>
      <c r="P57" s="137"/>
      <c r="Q57" s="137"/>
      <c r="R57" s="137"/>
    </row>
    <row r="58" spans="2:18" x14ac:dyDescent="0.75">
      <c r="B58" s="125" t="s">
        <v>1124</v>
      </c>
      <c r="D58" s="137"/>
      <c r="E58" s="180"/>
      <c r="F58" s="137"/>
      <c r="G58" s="138"/>
      <c r="H58" s="139"/>
      <c r="I58" s="123"/>
      <c r="M58" s="137"/>
      <c r="N58" s="137"/>
      <c r="O58" s="137"/>
      <c r="P58" s="137"/>
      <c r="Q58" s="137"/>
      <c r="R58" s="137"/>
    </row>
    <row r="59" spans="2:18" x14ac:dyDescent="0.75">
      <c r="B59" s="125" t="s">
        <v>1125</v>
      </c>
      <c r="D59" s="137">
        <f>-ROUND(SUMIF('Q4 TB-20'!$H$6:$H$308,'Balance Sheets'!$J59,'Q4 TB-20'!$G$6:$G$308),0)</f>
        <v>41</v>
      </c>
      <c r="E59" s="180"/>
      <c r="F59" s="137">
        <f>-ROUND(SUMIF('Q4 TB-19'!$H$6:$H$308,'Balance Sheets'!$J59,'Q4 TB-19'!$G$6:$G$308),0)</f>
        <v>0</v>
      </c>
      <c r="G59" s="138"/>
      <c r="H59" s="139">
        <f>-ROUND(SUMIF('PY TB-18'!$H$6:$H$308,'Balance Sheets'!$J59,'PY TB-18'!$G$6:$G$308),0)</f>
        <v>0</v>
      </c>
      <c r="I59" s="123"/>
      <c r="J59" s="124" t="s">
        <v>802</v>
      </c>
      <c r="K59" s="140">
        <f t="shared" ref="K59:K64" si="14">F59-H59</f>
        <v>0</v>
      </c>
      <c r="M59" s="137">
        <f>-ROUND(SUMIF('Q3 TB-20'!$H$6:$H$308,'Balance Sheets'!$J59,'Q3 TB-20'!$G$6:$G$308),0)</f>
        <v>39</v>
      </c>
      <c r="N59" s="137">
        <f>-ROUND(SUMIF('Q2 TB-20'!$H$6:$H$308,'Balance Sheets'!$J59,'Q2 TB-20'!$G$6:$G$308),0)</f>
        <v>24</v>
      </c>
      <c r="O59" s="137">
        <f>-ROUND(SUMIF('Q1 TB-20'!$H$6:$H$308,'Balance Sheets'!$J59,'Q1 TB-20'!$G$6:$G$308),0)</f>
        <v>125013</v>
      </c>
      <c r="P59" s="137">
        <f>-ROUND(SUMIF('Q3 TB-19'!$H$6:$H$308,'Balance Sheets'!$J59,'Q3 TB-19'!$G$6:$G$308),0)</f>
        <v>0</v>
      </c>
      <c r="Q59" s="137">
        <f>-ROUND(SUMIF('Q2 TB-19'!$H$6:$H$308,'Balance Sheets'!$J59,'Q2 TB-19'!$G$6:$G$308),0)</f>
        <v>0</v>
      </c>
      <c r="R59" s="137">
        <f>-ROUND(SUMIF('Q1 TB-19'!$H$6:$H$308,'Balance Sheets'!$J59,'Q1 TB-19'!$G$6:$G$308),0)</f>
        <v>0</v>
      </c>
    </row>
    <row r="60" spans="2:18" x14ac:dyDescent="0.75">
      <c r="B60" s="125" t="s">
        <v>1123</v>
      </c>
      <c r="D60" s="137"/>
      <c r="E60" s="180"/>
      <c r="F60" s="137"/>
      <c r="G60" s="138"/>
      <c r="H60" s="139"/>
      <c r="I60" s="123"/>
      <c r="K60" s="140"/>
      <c r="M60" s="137"/>
      <c r="N60" s="137"/>
      <c r="O60" s="137"/>
      <c r="P60" s="137"/>
      <c r="Q60" s="137"/>
      <c r="R60" s="137"/>
    </row>
    <row r="61" spans="2:18" x14ac:dyDescent="0.75">
      <c r="B61" s="125" t="s">
        <v>1130</v>
      </c>
      <c r="D61" s="137">
        <f>-ROUND(SUMIF('Q4 TB-20'!$H$6:$H$308,'Balance Sheets'!$J61,'Q4 TB-20'!$G$6:$G$308),0)</f>
        <v>46410</v>
      </c>
      <c r="E61" s="180"/>
      <c r="F61" s="137">
        <f>-ROUND(SUMIF('Q4 TB-19'!$H$6:$H$308,'Balance Sheets'!$J61,'Q4 TB-19'!$G$6:$G$308),0)</f>
        <v>46290</v>
      </c>
      <c r="G61" s="138"/>
      <c r="H61" s="139">
        <f>-ROUND(SUMIF('PY TB-18'!$H$6:$H$308,'Balance Sheets'!$J61,'PY TB-18'!$G$6:$G$308),0)</f>
        <v>46244</v>
      </c>
      <c r="I61" s="123"/>
      <c r="J61" s="124" t="s">
        <v>183</v>
      </c>
      <c r="K61" s="140">
        <f t="shared" si="14"/>
        <v>46</v>
      </c>
      <c r="M61" s="137">
        <f>-ROUND(SUMIF('Q3 TB-20'!$H$6:$H$308,'Balance Sheets'!$J61,'Q3 TB-20'!$G$6:$G$308),0)</f>
        <v>46290</v>
      </c>
      <c r="N61" s="137">
        <f>-ROUND(SUMIF('Q2 TB-20'!$H$6:$H$308,'Balance Sheets'!$J61,'Q2 TB-20'!$G$6:$G$308),0)</f>
        <v>46290</v>
      </c>
      <c r="O61" s="137">
        <f>-ROUND(SUMIF('Q1 TB-20'!$H$6:$H$308,'Balance Sheets'!$J61,'Q1 TB-20'!$G$6:$G$308),0)</f>
        <v>46290</v>
      </c>
      <c r="P61" s="137">
        <f>-ROUND(SUMIF('Q3 TB-19'!$H$6:$H$308,'Balance Sheets'!$J61,'Q3 TB-19'!$G$6:$G$308),0)</f>
        <v>46184</v>
      </c>
      <c r="Q61" s="137">
        <f>-ROUND(SUMIF('Q2 TB-19'!$H$6:$H$308,'Balance Sheets'!$J61,'Q2 TB-19'!$G$6:$G$308),0)</f>
        <v>46184</v>
      </c>
      <c r="R61" s="137">
        <f>-ROUND(SUMIF('Q1 TB-19'!$H$6:$H$308,'Balance Sheets'!$J61,'Q1 TB-19'!$G$6:$G$308),0)</f>
        <v>46184</v>
      </c>
    </row>
    <row r="62" spans="2:18" x14ac:dyDescent="0.75">
      <c r="B62" s="125" t="s">
        <v>399</v>
      </c>
      <c r="D62" s="137">
        <f>-ROUND(SUMIF('Q4 TB-20'!$H$6:$H$308,'Balance Sheets'!$J62,'Q4 TB-20'!$G$6:$G$308),0)</f>
        <v>8749607</v>
      </c>
      <c r="E62" s="180"/>
      <c r="F62" s="137">
        <f>-ROUND(SUMIF('Q4 TB-19'!$H$6:$H$308,'Balance Sheets'!$J62,'Q4 TB-19'!$G$6:$G$308),0)</f>
        <v>7407220</v>
      </c>
      <c r="G62" s="138"/>
      <c r="H62" s="139">
        <f>-ROUND(SUMIF('PY TB-18'!$H$6:$H$308,'Balance Sheets'!$J62,'PY TB-18'!$G$6:$G$308),0)</f>
        <v>7228587</v>
      </c>
      <c r="I62" s="123"/>
      <c r="J62" s="124" t="s">
        <v>184</v>
      </c>
      <c r="K62" s="140">
        <f t="shared" si="14"/>
        <v>178633</v>
      </c>
      <c r="M62" s="137">
        <f>-ROUND(SUMIF('Q3 TB-20'!$H$6:$H$308,'Balance Sheets'!$J62,'Q3 TB-20'!$G$6:$G$308),0)</f>
        <v>8601528</v>
      </c>
      <c r="N62" s="137">
        <f>-ROUND(SUMIF('Q2 TB-20'!$H$6:$H$308,'Balance Sheets'!$J62,'Q2 TB-20'!$G$6:$G$308),0)</f>
        <v>8183804</v>
      </c>
      <c r="O62" s="137">
        <f>-ROUND(SUMIF('Q1 TB-20'!$H$6:$H$308,'Balance Sheets'!$J62,'Q1 TB-20'!$G$6:$G$308),0)</f>
        <v>7871076</v>
      </c>
      <c r="P62" s="137">
        <f>-ROUND(SUMIF('Q3 TB-19'!$H$6:$H$308,'Balance Sheets'!$J62,'Q3 TB-19'!$G$6:$G$308),0)</f>
        <v>7367557</v>
      </c>
      <c r="Q62" s="137">
        <f>-ROUND(SUMIF('Q2 TB-19'!$H$6:$H$308,'Balance Sheets'!$J62,'Q2 TB-19'!$G$6:$G$308),0)</f>
        <v>7277687</v>
      </c>
      <c r="R62" s="137">
        <f>-ROUND(SUMIF('Q1 TB-19'!$H$6:$H$308,'Balance Sheets'!$J62,'Q1 TB-19'!$G$6:$G$308),0)</f>
        <v>7260317</v>
      </c>
    </row>
    <row r="63" spans="2:18" x14ac:dyDescent="0.75">
      <c r="B63" s="125" t="s">
        <v>932</v>
      </c>
      <c r="D63" s="137">
        <f>-ROUND(SUMIF('Q4 TB-20'!$H$6:$H$308,'Balance Sheets'!$J63,'Q4 TB-20'!$G$6:$G$308),0)</f>
        <v>-84000</v>
      </c>
      <c r="E63" s="180"/>
      <c r="F63" s="137">
        <f>-ROUND(SUMIF('Q4 TB-19'!$H$6:$H$308,'Balance Sheets'!$J63,'Q4 TB-19'!$G$6:$G$308),0)</f>
        <v>-84000</v>
      </c>
      <c r="G63" s="138"/>
      <c r="H63" s="139">
        <f>-ROUND(SUMIF('PY TB-18'!$H$6:$H$308,'Balance Sheets'!$J63,'PY TB-18'!$G$6:$G$308),0)</f>
        <v>-30000</v>
      </c>
      <c r="I63" s="123"/>
      <c r="J63" s="124" t="s">
        <v>934</v>
      </c>
      <c r="K63" s="140">
        <f t="shared" si="14"/>
        <v>-54000</v>
      </c>
      <c r="M63" s="137">
        <f>-ROUND(SUMIF('Q3 TB-20'!$H$6:$H$308,'Balance Sheets'!$J63,'Q3 TB-20'!$G$6:$G$308),0)</f>
        <v>-84000</v>
      </c>
      <c r="N63" s="137">
        <f>-ROUND(SUMIF('Q2 TB-20'!$H$6:$H$308,'Balance Sheets'!$J63,'Q2 TB-20'!$G$6:$G$308),0)</f>
        <v>-84000</v>
      </c>
      <c r="O63" s="137">
        <f>-ROUND(SUMIF('Q1 TB-20'!$H$6:$H$308,'Balance Sheets'!$J63,'Q1 TB-20'!$G$6:$G$308),0)</f>
        <v>-84000</v>
      </c>
      <c r="P63" s="137">
        <f>-ROUND(SUMIF('Q3 TB-19'!$H$6:$H$308,'Balance Sheets'!$J63,'Q3 TB-19'!$G$6:$G$308),0)</f>
        <v>-94000</v>
      </c>
      <c r="Q63" s="137">
        <f>-ROUND(SUMIF('Q2 TB-19'!$H$6:$H$308,'Balance Sheets'!$J63,'Q2 TB-19'!$G$6:$G$308),0)</f>
        <v>-94000</v>
      </c>
      <c r="R63" s="137">
        <f>-ROUND(SUMIF('Q1 TB-19'!$H$6:$H$308,'Balance Sheets'!$J63,'Q1 TB-19'!$G$6:$G$308),0)</f>
        <v>-94000</v>
      </c>
    </row>
    <row r="64" spans="2:18" x14ac:dyDescent="0.75">
      <c r="B64" s="125" t="s">
        <v>1081</v>
      </c>
      <c r="D64" s="137">
        <f>-ROUND(SUMIF('Q4 TB-20'!$H$6:$H$308,'Balance Sheets'!$J64,'Q4 TB-20'!$G$6:$G$308),0)+'Stmt of Ops FY-20 &amp; 19'!F28+1</f>
        <v>-11337704</v>
      </c>
      <c r="E64" s="180"/>
      <c r="F64" s="137">
        <f>-ROUND(SUMIF('Q4 TB-19'!$H$6:$H$308,'Balance Sheets'!$J64,'Q4 TB-19'!$G$6:$G$308),0)+'Stmt of Ops FY-19'!F28+1</f>
        <v>-9775157</v>
      </c>
      <c r="G64" s="138"/>
      <c r="H64" s="139">
        <f>-ROUND(SUMIF('PY TB-18'!$H$6:$H$308,'Balance Sheets'!$J64,'PY TB-18'!$G$6:$G$308),0)+'Stmt of Ops FY-19'!H28</f>
        <v>-9165351</v>
      </c>
      <c r="I64" s="123"/>
      <c r="J64" s="124" t="s">
        <v>185</v>
      </c>
      <c r="K64" s="140">
        <f t="shared" si="14"/>
        <v>-609806</v>
      </c>
      <c r="M64" s="137" t="e">
        <f>-ROUND(SUMIF('Q3 TB-20'!$H$6:$H$308,'Balance Sheets'!$J64,'Q3 TB-20'!$G$6:$G$308),0)+'Stmt of Ops FY-20 &amp; 19'!E33</f>
        <v>#REF!</v>
      </c>
      <c r="N64" s="137" t="e">
        <f>-ROUND(SUMIF('Q2 TB-20'!$H$6:$H$308,'Balance Sheets'!$J64,'Q2 TB-20'!$G$6:$G$308),0)+'Stmt of Ops FY-20 &amp; 19'!D33</f>
        <v>#REF!</v>
      </c>
      <c r="O64" s="137" t="e">
        <f>-ROUND(SUMIF('Q1 TB-20'!$H$6:$H$308,'Balance Sheets'!$J64,'Q1 TB-20'!$G$6:$G$308),0)+'Stmt of Ops FY-20 &amp; 19'!C33</f>
        <v>#REF!</v>
      </c>
      <c r="P64" s="137">
        <f>-ROUND(SUMIF('Q3 TB-19'!$H$6:$H$308,'Balance Sheets'!$J64,'Q3 TB-19'!$G$6:$G$308),0)+'Stmt of Ops FY-19'!E28</f>
        <v>-9418754</v>
      </c>
      <c r="Q64" s="137">
        <f>-ROUND(SUMIF('Q2 TB-19'!$H$6:$H$308,'Balance Sheets'!$J64,'Q2 TB-19'!$G$6:$G$308),0)+'Stmt of Ops FY-19'!D28</f>
        <v>-9277936</v>
      </c>
      <c r="R64" s="137">
        <f>-ROUND(SUMIF('Q1 TB-19'!$H$6:$H$308,'Balance Sheets'!$J64,'Q1 TB-19'!$G$6:$G$308),0)+'Stmt of Ops FY-19'!C28</f>
        <v>-9169573</v>
      </c>
    </row>
    <row r="65" spans="1:18" x14ac:dyDescent="0.75">
      <c r="D65" s="141"/>
      <c r="E65" s="180"/>
      <c r="F65" s="141"/>
      <c r="G65" s="138"/>
      <c r="H65" s="142"/>
      <c r="I65" s="123"/>
      <c r="M65" s="141"/>
      <c r="N65" s="141"/>
      <c r="O65" s="141"/>
      <c r="P65" s="141"/>
      <c r="Q65" s="141"/>
      <c r="R65" s="141"/>
    </row>
    <row r="66" spans="1:18" x14ac:dyDescent="0.75">
      <c r="B66" s="127" t="s">
        <v>1134</v>
      </c>
      <c r="D66" s="143">
        <f>SUM(D57:D64)</f>
        <v>-2625646</v>
      </c>
      <c r="E66" s="180"/>
      <c r="F66" s="143">
        <f t="shared" ref="F66:H66" si="15">SUM(F57:F64)</f>
        <v>-2405647</v>
      </c>
      <c r="G66" s="138"/>
      <c r="H66" s="144">
        <f t="shared" si="15"/>
        <v>-1920520</v>
      </c>
      <c r="I66" s="123"/>
      <c r="M66" s="143" t="e">
        <f>SUM(M57:M64)</f>
        <v>#REF!</v>
      </c>
      <c r="N66" s="143" t="e">
        <f t="shared" ref="N66:O66" si="16">SUM(N57:N64)</f>
        <v>#REF!</v>
      </c>
      <c r="O66" s="143" t="e">
        <f t="shared" si="16"/>
        <v>#REF!</v>
      </c>
      <c r="P66" s="143">
        <f>SUM(P57:P64)</f>
        <v>-2099013</v>
      </c>
      <c r="Q66" s="143">
        <f t="shared" ref="Q66:R66" si="17">SUM(Q57:Q64)</f>
        <v>-2048065</v>
      </c>
      <c r="R66" s="143">
        <f t="shared" si="17"/>
        <v>-1957072</v>
      </c>
    </row>
    <row r="67" spans="1:18" x14ac:dyDescent="0.75">
      <c r="D67" s="141"/>
      <c r="E67" s="180"/>
      <c r="F67" s="141"/>
      <c r="G67" s="138"/>
      <c r="H67" s="142"/>
      <c r="I67" s="123"/>
      <c r="M67" s="141"/>
      <c r="N67" s="141"/>
      <c r="O67" s="141"/>
      <c r="P67" s="141"/>
      <c r="Q67" s="141"/>
      <c r="R67" s="141"/>
    </row>
    <row r="68" spans="1:18" ht="16.5" thickBot="1" x14ac:dyDescent="0.9">
      <c r="B68" s="127" t="s">
        <v>1101</v>
      </c>
      <c r="C68" s="177" t="s">
        <v>1135</v>
      </c>
      <c r="D68" s="145">
        <f>D66+D53</f>
        <v>1025355</v>
      </c>
      <c r="E68" s="180" t="s">
        <v>1135</v>
      </c>
      <c r="F68" s="145">
        <f t="shared" ref="F68" si="18">F66+F53</f>
        <v>564419</v>
      </c>
      <c r="G68" s="138"/>
      <c r="H68" s="146">
        <f t="shared" ref="H68" si="19">H66+H53</f>
        <v>547065</v>
      </c>
      <c r="I68" s="123"/>
      <c r="M68" s="145" t="e">
        <f>M66+M53</f>
        <v>#REF!</v>
      </c>
      <c r="N68" s="145" t="e">
        <f t="shared" ref="N68:O68" si="20">N66+N53</f>
        <v>#REF!</v>
      </c>
      <c r="O68" s="145" t="e">
        <f t="shared" si="20"/>
        <v>#REF!</v>
      </c>
      <c r="P68" s="145">
        <f>P66+P53</f>
        <v>-1115106</v>
      </c>
      <c r="Q68" s="145">
        <f t="shared" ref="Q68:R68" si="21">Q66+Q53</f>
        <v>-1101227</v>
      </c>
      <c r="R68" s="145">
        <f t="shared" si="21"/>
        <v>-1031533</v>
      </c>
    </row>
    <row r="69" spans="1:18" ht="16.5" thickTop="1" x14ac:dyDescent="0.75">
      <c r="D69" s="137"/>
      <c r="E69" s="180"/>
      <c r="F69" s="137"/>
      <c r="G69" s="138"/>
      <c r="H69" s="139"/>
      <c r="I69" s="123"/>
      <c r="M69" s="137"/>
      <c r="N69" s="137"/>
      <c r="O69" s="137"/>
      <c r="P69" s="137"/>
      <c r="Q69" s="137"/>
      <c r="R69" s="137"/>
    </row>
    <row r="70" spans="1:18" x14ac:dyDescent="0.75">
      <c r="D70" s="137"/>
      <c r="E70" s="180"/>
      <c r="F70" s="137"/>
      <c r="G70" s="138"/>
      <c r="H70" s="139"/>
      <c r="I70" s="123"/>
      <c r="M70" s="137"/>
      <c r="N70" s="137"/>
      <c r="O70" s="137"/>
      <c r="P70" s="137"/>
      <c r="Q70" s="137"/>
      <c r="R70" s="137"/>
    </row>
    <row r="71" spans="1:18" x14ac:dyDescent="0.75">
      <c r="B71" s="193" t="s">
        <v>994</v>
      </c>
      <c r="C71" s="193"/>
      <c r="D71" s="193"/>
      <c r="E71" s="193"/>
      <c r="F71" s="193"/>
      <c r="G71" s="149"/>
      <c r="H71" s="150"/>
      <c r="I71" s="123"/>
      <c r="M71" s="137"/>
      <c r="N71" s="137"/>
      <c r="O71" s="137"/>
      <c r="P71" s="137"/>
      <c r="Q71" s="137"/>
      <c r="R71" s="137"/>
    </row>
    <row r="72" spans="1:18" x14ac:dyDescent="0.75">
      <c r="D72" s="137"/>
      <c r="E72" s="180"/>
      <c r="F72" s="137"/>
      <c r="G72" s="138"/>
      <c r="H72" s="139"/>
      <c r="I72" s="123"/>
      <c r="M72" s="137"/>
      <c r="N72" s="137"/>
      <c r="O72" s="137"/>
      <c r="P72" s="137"/>
      <c r="Q72" s="137"/>
      <c r="R72" s="137"/>
    </row>
    <row r="73" spans="1:18" x14ac:dyDescent="0.75">
      <c r="B73" s="194" t="s">
        <v>1094</v>
      </c>
      <c r="C73" s="194"/>
      <c r="D73" s="194"/>
      <c r="E73" s="194"/>
      <c r="F73" s="194"/>
      <c r="G73" s="149"/>
      <c r="H73" s="150"/>
      <c r="I73" s="123"/>
      <c r="M73" s="137"/>
      <c r="N73" s="137"/>
      <c r="O73" s="137"/>
      <c r="P73" s="137"/>
      <c r="Q73" s="137"/>
      <c r="R73" s="137"/>
    </row>
    <row r="74" spans="1:18" x14ac:dyDescent="0.75">
      <c r="D74" s="137"/>
      <c r="E74" s="180"/>
      <c r="F74" s="137"/>
      <c r="G74" s="138"/>
      <c r="H74" s="139"/>
      <c r="I74" s="123"/>
      <c r="M74" s="137"/>
      <c r="N74" s="137"/>
      <c r="O74" s="137"/>
      <c r="P74" s="137"/>
      <c r="Q74" s="137"/>
      <c r="R74" s="137"/>
    </row>
    <row r="75" spans="1:18" x14ac:dyDescent="0.75">
      <c r="A75" s="151"/>
      <c r="B75" s="151"/>
      <c r="C75" s="178"/>
      <c r="D75" s="152"/>
      <c r="E75" s="182"/>
      <c r="F75" s="152"/>
      <c r="G75" s="138"/>
      <c r="H75" s="152"/>
      <c r="I75" s="151"/>
      <c r="M75" s="137"/>
      <c r="N75" s="137"/>
      <c r="O75" s="137"/>
      <c r="P75" s="137"/>
      <c r="Q75" s="137"/>
      <c r="R75" s="137"/>
    </row>
    <row r="76" spans="1:18" x14ac:dyDescent="0.75">
      <c r="A76" s="151"/>
      <c r="B76" s="151"/>
      <c r="C76" s="178"/>
      <c r="D76" s="152">
        <f>D22-D68</f>
        <v>0</v>
      </c>
      <c r="E76" s="182"/>
      <c r="F76" s="152">
        <f>F22-F68</f>
        <v>0</v>
      </c>
      <c r="G76" s="138"/>
      <c r="H76" s="152">
        <f>H22-H68</f>
        <v>0</v>
      </c>
      <c r="I76" s="151"/>
      <c r="M76" s="137" t="e">
        <f t="shared" ref="M76:R76" si="22">M22-M68</f>
        <v>#REF!</v>
      </c>
      <c r="N76" s="137" t="e">
        <f t="shared" si="22"/>
        <v>#REF!</v>
      </c>
      <c r="O76" s="137" t="e">
        <f t="shared" si="22"/>
        <v>#REF!</v>
      </c>
      <c r="P76" s="137">
        <f t="shared" si="22"/>
        <v>1701686</v>
      </c>
      <c r="Q76" s="137">
        <f t="shared" si="22"/>
        <v>1671129</v>
      </c>
      <c r="R76" s="137">
        <f t="shared" si="22"/>
        <v>1641717</v>
      </c>
    </row>
    <row r="77" spans="1:18" x14ac:dyDescent="0.75">
      <c r="A77" s="151"/>
      <c r="B77" s="151"/>
      <c r="C77" s="178"/>
      <c r="D77" s="152"/>
      <c r="E77" s="183"/>
      <c r="F77" s="152"/>
      <c r="G77" s="138"/>
      <c r="H77" s="152"/>
      <c r="I77" s="151"/>
      <c r="M77" s="137"/>
      <c r="N77" s="137"/>
      <c r="O77" s="137"/>
      <c r="P77" s="137"/>
      <c r="Q77" s="137"/>
      <c r="R77" s="137"/>
    </row>
    <row r="78" spans="1:18" x14ac:dyDescent="0.75">
      <c r="D78" s="137"/>
      <c r="E78" s="184"/>
      <c r="F78" s="137"/>
      <c r="G78" s="138"/>
      <c r="H78" s="137"/>
      <c r="M78" s="137"/>
      <c r="N78" s="137"/>
      <c r="O78" s="137"/>
      <c r="P78" s="137"/>
      <c r="Q78" s="137"/>
      <c r="R78" s="137"/>
    </row>
    <row r="79" spans="1:18" x14ac:dyDescent="0.75">
      <c r="D79" s="137"/>
      <c r="E79" s="184"/>
      <c r="F79" s="137"/>
      <c r="G79" s="138"/>
      <c r="H79" s="137"/>
      <c r="M79" s="137"/>
      <c r="N79" s="137"/>
      <c r="O79" s="137"/>
      <c r="P79" s="137"/>
      <c r="Q79" s="137"/>
      <c r="R79" s="137"/>
    </row>
    <row r="80" spans="1:18" x14ac:dyDescent="0.75">
      <c r="D80" s="137"/>
      <c r="E80" s="184"/>
      <c r="F80" s="137"/>
      <c r="G80" s="138"/>
      <c r="H80" s="137"/>
    </row>
    <row r="81" spans="4:8" x14ac:dyDescent="0.75">
      <c r="D81" s="137"/>
      <c r="E81" s="184"/>
      <c r="F81" s="137"/>
      <c r="G81" s="138"/>
      <c r="H81" s="137"/>
    </row>
    <row r="82" spans="4:8" x14ac:dyDescent="0.75">
      <c r="D82" s="137"/>
      <c r="E82" s="184"/>
      <c r="F82" s="137"/>
      <c r="G82" s="138"/>
      <c r="H82" s="137"/>
    </row>
    <row r="83" spans="4:8" x14ac:dyDescent="0.75">
      <c r="D83" s="137"/>
      <c r="E83" s="184"/>
      <c r="F83" s="137"/>
      <c r="G83" s="138"/>
      <c r="H83" s="137"/>
    </row>
    <row r="84" spans="4:8" x14ac:dyDescent="0.75">
      <c r="D84" s="137"/>
      <c r="E84" s="184"/>
      <c r="F84" s="137"/>
      <c r="G84" s="138"/>
      <c r="H84" s="137"/>
    </row>
    <row r="85" spans="4:8" x14ac:dyDescent="0.75">
      <c r="D85" s="137"/>
      <c r="E85" s="184"/>
      <c r="F85" s="137"/>
      <c r="G85" s="138"/>
      <c r="H85" s="137"/>
    </row>
    <row r="86" spans="4:8" x14ac:dyDescent="0.75">
      <c r="D86" s="137"/>
      <c r="E86" s="184"/>
      <c r="F86" s="137"/>
      <c r="G86" s="138"/>
      <c r="H86" s="137"/>
    </row>
    <row r="87" spans="4:8" x14ac:dyDescent="0.75">
      <c r="D87" s="137"/>
      <c r="E87" s="184"/>
      <c r="F87" s="137"/>
      <c r="G87" s="138"/>
      <c r="H87" s="137"/>
    </row>
    <row r="88" spans="4:8" x14ac:dyDescent="0.75">
      <c r="D88" s="137"/>
      <c r="E88" s="184"/>
      <c r="F88" s="137"/>
      <c r="G88" s="138"/>
      <c r="H88" s="137"/>
    </row>
    <row r="89" spans="4:8" x14ac:dyDescent="0.75">
      <c r="D89" s="137"/>
      <c r="E89" s="184"/>
      <c r="F89" s="137"/>
      <c r="G89" s="138"/>
      <c r="H89" s="137"/>
    </row>
    <row r="90" spans="4:8" x14ac:dyDescent="0.75">
      <c r="D90" s="137"/>
      <c r="E90" s="184"/>
      <c r="F90" s="137"/>
      <c r="G90" s="138"/>
      <c r="H90" s="137"/>
    </row>
    <row r="91" spans="4:8" x14ac:dyDescent="0.75">
      <c r="D91" s="137"/>
      <c r="E91" s="184"/>
      <c r="F91" s="137"/>
      <c r="G91" s="138"/>
      <c r="H91" s="137"/>
    </row>
    <row r="92" spans="4:8" x14ac:dyDescent="0.75">
      <c r="D92" s="137"/>
      <c r="E92" s="184"/>
      <c r="F92" s="137"/>
      <c r="G92" s="138"/>
      <c r="H92" s="137"/>
    </row>
    <row r="93" spans="4:8" x14ac:dyDescent="0.75">
      <c r="D93" s="137"/>
      <c r="E93" s="184"/>
      <c r="F93" s="137"/>
      <c r="G93" s="138"/>
      <c r="H93" s="137"/>
    </row>
    <row r="94" spans="4:8" x14ac:dyDescent="0.75">
      <c r="D94" s="137"/>
      <c r="E94" s="184"/>
      <c r="F94" s="137"/>
      <c r="G94" s="138"/>
      <c r="H94" s="137"/>
    </row>
    <row r="95" spans="4:8" x14ac:dyDescent="0.75">
      <c r="D95" s="137"/>
      <c r="E95" s="184"/>
      <c r="F95" s="153"/>
      <c r="G95" s="138"/>
      <c r="H95" s="137"/>
    </row>
    <row r="96" spans="4:8" x14ac:dyDescent="0.75">
      <c r="D96" s="137"/>
      <c r="E96" s="184"/>
      <c r="F96" s="137"/>
      <c r="G96" s="138"/>
      <c r="H96" s="137"/>
    </row>
    <row r="97" spans="4:8" x14ac:dyDescent="0.75">
      <c r="D97" s="137"/>
      <c r="E97" s="184"/>
      <c r="F97" s="137"/>
      <c r="G97" s="138"/>
      <c r="H97" s="137"/>
    </row>
    <row r="98" spans="4:8" x14ac:dyDescent="0.75">
      <c r="D98" s="137"/>
      <c r="E98" s="184"/>
      <c r="F98" s="137"/>
      <c r="G98" s="138"/>
      <c r="H98" s="137"/>
    </row>
    <row r="99" spans="4:8" x14ac:dyDescent="0.75">
      <c r="D99" s="137"/>
      <c r="E99" s="184"/>
      <c r="F99" s="137"/>
      <c r="G99" s="138"/>
      <c r="H99" s="137"/>
    </row>
    <row r="100" spans="4:8" x14ac:dyDescent="0.75">
      <c r="D100" s="137"/>
      <c r="E100" s="184"/>
      <c r="F100" s="137"/>
      <c r="G100" s="138"/>
      <c r="H100" s="137"/>
    </row>
    <row r="101" spans="4:8" x14ac:dyDescent="0.75">
      <c r="D101" s="137"/>
      <c r="E101" s="184"/>
      <c r="F101" s="137"/>
      <c r="G101" s="138"/>
      <c r="H101" s="137"/>
    </row>
    <row r="102" spans="4:8" x14ac:dyDescent="0.75">
      <c r="D102" s="137"/>
      <c r="E102" s="184"/>
      <c r="F102" s="137"/>
      <c r="G102" s="138"/>
      <c r="H102" s="137"/>
    </row>
    <row r="103" spans="4:8" x14ac:dyDescent="0.75">
      <c r="D103" s="137"/>
      <c r="E103" s="184"/>
      <c r="F103" s="137"/>
      <c r="G103" s="138"/>
      <c r="H103" s="137"/>
    </row>
    <row r="104" spans="4:8" x14ac:dyDescent="0.75">
      <c r="D104" s="154"/>
      <c r="E104" s="184"/>
      <c r="F104" s="154"/>
      <c r="G104" s="138"/>
      <c r="H104" s="137"/>
    </row>
    <row r="105" spans="4:8" x14ac:dyDescent="0.75">
      <c r="D105" s="137"/>
      <c r="E105" s="184"/>
      <c r="F105" s="137"/>
      <c r="G105" s="138"/>
      <c r="H105" s="137"/>
    </row>
    <row r="106" spans="4:8" x14ac:dyDescent="0.75">
      <c r="D106" s="134"/>
      <c r="E106" s="185"/>
      <c r="F106" s="134"/>
      <c r="G106" s="135"/>
      <c r="H106" s="134"/>
    </row>
    <row r="107" spans="4:8" x14ac:dyDescent="0.75">
      <c r="D107" s="134"/>
      <c r="E107" s="185"/>
      <c r="F107" s="134"/>
      <c r="G107" s="135"/>
      <c r="H107" s="134"/>
    </row>
    <row r="108" spans="4:8" x14ac:dyDescent="0.75">
      <c r="D108" s="134"/>
      <c r="E108" s="185"/>
      <c r="F108" s="134"/>
      <c r="G108" s="135"/>
      <c r="H108" s="134"/>
    </row>
    <row r="109" spans="4:8" x14ac:dyDescent="0.75">
      <c r="D109" s="134"/>
      <c r="E109" s="185"/>
      <c r="F109" s="134"/>
      <c r="G109" s="135"/>
      <c r="H109" s="134"/>
    </row>
    <row r="110" spans="4:8" x14ac:dyDescent="0.75">
      <c r="D110" s="134"/>
      <c r="E110" s="185"/>
      <c r="F110" s="134"/>
      <c r="G110" s="135"/>
      <c r="H110" s="134"/>
    </row>
    <row r="111" spans="4:8" x14ac:dyDescent="0.75">
      <c r="D111" s="134"/>
      <c r="E111" s="185"/>
      <c r="F111" s="134"/>
      <c r="G111" s="135"/>
      <c r="H111" s="134"/>
    </row>
    <row r="112" spans="4:8" x14ac:dyDescent="0.75">
      <c r="D112" s="134"/>
      <c r="E112" s="185"/>
      <c r="F112" s="134"/>
      <c r="G112" s="135"/>
      <c r="H112" s="134"/>
    </row>
    <row r="113" spans="4:8" x14ac:dyDescent="0.75">
      <c r="D113" s="134"/>
      <c r="E113" s="185"/>
      <c r="F113" s="134"/>
      <c r="G113" s="135"/>
      <c r="H113" s="134"/>
    </row>
    <row r="114" spans="4:8" x14ac:dyDescent="0.75">
      <c r="D114" s="134"/>
      <c r="E114" s="185"/>
      <c r="F114" s="134"/>
      <c r="G114" s="135"/>
      <c r="H114" s="134"/>
    </row>
    <row r="115" spans="4:8" x14ac:dyDescent="0.75">
      <c r="D115" s="134"/>
      <c r="E115" s="185"/>
      <c r="F115" s="134"/>
      <c r="G115" s="135"/>
      <c r="H115" s="134"/>
    </row>
    <row r="116" spans="4:8" x14ac:dyDescent="0.75">
      <c r="D116" s="134"/>
      <c r="E116" s="185"/>
      <c r="F116" s="134"/>
      <c r="G116" s="135"/>
      <c r="H116" s="134"/>
    </row>
    <row r="117" spans="4:8" x14ac:dyDescent="0.75">
      <c r="D117" s="134"/>
      <c r="E117" s="185"/>
      <c r="F117" s="134"/>
      <c r="G117" s="135"/>
      <c r="H117" s="134"/>
    </row>
    <row r="118" spans="4:8" x14ac:dyDescent="0.75">
      <c r="D118" s="134"/>
      <c r="E118" s="185"/>
      <c r="F118" s="134"/>
      <c r="G118" s="135"/>
      <c r="H118" s="134"/>
    </row>
    <row r="119" spans="4:8" x14ac:dyDescent="0.75">
      <c r="D119" s="134"/>
      <c r="E119" s="185"/>
      <c r="F119" s="134"/>
      <c r="G119" s="135"/>
      <c r="H119" s="134"/>
    </row>
    <row r="120" spans="4:8" x14ac:dyDescent="0.75">
      <c r="D120" s="134"/>
      <c r="E120" s="185"/>
      <c r="F120" s="134"/>
      <c r="G120" s="135"/>
      <c r="H120" s="134"/>
    </row>
    <row r="121" spans="4:8" x14ac:dyDescent="0.75">
      <c r="D121" s="134"/>
      <c r="E121" s="185"/>
      <c r="F121" s="134"/>
      <c r="G121" s="135"/>
      <c r="H121" s="134"/>
    </row>
    <row r="122" spans="4:8" x14ac:dyDescent="0.75">
      <c r="D122" s="134"/>
      <c r="E122" s="185"/>
      <c r="F122" s="134"/>
      <c r="G122" s="135"/>
      <c r="H122" s="134"/>
    </row>
    <row r="123" spans="4:8" x14ac:dyDescent="0.75">
      <c r="D123" s="134"/>
      <c r="E123" s="185"/>
      <c r="F123" s="134"/>
      <c r="G123" s="135"/>
      <c r="H123" s="134"/>
    </row>
    <row r="124" spans="4:8" x14ac:dyDescent="0.75">
      <c r="D124" s="134"/>
      <c r="E124" s="185"/>
      <c r="F124" s="134"/>
      <c r="G124" s="135"/>
      <c r="H124" s="134"/>
    </row>
    <row r="125" spans="4:8" x14ac:dyDescent="0.75">
      <c r="D125" s="134"/>
      <c r="E125" s="185"/>
      <c r="F125" s="134"/>
      <c r="G125" s="135"/>
      <c r="H125" s="134"/>
    </row>
    <row r="126" spans="4:8" x14ac:dyDescent="0.75">
      <c r="D126" s="134"/>
      <c r="E126" s="185"/>
      <c r="F126" s="134"/>
      <c r="G126" s="135"/>
      <c r="H126" s="134"/>
    </row>
    <row r="127" spans="4:8" x14ac:dyDescent="0.75">
      <c r="D127" s="134"/>
      <c r="E127" s="185"/>
      <c r="F127" s="134"/>
      <c r="G127" s="135"/>
      <c r="H127" s="134"/>
    </row>
    <row r="128" spans="4:8" x14ac:dyDescent="0.75">
      <c r="D128" s="134"/>
      <c r="E128" s="185"/>
      <c r="F128" s="134"/>
      <c r="G128" s="135"/>
      <c r="H128" s="134"/>
    </row>
    <row r="129" spans="4:8" x14ac:dyDescent="0.75">
      <c r="D129" s="134"/>
      <c r="E129" s="185"/>
      <c r="F129" s="134"/>
      <c r="G129" s="135"/>
      <c r="H129" s="134"/>
    </row>
    <row r="130" spans="4:8" x14ac:dyDescent="0.75">
      <c r="D130" s="134"/>
      <c r="E130" s="185"/>
      <c r="F130" s="134"/>
      <c r="G130" s="135"/>
      <c r="H130" s="134"/>
    </row>
    <row r="131" spans="4:8" x14ac:dyDescent="0.75">
      <c r="D131" s="134"/>
      <c r="E131" s="185"/>
      <c r="F131" s="134"/>
      <c r="G131" s="135"/>
      <c r="H131" s="134"/>
    </row>
    <row r="132" spans="4:8" x14ac:dyDescent="0.75">
      <c r="D132" s="134"/>
      <c r="E132" s="185"/>
      <c r="F132" s="134"/>
      <c r="G132" s="135"/>
      <c r="H132" s="134"/>
    </row>
    <row r="133" spans="4:8" x14ac:dyDescent="0.75">
      <c r="D133" s="134"/>
      <c r="E133" s="185"/>
      <c r="F133" s="134"/>
      <c r="G133" s="135"/>
      <c r="H133" s="134"/>
    </row>
    <row r="134" spans="4:8" x14ac:dyDescent="0.75">
      <c r="D134" s="134"/>
      <c r="E134" s="185"/>
      <c r="F134" s="134"/>
      <c r="G134" s="135"/>
      <c r="H134" s="134"/>
    </row>
    <row r="135" spans="4:8" x14ac:dyDescent="0.75">
      <c r="D135" s="134"/>
      <c r="E135" s="185"/>
      <c r="F135" s="134"/>
      <c r="G135" s="135"/>
      <c r="H135" s="134"/>
    </row>
    <row r="136" spans="4:8" x14ac:dyDescent="0.75">
      <c r="D136" s="134"/>
      <c r="E136" s="185"/>
      <c r="F136" s="134"/>
      <c r="G136" s="135"/>
      <c r="H136" s="134"/>
    </row>
    <row r="137" spans="4:8" x14ac:dyDescent="0.75">
      <c r="D137" s="134"/>
      <c r="E137" s="185"/>
      <c r="F137" s="134"/>
      <c r="G137" s="135"/>
      <c r="H137" s="134"/>
    </row>
    <row r="138" spans="4:8" x14ac:dyDescent="0.75">
      <c r="D138" s="134"/>
      <c r="E138" s="185"/>
      <c r="F138" s="134"/>
      <c r="G138" s="135"/>
      <c r="H138" s="134"/>
    </row>
    <row r="139" spans="4:8" x14ac:dyDescent="0.75">
      <c r="D139" s="134"/>
      <c r="E139" s="185"/>
      <c r="F139" s="134"/>
      <c r="G139" s="135"/>
      <c r="H139" s="134"/>
    </row>
    <row r="140" spans="4:8" x14ac:dyDescent="0.75">
      <c r="D140" s="134"/>
      <c r="E140" s="185"/>
      <c r="F140" s="134"/>
      <c r="G140" s="135"/>
      <c r="H140" s="134"/>
    </row>
    <row r="141" spans="4:8" x14ac:dyDescent="0.75">
      <c r="D141" s="134"/>
      <c r="E141" s="185"/>
      <c r="F141" s="134"/>
      <c r="G141" s="135"/>
      <c r="H141" s="134"/>
    </row>
    <row r="142" spans="4:8" x14ac:dyDescent="0.75">
      <c r="D142" s="134"/>
      <c r="E142" s="185"/>
      <c r="F142" s="134"/>
      <c r="G142" s="135"/>
      <c r="H142" s="134"/>
    </row>
    <row r="143" spans="4:8" x14ac:dyDescent="0.75">
      <c r="D143" s="134"/>
      <c r="E143" s="185"/>
      <c r="F143" s="134"/>
      <c r="G143" s="135"/>
      <c r="H143" s="134"/>
    </row>
    <row r="144" spans="4:8" x14ac:dyDescent="0.75">
      <c r="D144" s="134"/>
      <c r="E144" s="185"/>
      <c r="F144" s="134"/>
      <c r="G144" s="135"/>
      <c r="H144" s="134"/>
    </row>
  </sheetData>
  <mergeCells count="4">
    <mergeCell ref="B1:F1"/>
    <mergeCell ref="B2:F2"/>
    <mergeCell ref="B71:F71"/>
    <mergeCell ref="B73:F73"/>
  </mergeCells>
  <pageMargins left="0.7" right="0.7" top="0.75" bottom="0.75" header="0.3" footer="0.3"/>
  <pageSetup scale="7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91AA4-6C33-4D18-B18A-2B34895AE31D}">
  <dimension ref="A2:AG178"/>
  <sheetViews>
    <sheetView workbookViewId="0">
      <pane xSplit="5" ySplit="9" topLeftCell="H11" activePane="bottomRight" state="frozen"/>
      <selection pane="topRight" activeCell="F1" sqref="F1"/>
      <selection pane="bottomLeft" activeCell="A10" sqref="A10"/>
      <selection pane="bottomRight" activeCell="H17" sqref="H17"/>
    </sheetView>
  </sheetViews>
  <sheetFormatPr defaultColWidth="9.1328125" defaultRowHeight="14.75" x14ac:dyDescent="0.75"/>
  <cols>
    <col min="1" max="2" width="4.7265625" style="86" customWidth="1"/>
    <col min="3" max="3" width="33.26953125" style="86" customWidth="1"/>
    <col min="4" max="5" width="14.54296875" style="86" customWidth="1"/>
    <col min="6" max="30" width="17.26953125" style="86" customWidth="1"/>
    <col min="31" max="31" width="5" style="86" customWidth="1"/>
    <col min="32" max="32" width="15.40625" style="86" customWidth="1"/>
    <col min="33" max="16384" width="9.1328125" style="86"/>
  </cols>
  <sheetData>
    <row r="2" spans="1:33" x14ac:dyDescent="0.75">
      <c r="C2" s="88"/>
      <c r="X2" s="75"/>
      <c r="Y2" s="75"/>
    </row>
    <row r="4" spans="1:33" x14ac:dyDescent="0.75">
      <c r="M4" s="35" t="s">
        <v>923</v>
      </c>
      <c r="R4" s="35" t="s">
        <v>902</v>
      </c>
      <c r="S4" s="35" t="s">
        <v>904</v>
      </c>
      <c r="T4" s="35" t="s">
        <v>906</v>
      </c>
      <c r="U4" s="35" t="s">
        <v>907</v>
      </c>
      <c r="V4" s="35" t="s">
        <v>909</v>
      </c>
      <c r="X4" s="35" t="s">
        <v>912</v>
      </c>
      <c r="Y4" s="35" t="s">
        <v>970</v>
      </c>
      <c r="Z4" s="35" t="s">
        <v>913</v>
      </c>
      <c r="AA4" s="35" t="s">
        <v>418</v>
      </c>
      <c r="AC4" s="35" t="s">
        <v>931</v>
      </c>
      <c r="AD4" s="35" t="s">
        <v>916</v>
      </c>
    </row>
    <row r="5" spans="1:33" x14ac:dyDescent="0.75">
      <c r="F5" s="35" t="s">
        <v>388</v>
      </c>
      <c r="G5" s="35" t="s">
        <v>892</v>
      </c>
      <c r="H5" s="35" t="s">
        <v>893</v>
      </c>
      <c r="I5" s="35" t="s">
        <v>894</v>
      </c>
      <c r="J5" s="35" t="s">
        <v>895</v>
      </c>
      <c r="K5" s="35" t="s">
        <v>896</v>
      </c>
      <c r="L5" s="35" t="s">
        <v>498</v>
      </c>
      <c r="M5" s="35" t="s">
        <v>924</v>
      </c>
      <c r="N5" s="35" t="s">
        <v>897</v>
      </c>
      <c r="O5" s="35" t="s">
        <v>898</v>
      </c>
      <c r="P5" s="35" t="s">
        <v>899</v>
      </c>
      <c r="Q5" s="35" t="s">
        <v>900</v>
      </c>
      <c r="R5" s="35" t="s">
        <v>903</v>
      </c>
      <c r="S5" s="35" t="s">
        <v>905</v>
      </c>
      <c r="T5" s="35" t="s">
        <v>1</v>
      </c>
      <c r="U5" s="35" t="s">
        <v>908</v>
      </c>
      <c r="V5" s="35" t="s">
        <v>910</v>
      </c>
      <c r="W5" s="35" t="s">
        <v>911</v>
      </c>
      <c r="X5" s="35" t="s">
        <v>905</v>
      </c>
      <c r="Y5" s="35" t="s">
        <v>972</v>
      </c>
      <c r="Z5" s="35" t="s">
        <v>914</v>
      </c>
      <c r="AA5" s="35" t="s">
        <v>914</v>
      </c>
      <c r="AB5" s="35" t="s">
        <v>915</v>
      </c>
      <c r="AC5" s="35" t="s">
        <v>914</v>
      </c>
      <c r="AD5" s="35" t="s">
        <v>917</v>
      </c>
    </row>
    <row r="6" spans="1:33" x14ac:dyDescent="0.75">
      <c r="E6" s="68">
        <f>'Balance Sheets'!$F$5</f>
        <v>43769</v>
      </c>
      <c r="F6" s="32">
        <f>'Balance Sheets'!$F$8</f>
        <v>118624</v>
      </c>
      <c r="G6" s="32">
        <f>'Balance Sheets'!$F$9</f>
        <v>44569</v>
      </c>
      <c r="H6" s="32">
        <f>'Balance Sheets'!$F$10</f>
        <v>129800</v>
      </c>
      <c r="I6" s="32">
        <f>'Balance Sheets'!$F$11</f>
        <v>0</v>
      </c>
      <c r="J6" s="32">
        <f>'Balance Sheets'!$F$12</f>
        <v>13000</v>
      </c>
      <c r="K6" s="32">
        <f>'Balance Sheets'!$F$16</f>
        <v>196271</v>
      </c>
      <c r="L6" s="32">
        <f>'Balance Sheets'!$F$17</f>
        <v>0</v>
      </c>
      <c r="M6" s="32">
        <f>'Balance Sheets'!$F$18</f>
        <v>62155</v>
      </c>
      <c r="N6" s="32">
        <f>'Balance Sheets'!$F$19</f>
        <v>0</v>
      </c>
      <c r="O6" s="32">
        <f>'Balance Sheets'!$F$20</f>
        <v>0</v>
      </c>
      <c r="P6" s="32">
        <f>-'Balance Sheets'!$F$27</f>
        <v>-31667</v>
      </c>
      <c r="Q6" s="32">
        <f>-'Balance Sheets'!$F$28</f>
        <v>-20456</v>
      </c>
      <c r="R6" s="32">
        <f>-'Balance Sheets'!$F$29</f>
        <v>-78340</v>
      </c>
      <c r="S6" s="32">
        <f>-'Balance Sheets'!$F$30</f>
        <v>-41193</v>
      </c>
      <c r="T6" s="32">
        <f>-'Balance Sheets'!$F$32</f>
        <v>0</v>
      </c>
      <c r="U6" s="32">
        <f>-'Balance Sheets'!$F$33</f>
        <v>-45561</v>
      </c>
      <c r="V6" s="32" t="e">
        <f>-'Balance Sheets'!#REF!</f>
        <v>#REF!</v>
      </c>
      <c r="W6" s="32">
        <f>-'Balance Sheets'!$F$35</f>
        <v>0</v>
      </c>
      <c r="X6" s="32">
        <f>-'Balance Sheets'!$F$42</f>
        <v>-143199</v>
      </c>
      <c r="Y6" s="32">
        <f>-'Balance Sheets'!$F$43</f>
        <v>-40245</v>
      </c>
      <c r="Z6" s="32">
        <f>-'Balance Sheets'!$F$59</f>
        <v>0</v>
      </c>
      <c r="AA6" s="32">
        <f>-'Balance Sheets'!$F$61</f>
        <v>-46290</v>
      </c>
      <c r="AB6" s="32">
        <f>-'Balance Sheets'!$F$62</f>
        <v>-7407220</v>
      </c>
      <c r="AC6" s="32">
        <f>-'Balance Sheets'!$F$63</f>
        <v>84000</v>
      </c>
      <c r="AD6" s="32">
        <f>-'Balance Sheets'!$F$64</f>
        <v>9775157</v>
      </c>
      <c r="AE6" s="32"/>
      <c r="AF6" s="32" t="e">
        <f>SUM(F6:AE6)</f>
        <v>#REF!</v>
      </c>
      <c r="AG6" s="32"/>
    </row>
    <row r="7" spans="1:33" x14ac:dyDescent="0.75">
      <c r="E7" s="68">
        <f>'Balance Sheets'!$M$5</f>
        <v>44043</v>
      </c>
      <c r="F7" s="32">
        <f>'Balance Sheets'!$M$8</f>
        <v>359161</v>
      </c>
      <c r="G7" s="32">
        <f>'Balance Sheets'!$M$9</f>
        <v>245144</v>
      </c>
      <c r="H7" s="32">
        <f>'Balance Sheets'!$M$10</f>
        <v>0</v>
      </c>
      <c r="I7" s="32">
        <f>'Balance Sheets'!$M$11</f>
        <v>82282</v>
      </c>
      <c r="J7" s="32">
        <f>'Balance Sheets'!$M$12</f>
        <v>21250</v>
      </c>
      <c r="K7" s="32">
        <f>'Balance Sheets'!$M$16</f>
        <v>161814</v>
      </c>
      <c r="L7" s="32">
        <f>'Balance Sheets'!$M$17</f>
        <v>0</v>
      </c>
      <c r="M7" s="32">
        <f>'Balance Sheets'!$M$18</f>
        <v>411287</v>
      </c>
      <c r="N7" s="32">
        <f>'Balance Sheets'!$M$19</f>
        <v>0</v>
      </c>
      <c r="O7" s="32">
        <f>'Balance Sheets'!$M$20</f>
        <v>0</v>
      </c>
      <c r="P7" s="32">
        <f>-'Balance Sheets'!$M$27</f>
        <v>-52649</v>
      </c>
      <c r="Q7" s="32">
        <f>-'Balance Sheets'!$M$28</f>
        <v>0</v>
      </c>
      <c r="R7" s="32">
        <f>-'Balance Sheets'!$M$29</f>
        <v>-102267</v>
      </c>
      <c r="S7" s="32">
        <f>-'Balance Sheets'!$M$30</f>
        <v>-41193</v>
      </c>
      <c r="T7" s="32">
        <f>-'Balance Sheets'!$M$32</f>
        <v>0</v>
      </c>
      <c r="U7" s="32">
        <f>-'Balance Sheets'!$M$33</f>
        <v>-180186</v>
      </c>
      <c r="V7" s="32" t="e">
        <f>-'Balance Sheets'!#REF!</f>
        <v>#REF!</v>
      </c>
      <c r="W7" s="32">
        <f>-'Balance Sheets'!$M$35</f>
        <v>0</v>
      </c>
      <c r="X7" s="32">
        <f>-'Balance Sheets'!$M$42</f>
        <v>-112624</v>
      </c>
      <c r="Y7" s="32">
        <f>-'Balance Sheets'!$M$43</f>
        <v>-389377</v>
      </c>
      <c r="Z7" s="32">
        <f>-'Balance Sheets'!$M$59</f>
        <v>-39</v>
      </c>
      <c r="AA7" s="32">
        <f>-'Balance Sheets'!$M$61</f>
        <v>-46290</v>
      </c>
      <c r="AB7" s="32">
        <f>-'Balance Sheets'!$M$62</f>
        <v>-8601528</v>
      </c>
      <c r="AC7" s="32">
        <f>-'Balance Sheets'!$M$63</f>
        <v>84000</v>
      </c>
      <c r="AD7" s="32" t="e">
        <f>-'Balance Sheets'!$M$64</f>
        <v>#REF!</v>
      </c>
      <c r="AE7" s="32"/>
      <c r="AF7" s="32" t="e">
        <f>SUM(F7:AE7)</f>
        <v>#REF!</v>
      </c>
      <c r="AG7" s="32"/>
    </row>
    <row r="8" spans="1:33" x14ac:dyDescent="0.75">
      <c r="F8" s="69">
        <f>F7-F6</f>
        <v>240537</v>
      </c>
      <c r="G8" s="69">
        <f>G6-G7</f>
        <v>-200575</v>
      </c>
      <c r="H8" s="69">
        <f t="shared" ref="H8:AD8" si="0">H6-H7</f>
        <v>129800</v>
      </c>
      <c r="I8" s="69">
        <f t="shared" si="0"/>
        <v>-82282</v>
      </c>
      <c r="J8" s="69">
        <f t="shared" si="0"/>
        <v>-8250</v>
      </c>
      <c r="K8" s="69">
        <f t="shared" si="0"/>
        <v>34457</v>
      </c>
      <c r="L8" s="69">
        <f t="shared" si="0"/>
        <v>0</v>
      </c>
      <c r="M8" s="69">
        <f t="shared" si="0"/>
        <v>-349132</v>
      </c>
      <c r="N8" s="69">
        <f t="shared" si="0"/>
        <v>0</v>
      </c>
      <c r="O8" s="69">
        <f t="shared" si="0"/>
        <v>0</v>
      </c>
      <c r="P8" s="69">
        <f t="shared" si="0"/>
        <v>20982</v>
      </c>
      <c r="Q8" s="69">
        <f t="shared" si="0"/>
        <v>-20456</v>
      </c>
      <c r="R8" s="69">
        <f t="shared" si="0"/>
        <v>23927</v>
      </c>
      <c r="S8" s="69">
        <f t="shared" si="0"/>
        <v>0</v>
      </c>
      <c r="T8" s="69">
        <f t="shared" si="0"/>
        <v>0</v>
      </c>
      <c r="U8" s="69">
        <f t="shared" si="0"/>
        <v>134625</v>
      </c>
      <c r="V8" s="69" t="e">
        <f t="shared" si="0"/>
        <v>#REF!</v>
      </c>
      <c r="W8" s="69">
        <f t="shared" si="0"/>
        <v>0</v>
      </c>
      <c r="X8" s="69">
        <f t="shared" si="0"/>
        <v>-30575</v>
      </c>
      <c r="Y8" s="69">
        <f t="shared" si="0"/>
        <v>349132</v>
      </c>
      <c r="Z8" s="69">
        <f t="shared" si="0"/>
        <v>39</v>
      </c>
      <c r="AA8" s="69">
        <f t="shared" si="0"/>
        <v>0</v>
      </c>
      <c r="AB8" s="69">
        <f t="shared" si="0"/>
        <v>1194308</v>
      </c>
      <c r="AC8" s="69">
        <f t="shared" si="0"/>
        <v>0</v>
      </c>
      <c r="AD8" s="69" t="e">
        <f t="shared" si="0"/>
        <v>#REF!</v>
      </c>
      <c r="AE8" s="32"/>
      <c r="AF8" s="32"/>
      <c r="AG8" s="32"/>
    </row>
    <row r="9" spans="1:33" x14ac:dyDescent="0.75"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1:33" x14ac:dyDescent="0.75">
      <c r="A10" s="86" t="s">
        <v>879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</row>
    <row r="11" spans="1:33" x14ac:dyDescent="0.75">
      <c r="B11" s="86" t="s">
        <v>880</v>
      </c>
      <c r="E11" s="70" t="e">
        <f t="shared" ref="E11:E29" si="1">SUM(F11:AE11)</f>
        <v>#REF!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 t="e">
        <f>AD8</f>
        <v>#REF!</v>
      </c>
      <c r="AE11" s="32"/>
      <c r="AF11" s="32"/>
      <c r="AG11" s="32"/>
    </row>
    <row r="12" spans="1:33" x14ac:dyDescent="0.75">
      <c r="E12" s="70">
        <f t="shared" si="1"/>
        <v>0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</row>
    <row r="13" spans="1:33" x14ac:dyDescent="0.75">
      <c r="B13" s="86" t="s">
        <v>881</v>
      </c>
      <c r="E13" s="70">
        <f t="shared" si="1"/>
        <v>0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</row>
    <row r="14" spans="1:33" x14ac:dyDescent="0.75">
      <c r="C14" s="86" t="s">
        <v>882</v>
      </c>
      <c r="E14" s="70">
        <f t="shared" si="1"/>
        <v>54985</v>
      </c>
      <c r="F14" s="32"/>
      <c r="G14" s="32"/>
      <c r="H14" s="32"/>
      <c r="I14" s="32"/>
      <c r="J14" s="32"/>
      <c r="K14" s="32">
        <f>ROUND('Q3 TB-20'!G161,0)</f>
        <v>54985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 x14ac:dyDescent="0.75">
      <c r="C15" s="86" t="s">
        <v>883</v>
      </c>
      <c r="E15" s="70">
        <f t="shared" si="1"/>
        <v>0</v>
      </c>
      <c r="F15" s="32"/>
      <c r="G15" s="32"/>
      <c r="H15" s="32"/>
      <c r="I15" s="32"/>
      <c r="J15" s="32"/>
      <c r="K15" s="32"/>
      <c r="L15" s="32">
        <f>ROUND('Q3 TB-20'!G150,0)</f>
        <v>0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</row>
    <row r="16" spans="1:33" x14ac:dyDescent="0.75">
      <c r="C16" s="86" t="s">
        <v>884</v>
      </c>
      <c r="E16" s="70">
        <f t="shared" si="1"/>
        <v>0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</row>
    <row r="17" spans="1:33" x14ac:dyDescent="0.75">
      <c r="E17" s="70">
        <f t="shared" si="1"/>
        <v>0</v>
      </c>
      <c r="F17" s="32"/>
      <c r="G17" s="32"/>
      <c r="H17" s="32"/>
      <c r="I17" s="32"/>
      <c r="J17" s="32"/>
      <c r="K17" s="32"/>
      <c r="L17" s="32"/>
      <c r="M17" s="32">
        <f>M8</f>
        <v>-349132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>
        <f>Y8</f>
        <v>349132</v>
      </c>
      <c r="Z17" s="32"/>
      <c r="AA17" s="32"/>
      <c r="AB17" s="32"/>
      <c r="AC17" s="32"/>
      <c r="AD17" s="32"/>
      <c r="AE17" s="32"/>
      <c r="AF17" s="32"/>
      <c r="AG17" s="32"/>
    </row>
    <row r="18" spans="1:33" x14ac:dyDescent="0.75">
      <c r="B18" s="86" t="s">
        <v>885</v>
      </c>
      <c r="E18" s="70">
        <f t="shared" si="1"/>
        <v>0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</row>
    <row r="19" spans="1:33" x14ac:dyDescent="0.75">
      <c r="C19" s="86" t="s">
        <v>886</v>
      </c>
      <c r="E19" s="70">
        <f t="shared" si="1"/>
        <v>-200575</v>
      </c>
      <c r="F19" s="32"/>
      <c r="G19" s="32">
        <f>G8</f>
        <v>-200575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</row>
    <row r="20" spans="1:33" x14ac:dyDescent="0.75">
      <c r="C20" s="86" t="s">
        <v>887</v>
      </c>
      <c r="E20" s="70">
        <f t="shared" si="1"/>
        <v>129800</v>
      </c>
      <c r="F20" s="32"/>
      <c r="G20" s="32"/>
      <c r="H20" s="32">
        <f>H8</f>
        <v>129800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</row>
    <row r="21" spans="1:33" x14ac:dyDescent="0.75">
      <c r="C21" s="86" t="s">
        <v>894</v>
      </c>
      <c r="E21" s="70">
        <f t="shared" si="1"/>
        <v>-82282</v>
      </c>
      <c r="F21" s="32"/>
      <c r="G21" s="32"/>
      <c r="H21" s="32"/>
      <c r="I21" s="32">
        <f>I8</f>
        <v>-82282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</row>
    <row r="22" spans="1:33" x14ac:dyDescent="0.75">
      <c r="C22" s="86" t="s">
        <v>888</v>
      </c>
      <c r="E22" s="70">
        <f t="shared" si="1"/>
        <v>-8250</v>
      </c>
      <c r="F22" s="32"/>
      <c r="G22" s="32"/>
      <c r="H22" s="32"/>
      <c r="I22" s="32"/>
      <c r="J22" s="32">
        <f>J8</f>
        <v>-8250</v>
      </c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</row>
    <row r="23" spans="1:33" x14ac:dyDescent="0.75">
      <c r="C23" s="86" t="s">
        <v>517</v>
      </c>
      <c r="E23" s="70">
        <f t="shared" si="1"/>
        <v>20982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>
        <f>P8</f>
        <v>20982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</row>
    <row r="24" spans="1:33" x14ac:dyDescent="0.75">
      <c r="C24" s="86" t="s">
        <v>889</v>
      </c>
      <c r="E24" s="70">
        <f t="shared" si="1"/>
        <v>-20456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>
        <f>Q8</f>
        <v>-20456</v>
      </c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</row>
    <row r="25" spans="1:33" x14ac:dyDescent="0.75">
      <c r="C25" s="86" t="s">
        <v>412</v>
      </c>
      <c r="E25" s="70">
        <f t="shared" si="1"/>
        <v>23927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>
        <f>R8</f>
        <v>23927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</row>
    <row r="26" spans="1:33" x14ac:dyDescent="0.75">
      <c r="C26" s="86" t="s">
        <v>890</v>
      </c>
      <c r="E26" s="70">
        <f t="shared" si="1"/>
        <v>134625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>
        <f>U8</f>
        <v>134625</v>
      </c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</row>
    <row r="27" spans="1:33" x14ac:dyDescent="0.75">
      <c r="C27" s="86" t="s">
        <v>891</v>
      </c>
      <c r="E27" s="70" t="e">
        <f t="shared" si="1"/>
        <v>#REF!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 t="e">
        <f>V8</f>
        <v>#REF!</v>
      </c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</row>
    <row r="28" spans="1:33" x14ac:dyDescent="0.75">
      <c r="E28" s="70">
        <f t="shared" si="1"/>
        <v>0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</row>
    <row r="29" spans="1:33" x14ac:dyDescent="0.75">
      <c r="B29" s="86" t="s">
        <v>918</v>
      </c>
      <c r="D29" s="70" t="e">
        <f>SUM(E11:E29)</f>
        <v>#REF!</v>
      </c>
      <c r="E29" s="70">
        <f t="shared" si="1"/>
        <v>0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</row>
    <row r="30" spans="1:33" x14ac:dyDescent="0.75">
      <c r="E30" s="70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spans="1:33" x14ac:dyDescent="0.75">
      <c r="A31" s="86" t="s">
        <v>919</v>
      </c>
      <c r="E31" s="70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</row>
    <row r="32" spans="1:33" x14ac:dyDescent="0.75">
      <c r="B32" s="86" t="s">
        <v>896</v>
      </c>
      <c r="E32" s="70">
        <f t="shared" ref="E32:E47" si="2">SUM(F32:AE32)</f>
        <v>-20528</v>
      </c>
      <c r="F32" s="32"/>
      <c r="G32" s="32"/>
      <c r="H32" s="32"/>
      <c r="I32" s="32"/>
      <c r="J32" s="32"/>
      <c r="K32" s="32">
        <f>K8-K14</f>
        <v>-20528</v>
      </c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</row>
    <row r="33" spans="1:33" x14ac:dyDescent="0.75">
      <c r="B33" s="86" t="s">
        <v>498</v>
      </c>
      <c r="E33" s="70">
        <f t="shared" si="2"/>
        <v>0</v>
      </c>
      <c r="F33" s="32"/>
      <c r="G33" s="32"/>
      <c r="H33" s="32"/>
      <c r="I33" s="32"/>
      <c r="J33" s="32"/>
      <c r="K33" s="32"/>
      <c r="L33" s="32">
        <f>L8-L15</f>
        <v>0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</row>
    <row r="34" spans="1:33" x14ac:dyDescent="0.75">
      <c r="B34" s="86" t="s">
        <v>975</v>
      </c>
      <c r="E34" s="70">
        <f t="shared" si="2"/>
        <v>0</v>
      </c>
      <c r="F34" s="32"/>
      <c r="G34" s="32"/>
      <c r="H34" s="32"/>
      <c r="I34" s="32"/>
      <c r="J34" s="32"/>
      <c r="K34" s="32"/>
      <c r="L34" s="32"/>
      <c r="M34" s="32"/>
      <c r="N34" s="32"/>
      <c r="O34" s="32">
        <f>O8</f>
        <v>0</v>
      </c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</row>
    <row r="35" spans="1:33" x14ac:dyDescent="0.75">
      <c r="E35" s="70">
        <f t="shared" si="2"/>
        <v>0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spans="1:33" x14ac:dyDescent="0.75">
      <c r="B36" s="86" t="s">
        <v>926</v>
      </c>
      <c r="D36" s="70">
        <f>SUM(E32:E36)</f>
        <v>-20528</v>
      </c>
      <c r="E36" s="70">
        <f t="shared" si="2"/>
        <v>0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3" x14ac:dyDescent="0.75">
      <c r="E37" s="70">
        <f t="shared" si="2"/>
        <v>0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3" x14ac:dyDescent="0.75">
      <c r="A38" s="86" t="s">
        <v>920</v>
      </c>
      <c r="E38" s="70">
        <f t="shared" si="2"/>
        <v>0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</row>
    <row r="39" spans="1:33" x14ac:dyDescent="0.75">
      <c r="B39" s="86" t="s">
        <v>928</v>
      </c>
      <c r="E39" s="70">
        <f t="shared" si="2"/>
        <v>0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</row>
    <row r="40" spans="1:33" x14ac:dyDescent="0.75">
      <c r="B40" s="86" t="s">
        <v>929</v>
      </c>
      <c r="E40" s="70">
        <f t="shared" si="2"/>
        <v>1194347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>
        <f>Z8</f>
        <v>39</v>
      </c>
      <c r="AA40" s="32"/>
      <c r="AB40" s="32">
        <f>AB8</f>
        <v>1194308</v>
      </c>
      <c r="AC40" s="32"/>
      <c r="AD40" s="32"/>
      <c r="AE40" s="32"/>
      <c r="AF40" s="32"/>
      <c r="AG40" s="32"/>
    </row>
    <row r="41" spans="1:33" x14ac:dyDescent="0.75">
      <c r="B41" s="86" t="s">
        <v>935</v>
      </c>
      <c r="E41" s="70">
        <f t="shared" si="2"/>
        <v>0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>
        <f>AC8</f>
        <v>0</v>
      </c>
      <c r="AD41" s="32"/>
      <c r="AE41" s="32"/>
      <c r="AF41" s="32"/>
      <c r="AG41" s="32"/>
    </row>
    <row r="42" spans="1:33" x14ac:dyDescent="0.75">
      <c r="B42" s="86" t="s">
        <v>936</v>
      </c>
      <c r="E42" s="70">
        <f t="shared" si="2"/>
        <v>0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>
        <f>W8</f>
        <v>0</v>
      </c>
      <c r="X42" s="32"/>
      <c r="Y42" s="32"/>
      <c r="Z42" s="32"/>
      <c r="AA42" s="32"/>
      <c r="AB42" s="32"/>
      <c r="AC42" s="32"/>
      <c r="AD42" s="32"/>
      <c r="AE42" s="32"/>
      <c r="AF42" s="32"/>
      <c r="AG42" s="32"/>
    </row>
    <row r="43" spans="1:33" x14ac:dyDescent="0.75">
      <c r="B43" s="86" t="s">
        <v>937</v>
      </c>
      <c r="E43" s="70">
        <f t="shared" si="2"/>
        <v>-30575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>
        <f>S8</f>
        <v>0</v>
      </c>
      <c r="T43" s="32"/>
      <c r="U43" s="32"/>
      <c r="V43" s="32"/>
      <c r="W43" s="32"/>
      <c r="X43" s="32">
        <f>X8</f>
        <v>-30575</v>
      </c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3" x14ac:dyDescent="0.75">
      <c r="B44" s="86" t="s">
        <v>973</v>
      </c>
      <c r="E44" s="70">
        <f t="shared" si="2"/>
        <v>0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>
        <f>T8</f>
        <v>0</v>
      </c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3" x14ac:dyDescent="0.75">
      <c r="E45" s="70">
        <f t="shared" si="2"/>
        <v>0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</row>
    <row r="46" spans="1:33" x14ac:dyDescent="0.75">
      <c r="B46" s="86" t="s">
        <v>925</v>
      </c>
      <c r="D46" s="70">
        <f>SUM(E38:E46)</f>
        <v>1163772</v>
      </c>
      <c r="E46" s="70">
        <f t="shared" si="2"/>
        <v>0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spans="1:33" x14ac:dyDescent="0.75">
      <c r="E47" s="70">
        <f t="shared" si="2"/>
        <v>0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</row>
    <row r="48" spans="1:33" x14ac:dyDescent="0.75">
      <c r="D48" s="71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32"/>
      <c r="AF48" s="32"/>
      <c r="AG48" s="32"/>
    </row>
    <row r="49" spans="2:33" ht="15.5" thickBot="1" x14ac:dyDescent="0.9">
      <c r="B49" s="86" t="s">
        <v>927</v>
      </c>
      <c r="D49" s="73" t="e">
        <f>SUM(D11:D48)</f>
        <v>#REF!</v>
      </c>
      <c r="E49" s="73" t="e">
        <f>SUM(E11:E48)</f>
        <v>#REF!</v>
      </c>
      <c r="F49" s="73">
        <f>F8-SUM(F9:F48)</f>
        <v>240537</v>
      </c>
      <c r="G49" s="73">
        <f t="shared" ref="G49:AD49" si="3">G8-SUM(G9:G48)</f>
        <v>0</v>
      </c>
      <c r="H49" s="73">
        <f t="shared" si="3"/>
        <v>0</v>
      </c>
      <c r="I49" s="73">
        <f t="shared" si="3"/>
        <v>0</v>
      </c>
      <c r="J49" s="73">
        <f t="shared" si="3"/>
        <v>0</v>
      </c>
      <c r="K49" s="73">
        <f t="shared" si="3"/>
        <v>0</v>
      </c>
      <c r="L49" s="73">
        <f t="shared" si="3"/>
        <v>0</v>
      </c>
      <c r="M49" s="73">
        <f t="shared" si="3"/>
        <v>0</v>
      </c>
      <c r="N49" s="73">
        <f t="shared" si="3"/>
        <v>0</v>
      </c>
      <c r="O49" s="73">
        <f t="shared" si="3"/>
        <v>0</v>
      </c>
      <c r="P49" s="73">
        <f t="shared" si="3"/>
        <v>0</v>
      </c>
      <c r="Q49" s="73">
        <f t="shared" si="3"/>
        <v>0</v>
      </c>
      <c r="R49" s="73">
        <f t="shared" si="3"/>
        <v>0</v>
      </c>
      <c r="S49" s="73">
        <f t="shared" si="3"/>
        <v>0</v>
      </c>
      <c r="T49" s="73">
        <f t="shared" si="3"/>
        <v>0</v>
      </c>
      <c r="U49" s="73">
        <f t="shared" si="3"/>
        <v>0</v>
      </c>
      <c r="V49" s="73" t="e">
        <f t="shared" si="3"/>
        <v>#REF!</v>
      </c>
      <c r="W49" s="73">
        <f t="shared" si="3"/>
        <v>0</v>
      </c>
      <c r="X49" s="73">
        <f t="shared" si="3"/>
        <v>0</v>
      </c>
      <c r="Y49" s="73">
        <f t="shared" si="3"/>
        <v>0</v>
      </c>
      <c r="Z49" s="73">
        <f t="shared" si="3"/>
        <v>0</v>
      </c>
      <c r="AA49" s="73">
        <f t="shared" si="3"/>
        <v>0</v>
      </c>
      <c r="AB49" s="73">
        <f t="shared" si="3"/>
        <v>0</v>
      </c>
      <c r="AC49" s="73">
        <f t="shared" si="3"/>
        <v>0</v>
      </c>
      <c r="AD49" s="73" t="e">
        <f t="shared" si="3"/>
        <v>#REF!</v>
      </c>
      <c r="AE49" s="32"/>
      <c r="AF49" s="32"/>
      <c r="AG49" s="32"/>
    </row>
    <row r="50" spans="2:33" ht="15.5" thickTop="1" x14ac:dyDescent="0.75">
      <c r="E50" s="70"/>
      <c r="F50" s="32" t="e">
        <f>E49</f>
        <v>#REF!</v>
      </c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</row>
    <row r="51" spans="2:33" x14ac:dyDescent="0.75">
      <c r="E51" s="70"/>
      <c r="F51" s="32" t="e">
        <f>F49-F50</f>
        <v>#REF!</v>
      </c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</row>
    <row r="52" spans="2:33" x14ac:dyDescent="0.75">
      <c r="E52" s="70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</row>
    <row r="53" spans="2:33" x14ac:dyDescent="0.75">
      <c r="E53" s="70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</row>
    <row r="54" spans="2:33" x14ac:dyDescent="0.75">
      <c r="E54" s="70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</row>
    <row r="55" spans="2:33" x14ac:dyDescent="0.75">
      <c r="E55" s="70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</row>
    <row r="56" spans="2:33" x14ac:dyDescent="0.75">
      <c r="E56" s="70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</row>
    <row r="57" spans="2:33" x14ac:dyDescent="0.75">
      <c r="E57" s="70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</row>
    <row r="58" spans="2:33" x14ac:dyDescent="0.75">
      <c r="E58" s="70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</row>
    <row r="59" spans="2:33" x14ac:dyDescent="0.75">
      <c r="E59" s="70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</row>
    <row r="60" spans="2:33" x14ac:dyDescent="0.75">
      <c r="E60" s="70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</row>
    <row r="61" spans="2:33" x14ac:dyDescent="0.75">
      <c r="E61" s="70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</row>
    <row r="62" spans="2:33" x14ac:dyDescent="0.75">
      <c r="E62" s="70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</row>
    <row r="63" spans="2:33" x14ac:dyDescent="0.75"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</row>
    <row r="64" spans="2:33" x14ac:dyDescent="0.75"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</row>
    <row r="65" spans="6:33" x14ac:dyDescent="0.75"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</row>
    <row r="66" spans="6:33" x14ac:dyDescent="0.75"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</row>
    <row r="67" spans="6:33" x14ac:dyDescent="0.75"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</row>
    <row r="68" spans="6:33" x14ac:dyDescent="0.75"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</row>
    <row r="69" spans="6:33" x14ac:dyDescent="0.75"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</row>
    <row r="70" spans="6:33" x14ac:dyDescent="0.75"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</row>
    <row r="71" spans="6:33" x14ac:dyDescent="0.75"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</row>
    <row r="72" spans="6:33" x14ac:dyDescent="0.75"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</row>
    <row r="73" spans="6:33" x14ac:dyDescent="0.75"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</row>
    <row r="74" spans="6:33" x14ac:dyDescent="0.75"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</row>
    <row r="75" spans="6:33" x14ac:dyDescent="0.75"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</row>
    <row r="76" spans="6:33" x14ac:dyDescent="0.75"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</row>
    <row r="77" spans="6:33" x14ac:dyDescent="0.75"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</row>
    <row r="78" spans="6:33" x14ac:dyDescent="0.75"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</row>
    <row r="79" spans="6:33" x14ac:dyDescent="0.75"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</row>
    <row r="80" spans="6:33" x14ac:dyDescent="0.75"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</row>
    <row r="81" spans="6:33" x14ac:dyDescent="0.75"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</row>
    <row r="82" spans="6:33" x14ac:dyDescent="0.75"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</row>
    <row r="83" spans="6:33" x14ac:dyDescent="0.75"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</row>
    <row r="84" spans="6:33" x14ac:dyDescent="0.75"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</row>
    <row r="85" spans="6:33" x14ac:dyDescent="0.75"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</row>
    <row r="86" spans="6:33" x14ac:dyDescent="0.75"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</row>
    <row r="87" spans="6:33" x14ac:dyDescent="0.75"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</row>
    <row r="88" spans="6:33" x14ac:dyDescent="0.75"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</row>
    <row r="89" spans="6:33" x14ac:dyDescent="0.75"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</row>
    <row r="90" spans="6:33" x14ac:dyDescent="0.75"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</row>
    <row r="91" spans="6:33" x14ac:dyDescent="0.75"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</row>
    <row r="92" spans="6:33" x14ac:dyDescent="0.75"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</row>
    <row r="93" spans="6:33" x14ac:dyDescent="0.75"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</row>
    <row r="94" spans="6:33" x14ac:dyDescent="0.75"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</row>
    <row r="95" spans="6:33" x14ac:dyDescent="0.75"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</row>
    <row r="96" spans="6:33" x14ac:dyDescent="0.75"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</row>
    <row r="97" spans="6:33" x14ac:dyDescent="0.75"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</row>
    <row r="98" spans="6:33" x14ac:dyDescent="0.75"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</row>
    <row r="99" spans="6:33" x14ac:dyDescent="0.75"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</row>
    <row r="100" spans="6:33" x14ac:dyDescent="0.75"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</row>
    <row r="101" spans="6:33" x14ac:dyDescent="0.75"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</row>
    <row r="102" spans="6:33" x14ac:dyDescent="0.75"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</row>
    <row r="103" spans="6:33" x14ac:dyDescent="0.75"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</row>
    <row r="104" spans="6:33" x14ac:dyDescent="0.75"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</row>
    <row r="105" spans="6:33" x14ac:dyDescent="0.75"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</row>
    <row r="106" spans="6:33" x14ac:dyDescent="0.75"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</row>
    <row r="107" spans="6:33" x14ac:dyDescent="0.75"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</row>
    <row r="108" spans="6:33" x14ac:dyDescent="0.75"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</row>
    <row r="109" spans="6:33" x14ac:dyDescent="0.75"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</row>
    <row r="110" spans="6:33" x14ac:dyDescent="0.75"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</row>
    <row r="111" spans="6:33" x14ac:dyDescent="0.75"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</row>
    <row r="112" spans="6:33" x14ac:dyDescent="0.75"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</row>
    <row r="113" spans="6:33" x14ac:dyDescent="0.75"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</row>
    <row r="114" spans="6:33" x14ac:dyDescent="0.75"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</row>
    <row r="115" spans="6:33" x14ac:dyDescent="0.75"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</row>
    <row r="116" spans="6:33" x14ac:dyDescent="0.75"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</row>
    <row r="117" spans="6:33" x14ac:dyDescent="0.75"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</row>
    <row r="118" spans="6:33" x14ac:dyDescent="0.75"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</row>
    <row r="119" spans="6:33" x14ac:dyDescent="0.75"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</row>
    <row r="120" spans="6:33" x14ac:dyDescent="0.75"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</row>
    <row r="121" spans="6:33" x14ac:dyDescent="0.75"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</row>
    <row r="122" spans="6:33" x14ac:dyDescent="0.75"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</row>
    <row r="123" spans="6:33" x14ac:dyDescent="0.75"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</row>
    <row r="124" spans="6:33" x14ac:dyDescent="0.75"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</row>
    <row r="125" spans="6:33" x14ac:dyDescent="0.75"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</row>
    <row r="126" spans="6:33" x14ac:dyDescent="0.75"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</row>
    <row r="127" spans="6:33" x14ac:dyDescent="0.75"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</row>
    <row r="128" spans="6:33" x14ac:dyDescent="0.75"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</row>
    <row r="129" spans="6:33" x14ac:dyDescent="0.75"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</row>
    <row r="130" spans="6:33" x14ac:dyDescent="0.75"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</row>
    <row r="131" spans="6:33" x14ac:dyDescent="0.75"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</row>
    <row r="132" spans="6:33" x14ac:dyDescent="0.75"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</row>
    <row r="133" spans="6:33" x14ac:dyDescent="0.75"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</row>
    <row r="134" spans="6:33" x14ac:dyDescent="0.75"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</row>
    <row r="135" spans="6:33" x14ac:dyDescent="0.75"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</row>
    <row r="136" spans="6:33" x14ac:dyDescent="0.75"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</row>
    <row r="137" spans="6:33" x14ac:dyDescent="0.75"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</row>
    <row r="138" spans="6:33" x14ac:dyDescent="0.75"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</row>
    <row r="139" spans="6:33" x14ac:dyDescent="0.7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</row>
    <row r="140" spans="6:33" x14ac:dyDescent="0.7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</row>
    <row r="141" spans="6:33" x14ac:dyDescent="0.7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</row>
    <row r="142" spans="6:33" x14ac:dyDescent="0.7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</row>
    <row r="143" spans="6:33" x14ac:dyDescent="0.75"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</row>
    <row r="144" spans="6:33" x14ac:dyDescent="0.75"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</row>
    <row r="145" spans="6:33" x14ac:dyDescent="0.75"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</row>
    <row r="146" spans="6:33" x14ac:dyDescent="0.75"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</row>
    <row r="147" spans="6:33" x14ac:dyDescent="0.75"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</row>
    <row r="148" spans="6:33" x14ac:dyDescent="0.75"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</row>
    <row r="149" spans="6:33" x14ac:dyDescent="0.75"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</row>
    <row r="150" spans="6:33" x14ac:dyDescent="0.7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</row>
    <row r="151" spans="6:33" x14ac:dyDescent="0.7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</row>
    <row r="152" spans="6:33" x14ac:dyDescent="0.7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</row>
    <row r="153" spans="6:33" x14ac:dyDescent="0.7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</row>
    <row r="154" spans="6:33" x14ac:dyDescent="0.75"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</row>
    <row r="155" spans="6:33" x14ac:dyDescent="0.75"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</row>
    <row r="156" spans="6:33" x14ac:dyDescent="0.75"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</row>
    <row r="157" spans="6:33" x14ac:dyDescent="0.75"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</row>
    <row r="158" spans="6:33" x14ac:dyDescent="0.75"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</row>
    <row r="159" spans="6:33" x14ac:dyDescent="0.75"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</row>
    <row r="160" spans="6:33" x14ac:dyDescent="0.75"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</row>
    <row r="161" spans="6:33" x14ac:dyDescent="0.75"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</row>
    <row r="162" spans="6:33" x14ac:dyDescent="0.75"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</row>
    <row r="163" spans="6:33" x14ac:dyDescent="0.75"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</row>
    <row r="164" spans="6:33" x14ac:dyDescent="0.75"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</row>
    <row r="165" spans="6:33" x14ac:dyDescent="0.75"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</row>
    <row r="166" spans="6:33" x14ac:dyDescent="0.75"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</row>
    <row r="167" spans="6:33" x14ac:dyDescent="0.75"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</row>
    <row r="168" spans="6:33" x14ac:dyDescent="0.75"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</row>
    <row r="169" spans="6:33" x14ac:dyDescent="0.75"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</row>
    <row r="170" spans="6:33" x14ac:dyDescent="0.75"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</row>
    <row r="171" spans="6:33" x14ac:dyDescent="0.75"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</row>
    <row r="172" spans="6:33" x14ac:dyDescent="0.75"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</row>
    <row r="173" spans="6:33" x14ac:dyDescent="0.75"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</row>
    <row r="174" spans="6:33" x14ac:dyDescent="0.75"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</row>
    <row r="175" spans="6:33" x14ac:dyDescent="0.75"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</row>
    <row r="176" spans="6:33" x14ac:dyDescent="0.75"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</row>
    <row r="177" spans="6:33" x14ac:dyDescent="0.75"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</row>
    <row r="178" spans="6:33" x14ac:dyDescent="0.75"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51B6-355E-4115-AC2A-FDBC6FA6F202}">
  <dimension ref="A2:AG178"/>
  <sheetViews>
    <sheetView workbookViewId="0">
      <pane xSplit="5" ySplit="9" topLeftCell="V10" activePane="bottomRight" state="frozen"/>
      <selection pane="topRight" activeCell="F1" sqref="F1"/>
      <selection pane="bottomLeft" activeCell="A10" sqref="A10"/>
      <selection pane="bottomRight" activeCell="X28" sqref="X28"/>
    </sheetView>
  </sheetViews>
  <sheetFormatPr defaultColWidth="9.1328125" defaultRowHeight="14.75" x14ac:dyDescent="0.75"/>
  <cols>
    <col min="1" max="2" width="4.7265625" style="88" customWidth="1"/>
    <col min="3" max="3" width="33.26953125" style="88" customWidth="1"/>
    <col min="4" max="5" width="14.54296875" style="88" customWidth="1"/>
    <col min="6" max="30" width="17.26953125" style="88" customWidth="1"/>
    <col min="31" max="31" width="5" style="88" customWidth="1"/>
    <col min="32" max="32" width="15.40625" style="88" customWidth="1"/>
    <col min="33" max="16384" width="9.1328125" style="88"/>
  </cols>
  <sheetData>
    <row r="2" spans="1:33" x14ac:dyDescent="0.75">
      <c r="C2" s="75" t="s">
        <v>974</v>
      </c>
      <c r="X2" s="75"/>
      <c r="Y2" s="75"/>
    </row>
    <row r="4" spans="1:33" x14ac:dyDescent="0.75">
      <c r="M4" s="35" t="s">
        <v>923</v>
      </c>
      <c r="R4" s="35" t="s">
        <v>902</v>
      </c>
      <c r="S4" s="35" t="s">
        <v>904</v>
      </c>
      <c r="T4" s="35" t="s">
        <v>906</v>
      </c>
      <c r="U4" s="35" t="s">
        <v>907</v>
      </c>
      <c r="V4" s="35" t="s">
        <v>909</v>
      </c>
      <c r="X4" s="35" t="s">
        <v>912</v>
      </c>
      <c r="Y4" s="35" t="s">
        <v>970</v>
      </c>
      <c r="Z4" s="35" t="s">
        <v>913</v>
      </c>
      <c r="AA4" s="35" t="s">
        <v>418</v>
      </c>
      <c r="AC4" s="35" t="s">
        <v>931</v>
      </c>
      <c r="AD4" s="35" t="s">
        <v>916</v>
      </c>
    </row>
    <row r="5" spans="1:33" x14ac:dyDescent="0.75">
      <c r="F5" s="35" t="s">
        <v>388</v>
      </c>
      <c r="G5" s="35" t="s">
        <v>892</v>
      </c>
      <c r="H5" s="35" t="s">
        <v>893</v>
      </c>
      <c r="I5" s="35" t="s">
        <v>894</v>
      </c>
      <c r="J5" s="35" t="s">
        <v>895</v>
      </c>
      <c r="K5" s="35" t="s">
        <v>896</v>
      </c>
      <c r="L5" s="35" t="s">
        <v>498</v>
      </c>
      <c r="M5" s="35" t="s">
        <v>924</v>
      </c>
      <c r="N5" s="35" t="s">
        <v>897</v>
      </c>
      <c r="O5" s="35" t="s">
        <v>898</v>
      </c>
      <c r="P5" s="35" t="s">
        <v>899</v>
      </c>
      <c r="Q5" s="35" t="s">
        <v>900</v>
      </c>
      <c r="R5" s="35" t="s">
        <v>903</v>
      </c>
      <c r="S5" s="35" t="s">
        <v>905</v>
      </c>
      <c r="T5" s="35" t="s">
        <v>1</v>
      </c>
      <c r="U5" s="35" t="s">
        <v>908</v>
      </c>
      <c r="V5" s="35" t="s">
        <v>910</v>
      </c>
      <c r="W5" s="35" t="s">
        <v>911</v>
      </c>
      <c r="X5" s="35" t="s">
        <v>905</v>
      </c>
      <c r="Y5" s="35" t="s">
        <v>972</v>
      </c>
      <c r="Z5" s="35" t="s">
        <v>914</v>
      </c>
      <c r="AA5" s="35" t="s">
        <v>914</v>
      </c>
      <c r="AB5" s="35" t="s">
        <v>915</v>
      </c>
      <c r="AC5" s="35" t="s">
        <v>914</v>
      </c>
      <c r="AD5" s="35" t="s">
        <v>917</v>
      </c>
    </row>
    <row r="6" spans="1:33" x14ac:dyDescent="0.75">
      <c r="E6" s="68">
        <f>'Balance Sheets'!$F$5</f>
        <v>43769</v>
      </c>
      <c r="F6" s="32">
        <f>'Balance Sheets'!$F$8</f>
        <v>118624</v>
      </c>
      <c r="G6" s="32">
        <f>'Balance Sheets'!$F$9</f>
        <v>44569</v>
      </c>
      <c r="H6" s="32">
        <f>'Balance Sheets'!$F$10</f>
        <v>129800</v>
      </c>
      <c r="I6" s="32">
        <f>'Balance Sheets'!$F$11</f>
        <v>0</v>
      </c>
      <c r="J6" s="32">
        <f>'Balance Sheets'!$F$12</f>
        <v>13000</v>
      </c>
      <c r="K6" s="32">
        <f>'Balance Sheets'!$F$16</f>
        <v>196271</v>
      </c>
      <c r="L6" s="32">
        <f>'Balance Sheets'!$F$17</f>
        <v>0</v>
      </c>
      <c r="M6" s="32">
        <f>'Balance Sheets'!$F$18</f>
        <v>62155</v>
      </c>
      <c r="N6" s="32">
        <f>'Balance Sheets'!$F$19</f>
        <v>0</v>
      </c>
      <c r="O6" s="32">
        <f>'Balance Sheets'!$F$20</f>
        <v>0</v>
      </c>
      <c r="P6" s="32">
        <f>-'Balance Sheets'!$F$27</f>
        <v>-31667</v>
      </c>
      <c r="Q6" s="32">
        <f>-'Balance Sheets'!$F$28</f>
        <v>-20456</v>
      </c>
      <c r="R6" s="32">
        <f>-'Balance Sheets'!$F$29</f>
        <v>-78340</v>
      </c>
      <c r="S6" s="32">
        <f>-'Balance Sheets'!$F$30</f>
        <v>-41193</v>
      </c>
      <c r="T6" s="32">
        <f>-'Balance Sheets'!$F$32</f>
        <v>0</v>
      </c>
      <c r="U6" s="32">
        <f>-'Balance Sheets'!$F$33</f>
        <v>-45561</v>
      </c>
      <c r="V6" s="32" t="e">
        <f>-'Balance Sheets'!#REF!</f>
        <v>#REF!</v>
      </c>
      <c r="W6" s="32">
        <f>-'Balance Sheets'!$F$35</f>
        <v>0</v>
      </c>
      <c r="X6" s="32">
        <f>-'Balance Sheets'!$F$42</f>
        <v>-143199</v>
      </c>
      <c r="Y6" s="32">
        <f>-'Balance Sheets'!$F$43</f>
        <v>-40245</v>
      </c>
      <c r="Z6" s="32">
        <f>-'Balance Sheets'!$F$59</f>
        <v>0</v>
      </c>
      <c r="AA6" s="32">
        <f>-'Balance Sheets'!$F$61</f>
        <v>-46290</v>
      </c>
      <c r="AB6" s="32">
        <f>-'Balance Sheets'!$F$62</f>
        <v>-7407220</v>
      </c>
      <c r="AC6" s="32">
        <f>-'Balance Sheets'!$F$63</f>
        <v>84000</v>
      </c>
      <c r="AD6" s="32">
        <f>-'Balance Sheets'!$F$64</f>
        <v>9775157</v>
      </c>
      <c r="AE6" s="32"/>
      <c r="AF6" s="32" t="e">
        <f>SUM(F6:AE6)</f>
        <v>#REF!</v>
      </c>
      <c r="AG6" s="32"/>
    </row>
    <row r="7" spans="1:33" x14ac:dyDescent="0.75">
      <c r="E7" s="68">
        <f>'Balance Sheets'!$N$5</f>
        <v>43951</v>
      </c>
      <c r="F7" s="32">
        <f>'Balance Sheets'!$N$8</f>
        <v>316137</v>
      </c>
      <c r="G7" s="32">
        <f>'Balance Sheets'!$N$9</f>
        <v>234146</v>
      </c>
      <c r="H7" s="32">
        <f>'Balance Sheets'!$N$10</f>
        <v>0</v>
      </c>
      <c r="I7" s="32">
        <f>'Balance Sheets'!$N$11</f>
        <v>68877</v>
      </c>
      <c r="J7" s="32">
        <f>'Balance Sheets'!$N$12</f>
        <v>50000</v>
      </c>
      <c r="K7" s="32">
        <f>'Balance Sheets'!$N$16</f>
        <v>161211</v>
      </c>
      <c r="L7" s="32">
        <f>'Balance Sheets'!$N$17</f>
        <v>0</v>
      </c>
      <c r="M7" s="32">
        <f>'Balance Sheets'!$N$18</f>
        <v>50911</v>
      </c>
      <c r="N7" s="32">
        <f>'Balance Sheets'!$N$19</f>
        <v>0</v>
      </c>
      <c r="O7" s="32">
        <f>'Balance Sheets'!$N$20</f>
        <v>0</v>
      </c>
      <c r="P7" s="32">
        <f>-'Balance Sheets'!$N$27</f>
        <v>-97075</v>
      </c>
      <c r="Q7" s="32">
        <f>-'Balance Sheets'!$N$28</f>
        <v>0</v>
      </c>
      <c r="R7" s="32">
        <f>-'Balance Sheets'!$N$29</f>
        <v>-84210</v>
      </c>
      <c r="S7" s="32">
        <f>-'Balance Sheets'!$N$30</f>
        <v>-41193</v>
      </c>
      <c r="T7" s="32">
        <f>-'Balance Sheets'!$N$32</f>
        <v>0</v>
      </c>
      <c r="U7" s="32">
        <f>-'Balance Sheets'!$N$33</f>
        <v>-158232</v>
      </c>
      <c r="V7" s="32" t="e">
        <f>-'Balance Sheets'!#REF!</f>
        <v>#REF!</v>
      </c>
      <c r="W7" s="32">
        <f>-'Balance Sheets'!$N$35</f>
        <v>0</v>
      </c>
      <c r="X7" s="32">
        <f>-'Balance Sheets'!$N$42</f>
        <v>-123027</v>
      </c>
      <c r="Y7" s="32">
        <f>-'Balance Sheets'!$N$43</f>
        <v>-29001</v>
      </c>
      <c r="Z7" s="32">
        <f>-'Balance Sheets'!$N$59</f>
        <v>-24</v>
      </c>
      <c r="AA7" s="32">
        <f>-'Balance Sheets'!$N$61</f>
        <v>-46290</v>
      </c>
      <c r="AB7" s="32">
        <f>-'Balance Sheets'!$N$62</f>
        <v>-8183804</v>
      </c>
      <c r="AC7" s="32">
        <f>-'Balance Sheets'!$N$63</f>
        <v>84000</v>
      </c>
      <c r="AD7" s="32" t="e">
        <f>-'Balance Sheets'!$N$64</f>
        <v>#REF!</v>
      </c>
      <c r="AE7" s="32"/>
      <c r="AF7" s="32" t="e">
        <f>SUM(F7:AE7)</f>
        <v>#REF!</v>
      </c>
      <c r="AG7" s="32"/>
    </row>
    <row r="8" spans="1:33" x14ac:dyDescent="0.75">
      <c r="F8" s="69">
        <f>F7-F6</f>
        <v>197513</v>
      </c>
      <c r="G8" s="69">
        <f>G6-G7</f>
        <v>-189577</v>
      </c>
      <c r="H8" s="69">
        <f t="shared" ref="H8:AD8" si="0">H6-H7</f>
        <v>129800</v>
      </c>
      <c r="I8" s="69">
        <f t="shared" si="0"/>
        <v>-68877</v>
      </c>
      <c r="J8" s="69">
        <f t="shared" si="0"/>
        <v>-37000</v>
      </c>
      <c r="K8" s="69">
        <f t="shared" si="0"/>
        <v>35060</v>
      </c>
      <c r="L8" s="69">
        <f t="shared" si="0"/>
        <v>0</v>
      </c>
      <c r="M8" s="69">
        <f t="shared" si="0"/>
        <v>11244</v>
      </c>
      <c r="N8" s="69">
        <f t="shared" si="0"/>
        <v>0</v>
      </c>
      <c r="O8" s="69">
        <f t="shared" si="0"/>
        <v>0</v>
      </c>
      <c r="P8" s="69">
        <f t="shared" si="0"/>
        <v>65408</v>
      </c>
      <c r="Q8" s="69">
        <f t="shared" si="0"/>
        <v>-20456</v>
      </c>
      <c r="R8" s="69">
        <f t="shared" si="0"/>
        <v>5870</v>
      </c>
      <c r="S8" s="69">
        <f t="shared" si="0"/>
        <v>0</v>
      </c>
      <c r="T8" s="69">
        <f t="shared" si="0"/>
        <v>0</v>
      </c>
      <c r="U8" s="69">
        <f t="shared" si="0"/>
        <v>112671</v>
      </c>
      <c r="V8" s="69" t="e">
        <f t="shared" si="0"/>
        <v>#REF!</v>
      </c>
      <c r="W8" s="69">
        <f t="shared" si="0"/>
        <v>0</v>
      </c>
      <c r="X8" s="69">
        <f t="shared" si="0"/>
        <v>-20172</v>
      </c>
      <c r="Y8" s="69">
        <f t="shared" si="0"/>
        <v>-11244</v>
      </c>
      <c r="Z8" s="69">
        <f t="shared" si="0"/>
        <v>24</v>
      </c>
      <c r="AA8" s="69">
        <f t="shared" si="0"/>
        <v>0</v>
      </c>
      <c r="AB8" s="69">
        <f t="shared" si="0"/>
        <v>776584</v>
      </c>
      <c r="AC8" s="69">
        <f t="shared" si="0"/>
        <v>0</v>
      </c>
      <c r="AD8" s="69" t="e">
        <f t="shared" si="0"/>
        <v>#REF!</v>
      </c>
      <c r="AE8" s="32"/>
      <c r="AF8" s="32"/>
      <c r="AG8" s="32"/>
    </row>
    <row r="9" spans="1:33" x14ac:dyDescent="0.75"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1:33" x14ac:dyDescent="0.75">
      <c r="A10" s="88" t="s">
        <v>879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</row>
    <row r="11" spans="1:33" x14ac:dyDescent="0.75">
      <c r="B11" s="88" t="s">
        <v>880</v>
      </c>
      <c r="E11" s="70" t="e">
        <f t="shared" ref="E11:E29" si="1">SUM(F11:AE11)</f>
        <v>#REF!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 t="e">
        <f>AD8</f>
        <v>#REF!</v>
      </c>
      <c r="AE11" s="32"/>
      <c r="AF11" s="32"/>
      <c r="AG11" s="32"/>
    </row>
    <row r="12" spans="1:33" x14ac:dyDescent="0.75">
      <c r="E12" s="70">
        <f t="shared" si="1"/>
        <v>0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</row>
    <row r="13" spans="1:33" x14ac:dyDescent="0.75">
      <c r="B13" s="88" t="s">
        <v>881</v>
      </c>
      <c r="E13" s="70">
        <f t="shared" si="1"/>
        <v>0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</row>
    <row r="14" spans="1:33" x14ac:dyDescent="0.75">
      <c r="C14" s="88" t="s">
        <v>882</v>
      </c>
      <c r="E14" s="70">
        <f t="shared" si="1"/>
        <v>36173</v>
      </c>
      <c r="F14" s="32"/>
      <c r="G14" s="32"/>
      <c r="H14" s="32"/>
      <c r="I14" s="32"/>
      <c r="J14" s="32"/>
      <c r="K14" s="32">
        <f>ROUND('Q2 TB-20'!G161,0)</f>
        <v>36173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 x14ac:dyDescent="0.75">
      <c r="C15" s="88" t="s">
        <v>883</v>
      </c>
      <c r="E15" s="70">
        <f t="shared" si="1"/>
        <v>0</v>
      </c>
      <c r="F15" s="32"/>
      <c r="G15" s="32"/>
      <c r="H15" s="32"/>
      <c r="I15" s="32"/>
      <c r="J15" s="32"/>
      <c r="K15" s="32"/>
      <c r="L15" s="32">
        <f>ROUND('Q2 TB-20'!G150,0)</f>
        <v>0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</row>
    <row r="16" spans="1:33" x14ac:dyDescent="0.75">
      <c r="C16" s="88" t="s">
        <v>884</v>
      </c>
      <c r="E16" s="70">
        <f t="shared" si="1"/>
        <v>0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</row>
    <row r="17" spans="1:33" x14ac:dyDescent="0.75">
      <c r="E17" s="70">
        <f t="shared" si="1"/>
        <v>0</v>
      </c>
      <c r="F17" s="32"/>
      <c r="G17" s="32"/>
      <c r="H17" s="32"/>
      <c r="I17" s="32"/>
      <c r="J17" s="32"/>
      <c r="K17" s="32"/>
      <c r="L17" s="32"/>
      <c r="M17" s="32">
        <f>M8</f>
        <v>11244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>
        <f>Y8</f>
        <v>-11244</v>
      </c>
      <c r="Z17" s="32"/>
      <c r="AA17" s="32"/>
      <c r="AB17" s="32"/>
      <c r="AC17" s="32"/>
      <c r="AD17" s="32"/>
      <c r="AE17" s="32"/>
      <c r="AF17" s="32"/>
      <c r="AG17" s="32"/>
    </row>
    <row r="18" spans="1:33" x14ac:dyDescent="0.75">
      <c r="B18" s="88" t="s">
        <v>885</v>
      </c>
      <c r="E18" s="70">
        <f t="shared" si="1"/>
        <v>0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</row>
    <row r="19" spans="1:33" x14ac:dyDescent="0.75">
      <c r="C19" s="88" t="s">
        <v>886</v>
      </c>
      <c r="E19" s="70">
        <f t="shared" si="1"/>
        <v>-189577</v>
      </c>
      <c r="F19" s="32"/>
      <c r="G19" s="32">
        <f>G8</f>
        <v>-189577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</row>
    <row r="20" spans="1:33" x14ac:dyDescent="0.75">
      <c r="C20" s="88" t="s">
        <v>887</v>
      </c>
      <c r="E20" s="70">
        <f t="shared" si="1"/>
        <v>129800</v>
      </c>
      <c r="F20" s="32"/>
      <c r="G20" s="32"/>
      <c r="H20" s="32">
        <f>H8</f>
        <v>129800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</row>
    <row r="21" spans="1:33" x14ac:dyDescent="0.75">
      <c r="C21" s="88" t="s">
        <v>894</v>
      </c>
      <c r="E21" s="70">
        <f t="shared" si="1"/>
        <v>-68877</v>
      </c>
      <c r="F21" s="32"/>
      <c r="G21" s="32"/>
      <c r="H21" s="32"/>
      <c r="I21" s="32">
        <f>I8</f>
        <v>-68877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</row>
    <row r="22" spans="1:33" x14ac:dyDescent="0.75">
      <c r="C22" s="88" t="s">
        <v>888</v>
      </c>
      <c r="E22" s="70">
        <f t="shared" si="1"/>
        <v>-37000</v>
      </c>
      <c r="F22" s="32"/>
      <c r="G22" s="32"/>
      <c r="H22" s="32"/>
      <c r="I22" s="32"/>
      <c r="J22" s="32">
        <f>J8</f>
        <v>-37000</v>
      </c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</row>
    <row r="23" spans="1:33" x14ac:dyDescent="0.75">
      <c r="C23" s="88" t="s">
        <v>517</v>
      </c>
      <c r="E23" s="70">
        <f t="shared" si="1"/>
        <v>65408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>
        <f>P8</f>
        <v>65408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</row>
    <row r="24" spans="1:33" x14ac:dyDescent="0.75">
      <c r="C24" s="88" t="s">
        <v>889</v>
      </c>
      <c r="E24" s="70">
        <f t="shared" si="1"/>
        <v>-20456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>
        <f>Q8</f>
        <v>-20456</v>
      </c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</row>
    <row r="25" spans="1:33" x14ac:dyDescent="0.75">
      <c r="C25" s="88" t="s">
        <v>412</v>
      </c>
      <c r="E25" s="70">
        <f t="shared" si="1"/>
        <v>5870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>
        <f>R8</f>
        <v>5870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</row>
    <row r="26" spans="1:33" x14ac:dyDescent="0.75">
      <c r="C26" s="88" t="s">
        <v>890</v>
      </c>
      <c r="E26" s="70">
        <f t="shared" si="1"/>
        <v>112671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>
        <f>U8</f>
        <v>112671</v>
      </c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</row>
    <row r="27" spans="1:33" x14ac:dyDescent="0.75">
      <c r="C27" s="88" t="s">
        <v>891</v>
      </c>
      <c r="E27" s="70" t="e">
        <f t="shared" si="1"/>
        <v>#REF!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 t="e">
        <f>V8</f>
        <v>#REF!</v>
      </c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</row>
    <row r="28" spans="1:33" x14ac:dyDescent="0.75">
      <c r="E28" s="70">
        <f t="shared" si="1"/>
        <v>0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</row>
    <row r="29" spans="1:33" x14ac:dyDescent="0.75">
      <c r="B29" s="88" t="s">
        <v>918</v>
      </c>
      <c r="D29" s="70" t="e">
        <f>SUM(E11:E29)</f>
        <v>#REF!</v>
      </c>
      <c r="E29" s="70">
        <f t="shared" si="1"/>
        <v>0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</row>
    <row r="30" spans="1:33" x14ac:dyDescent="0.75">
      <c r="E30" s="70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spans="1:33" x14ac:dyDescent="0.75">
      <c r="A31" s="88" t="s">
        <v>919</v>
      </c>
      <c r="E31" s="70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</row>
    <row r="32" spans="1:33" x14ac:dyDescent="0.75">
      <c r="B32" s="88" t="s">
        <v>896</v>
      </c>
      <c r="E32" s="70">
        <f t="shared" ref="E32:E47" si="2">SUM(F32:AE32)</f>
        <v>-1113</v>
      </c>
      <c r="F32" s="32"/>
      <c r="G32" s="32"/>
      <c r="H32" s="32"/>
      <c r="I32" s="32"/>
      <c r="J32" s="32"/>
      <c r="K32" s="32">
        <f>K8-K14</f>
        <v>-1113</v>
      </c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</row>
    <row r="33" spans="1:33" x14ac:dyDescent="0.75">
      <c r="B33" s="88" t="s">
        <v>498</v>
      </c>
      <c r="E33" s="70">
        <f t="shared" si="2"/>
        <v>0</v>
      </c>
      <c r="F33" s="32"/>
      <c r="G33" s="32"/>
      <c r="H33" s="32"/>
      <c r="I33" s="32"/>
      <c r="J33" s="32"/>
      <c r="K33" s="32"/>
      <c r="L33" s="32">
        <f>L8-L15</f>
        <v>0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</row>
    <row r="34" spans="1:33" x14ac:dyDescent="0.75">
      <c r="B34" s="88" t="s">
        <v>975</v>
      </c>
      <c r="E34" s="70">
        <f t="shared" si="2"/>
        <v>0</v>
      </c>
      <c r="F34" s="32"/>
      <c r="G34" s="32"/>
      <c r="H34" s="32"/>
      <c r="I34" s="32"/>
      <c r="J34" s="32"/>
      <c r="K34" s="32"/>
      <c r="L34" s="32"/>
      <c r="M34" s="32"/>
      <c r="N34" s="32"/>
      <c r="O34" s="32">
        <f>O8</f>
        <v>0</v>
      </c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</row>
    <row r="35" spans="1:33" x14ac:dyDescent="0.75">
      <c r="E35" s="70">
        <f t="shared" si="2"/>
        <v>0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spans="1:33" x14ac:dyDescent="0.75">
      <c r="B36" s="88" t="s">
        <v>926</v>
      </c>
      <c r="D36" s="70">
        <f>SUM(E32:E36)</f>
        <v>-1113</v>
      </c>
      <c r="E36" s="70">
        <f t="shared" si="2"/>
        <v>0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3" x14ac:dyDescent="0.75">
      <c r="E37" s="70">
        <f t="shared" si="2"/>
        <v>0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3" x14ac:dyDescent="0.75">
      <c r="A38" s="88" t="s">
        <v>920</v>
      </c>
      <c r="E38" s="70">
        <f t="shared" si="2"/>
        <v>0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</row>
    <row r="39" spans="1:33" x14ac:dyDescent="0.75">
      <c r="B39" s="88" t="s">
        <v>928</v>
      </c>
      <c r="E39" s="70">
        <f t="shared" si="2"/>
        <v>0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</row>
    <row r="40" spans="1:33" x14ac:dyDescent="0.75">
      <c r="B40" s="88" t="s">
        <v>929</v>
      </c>
      <c r="E40" s="70">
        <f t="shared" si="2"/>
        <v>776608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>
        <f>Z8</f>
        <v>24</v>
      </c>
      <c r="AA40" s="32"/>
      <c r="AB40" s="32">
        <f>AB8</f>
        <v>776584</v>
      </c>
      <c r="AC40" s="32"/>
      <c r="AD40" s="32"/>
      <c r="AE40" s="32"/>
      <c r="AF40" s="32"/>
      <c r="AG40" s="32"/>
    </row>
    <row r="41" spans="1:33" x14ac:dyDescent="0.75">
      <c r="B41" s="88" t="s">
        <v>935</v>
      </c>
      <c r="E41" s="70">
        <f t="shared" si="2"/>
        <v>0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>
        <f>AC8</f>
        <v>0</v>
      </c>
      <c r="AD41" s="32"/>
      <c r="AE41" s="32"/>
      <c r="AF41" s="32"/>
      <c r="AG41" s="32"/>
    </row>
    <row r="42" spans="1:33" x14ac:dyDescent="0.75">
      <c r="B42" s="88" t="s">
        <v>936</v>
      </c>
      <c r="E42" s="70">
        <f t="shared" si="2"/>
        <v>0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>
        <f>W8</f>
        <v>0</v>
      </c>
      <c r="X42" s="32"/>
      <c r="Y42" s="32"/>
      <c r="Z42" s="32"/>
      <c r="AA42" s="32"/>
      <c r="AB42" s="32"/>
      <c r="AC42" s="32"/>
      <c r="AD42" s="32"/>
      <c r="AE42" s="32"/>
      <c r="AF42" s="32"/>
      <c r="AG42" s="32"/>
    </row>
    <row r="43" spans="1:33" x14ac:dyDescent="0.75">
      <c r="B43" s="88" t="s">
        <v>937</v>
      </c>
      <c r="E43" s="70">
        <f t="shared" si="2"/>
        <v>-20172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>
        <f>S8</f>
        <v>0</v>
      </c>
      <c r="T43" s="32"/>
      <c r="U43" s="32"/>
      <c r="V43" s="32"/>
      <c r="W43" s="32"/>
      <c r="X43" s="32">
        <f>X8</f>
        <v>-20172</v>
      </c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3" x14ac:dyDescent="0.75">
      <c r="B44" s="88" t="s">
        <v>973</v>
      </c>
      <c r="E44" s="70">
        <f t="shared" si="2"/>
        <v>0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>
        <f>T8</f>
        <v>0</v>
      </c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3" x14ac:dyDescent="0.75">
      <c r="E45" s="70">
        <f t="shared" si="2"/>
        <v>0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</row>
    <row r="46" spans="1:33" x14ac:dyDescent="0.75">
      <c r="B46" s="88" t="s">
        <v>925</v>
      </c>
      <c r="D46" s="70">
        <f>SUM(E38:E46)</f>
        <v>756436</v>
      </c>
      <c r="E46" s="70">
        <f t="shared" si="2"/>
        <v>0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spans="1:33" x14ac:dyDescent="0.75">
      <c r="E47" s="70">
        <f t="shared" si="2"/>
        <v>0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</row>
    <row r="48" spans="1:33" x14ac:dyDescent="0.75">
      <c r="D48" s="71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32"/>
      <c r="AF48" s="32"/>
      <c r="AG48" s="32"/>
    </row>
    <row r="49" spans="2:33" ht="15.5" thickBot="1" x14ac:dyDescent="0.9">
      <c r="B49" s="88" t="s">
        <v>927</v>
      </c>
      <c r="D49" s="73" t="e">
        <f>SUM(D11:D48)</f>
        <v>#REF!</v>
      </c>
      <c r="E49" s="73" t="e">
        <f>SUM(E11:E48)</f>
        <v>#REF!</v>
      </c>
      <c r="F49" s="73">
        <f>F8-SUM(F9:F48)</f>
        <v>197513</v>
      </c>
      <c r="G49" s="73">
        <f t="shared" ref="G49:AD49" si="3">G8-SUM(G9:G48)</f>
        <v>0</v>
      </c>
      <c r="H49" s="73">
        <f t="shared" si="3"/>
        <v>0</v>
      </c>
      <c r="I49" s="73">
        <f t="shared" si="3"/>
        <v>0</v>
      </c>
      <c r="J49" s="73">
        <f t="shared" si="3"/>
        <v>0</v>
      </c>
      <c r="K49" s="73">
        <f t="shared" si="3"/>
        <v>0</v>
      </c>
      <c r="L49" s="73">
        <f t="shared" si="3"/>
        <v>0</v>
      </c>
      <c r="M49" s="73">
        <f t="shared" si="3"/>
        <v>0</v>
      </c>
      <c r="N49" s="73">
        <f t="shared" si="3"/>
        <v>0</v>
      </c>
      <c r="O49" s="73">
        <f t="shared" si="3"/>
        <v>0</v>
      </c>
      <c r="P49" s="73">
        <f t="shared" si="3"/>
        <v>0</v>
      </c>
      <c r="Q49" s="73">
        <f t="shared" si="3"/>
        <v>0</v>
      </c>
      <c r="R49" s="73">
        <f t="shared" si="3"/>
        <v>0</v>
      </c>
      <c r="S49" s="73">
        <f t="shared" si="3"/>
        <v>0</v>
      </c>
      <c r="T49" s="73">
        <f t="shared" si="3"/>
        <v>0</v>
      </c>
      <c r="U49" s="73">
        <f t="shared" si="3"/>
        <v>0</v>
      </c>
      <c r="V49" s="73" t="e">
        <f t="shared" si="3"/>
        <v>#REF!</v>
      </c>
      <c r="W49" s="73">
        <f t="shared" si="3"/>
        <v>0</v>
      </c>
      <c r="X49" s="73">
        <f t="shared" si="3"/>
        <v>0</v>
      </c>
      <c r="Y49" s="73">
        <f t="shared" si="3"/>
        <v>0</v>
      </c>
      <c r="Z49" s="73">
        <f t="shared" si="3"/>
        <v>0</v>
      </c>
      <c r="AA49" s="73">
        <f t="shared" si="3"/>
        <v>0</v>
      </c>
      <c r="AB49" s="73">
        <f t="shared" si="3"/>
        <v>0</v>
      </c>
      <c r="AC49" s="73">
        <f t="shared" si="3"/>
        <v>0</v>
      </c>
      <c r="AD49" s="73" t="e">
        <f t="shared" si="3"/>
        <v>#REF!</v>
      </c>
      <c r="AE49" s="32"/>
      <c r="AF49" s="32"/>
      <c r="AG49" s="32"/>
    </row>
    <row r="50" spans="2:33" ht="15.5" thickTop="1" x14ac:dyDescent="0.75">
      <c r="E50" s="70"/>
      <c r="F50" s="32" t="e">
        <f>E49</f>
        <v>#REF!</v>
      </c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</row>
    <row r="51" spans="2:33" x14ac:dyDescent="0.75">
      <c r="E51" s="70"/>
      <c r="F51" s="32" t="e">
        <f>F49-F50</f>
        <v>#REF!</v>
      </c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</row>
    <row r="52" spans="2:33" x14ac:dyDescent="0.75">
      <c r="E52" s="70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</row>
    <row r="53" spans="2:33" x14ac:dyDescent="0.75">
      <c r="E53" s="70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</row>
    <row r="54" spans="2:33" x14ac:dyDescent="0.75">
      <c r="E54" s="70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</row>
    <row r="55" spans="2:33" x14ac:dyDescent="0.75">
      <c r="E55" s="70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</row>
    <row r="56" spans="2:33" x14ac:dyDescent="0.75">
      <c r="E56" s="70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</row>
    <row r="57" spans="2:33" x14ac:dyDescent="0.75">
      <c r="E57" s="70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</row>
    <row r="58" spans="2:33" x14ac:dyDescent="0.75">
      <c r="E58" s="70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</row>
    <row r="59" spans="2:33" x14ac:dyDescent="0.75">
      <c r="E59" s="70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</row>
    <row r="60" spans="2:33" x14ac:dyDescent="0.75">
      <c r="E60" s="70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</row>
    <row r="61" spans="2:33" x14ac:dyDescent="0.75">
      <c r="E61" s="70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</row>
    <row r="62" spans="2:33" x14ac:dyDescent="0.75">
      <c r="E62" s="70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</row>
    <row r="63" spans="2:33" x14ac:dyDescent="0.75"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</row>
    <row r="64" spans="2:33" x14ac:dyDescent="0.75"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</row>
    <row r="65" spans="6:33" x14ac:dyDescent="0.75"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</row>
    <row r="66" spans="6:33" x14ac:dyDescent="0.75"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</row>
    <row r="67" spans="6:33" x14ac:dyDescent="0.75"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</row>
    <row r="68" spans="6:33" x14ac:dyDescent="0.75"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</row>
    <row r="69" spans="6:33" x14ac:dyDescent="0.75"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</row>
    <row r="70" spans="6:33" x14ac:dyDescent="0.75"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</row>
    <row r="71" spans="6:33" x14ac:dyDescent="0.75"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</row>
    <row r="72" spans="6:33" x14ac:dyDescent="0.75"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</row>
    <row r="73" spans="6:33" x14ac:dyDescent="0.75"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</row>
    <row r="74" spans="6:33" x14ac:dyDescent="0.75"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</row>
    <row r="75" spans="6:33" x14ac:dyDescent="0.75"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</row>
    <row r="76" spans="6:33" x14ac:dyDescent="0.75"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</row>
    <row r="77" spans="6:33" x14ac:dyDescent="0.75"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</row>
    <row r="78" spans="6:33" x14ac:dyDescent="0.75"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</row>
    <row r="79" spans="6:33" x14ac:dyDescent="0.75"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</row>
    <row r="80" spans="6:33" x14ac:dyDescent="0.75"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</row>
    <row r="81" spans="6:33" x14ac:dyDescent="0.75"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</row>
    <row r="82" spans="6:33" x14ac:dyDescent="0.75"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</row>
    <row r="83" spans="6:33" x14ac:dyDescent="0.75"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</row>
    <row r="84" spans="6:33" x14ac:dyDescent="0.75"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</row>
    <row r="85" spans="6:33" x14ac:dyDescent="0.75"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</row>
    <row r="86" spans="6:33" x14ac:dyDescent="0.75"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</row>
    <row r="87" spans="6:33" x14ac:dyDescent="0.75"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</row>
    <row r="88" spans="6:33" x14ac:dyDescent="0.75"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</row>
    <row r="89" spans="6:33" x14ac:dyDescent="0.75"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</row>
    <row r="90" spans="6:33" x14ac:dyDescent="0.75"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</row>
    <row r="91" spans="6:33" x14ac:dyDescent="0.75"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</row>
    <row r="92" spans="6:33" x14ac:dyDescent="0.75"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</row>
    <row r="93" spans="6:33" x14ac:dyDescent="0.75"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</row>
    <row r="94" spans="6:33" x14ac:dyDescent="0.75"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</row>
    <row r="95" spans="6:33" x14ac:dyDescent="0.75"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</row>
    <row r="96" spans="6:33" x14ac:dyDescent="0.75"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</row>
    <row r="97" spans="6:33" x14ac:dyDescent="0.75"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</row>
    <row r="98" spans="6:33" x14ac:dyDescent="0.75"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</row>
    <row r="99" spans="6:33" x14ac:dyDescent="0.75"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</row>
    <row r="100" spans="6:33" x14ac:dyDescent="0.75"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</row>
    <row r="101" spans="6:33" x14ac:dyDescent="0.75"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</row>
    <row r="102" spans="6:33" x14ac:dyDescent="0.75"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</row>
    <row r="103" spans="6:33" x14ac:dyDescent="0.75"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</row>
    <row r="104" spans="6:33" x14ac:dyDescent="0.75"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</row>
    <row r="105" spans="6:33" x14ac:dyDescent="0.75"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</row>
    <row r="106" spans="6:33" x14ac:dyDescent="0.75"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</row>
    <row r="107" spans="6:33" x14ac:dyDescent="0.75"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</row>
    <row r="108" spans="6:33" x14ac:dyDescent="0.75"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</row>
    <row r="109" spans="6:33" x14ac:dyDescent="0.75"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</row>
    <row r="110" spans="6:33" x14ac:dyDescent="0.75"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</row>
    <row r="111" spans="6:33" x14ac:dyDescent="0.75"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</row>
    <row r="112" spans="6:33" x14ac:dyDescent="0.75"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</row>
    <row r="113" spans="6:33" x14ac:dyDescent="0.75"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</row>
    <row r="114" spans="6:33" x14ac:dyDescent="0.75"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</row>
    <row r="115" spans="6:33" x14ac:dyDescent="0.75"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</row>
    <row r="116" spans="6:33" x14ac:dyDescent="0.75"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</row>
    <row r="117" spans="6:33" x14ac:dyDescent="0.75"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</row>
    <row r="118" spans="6:33" x14ac:dyDescent="0.75"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</row>
    <row r="119" spans="6:33" x14ac:dyDescent="0.75"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</row>
    <row r="120" spans="6:33" x14ac:dyDescent="0.75"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</row>
    <row r="121" spans="6:33" x14ac:dyDescent="0.75"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</row>
    <row r="122" spans="6:33" x14ac:dyDescent="0.75"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</row>
    <row r="123" spans="6:33" x14ac:dyDescent="0.75"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</row>
    <row r="124" spans="6:33" x14ac:dyDescent="0.75"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</row>
    <row r="125" spans="6:33" x14ac:dyDescent="0.75"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</row>
    <row r="126" spans="6:33" x14ac:dyDescent="0.75"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</row>
    <row r="127" spans="6:33" x14ac:dyDescent="0.75"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</row>
    <row r="128" spans="6:33" x14ac:dyDescent="0.75"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</row>
    <row r="129" spans="6:33" x14ac:dyDescent="0.75"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</row>
    <row r="130" spans="6:33" x14ac:dyDescent="0.75"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</row>
    <row r="131" spans="6:33" x14ac:dyDescent="0.75"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</row>
    <row r="132" spans="6:33" x14ac:dyDescent="0.75"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</row>
    <row r="133" spans="6:33" x14ac:dyDescent="0.75"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</row>
    <row r="134" spans="6:33" x14ac:dyDescent="0.75"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</row>
    <row r="135" spans="6:33" x14ac:dyDescent="0.75"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</row>
    <row r="136" spans="6:33" x14ac:dyDescent="0.75"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</row>
    <row r="137" spans="6:33" x14ac:dyDescent="0.75"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</row>
    <row r="138" spans="6:33" x14ac:dyDescent="0.75"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</row>
    <row r="139" spans="6:33" x14ac:dyDescent="0.7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</row>
    <row r="140" spans="6:33" x14ac:dyDescent="0.7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</row>
    <row r="141" spans="6:33" x14ac:dyDescent="0.7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</row>
    <row r="142" spans="6:33" x14ac:dyDescent="0.7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</row>
    <row r="143" spans="6:33" x14ac:dyDescent="0.75"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</row>
    <row r="144" spans="6:33" x14ac:dyDescent="0.75"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</row>
    <row r="145" spans="6:33" x14ac:dyDescent="0.75"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</row>
    <row r="146" spans="6:33" x14ac:dyDescent="0.75"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</row>
    <row r="147" spans="6:33" x14ac:dyDescent="0.75"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</row>
    <row r="148" spans="6:33" x14ac:dyDescent="0.75"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</row>
    <row r="149" spans="6:33" x14ac:dyDescent="0.75"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</row>
    <row r="150" spans="6:33" x14ac:dyDescent="0.7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</row>
    <row r="151" spans="6:33" x14ac:dyDescent="0.7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</row>
    <row r="152" spans="6:33" x14ac:dyDescent="0.7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</row>
    <row r="153" spans="6:33" x14ac:dyDescent="0.7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</row>
    <row r="154" spans="6:33" x14ac:dyDescent="0.75"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</row>
    <row r="155" spans="6:33" x14ac:dyDescent="0.75"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</row>
    <row r="156" spans="6:33" x14ac:dyDescent="0.75"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</row>
    <row r="157" spans="6:33" x14ac:dyDescent="0.75"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</row>
    <row r="158" spans="6:33" x14ac:dyDescent="0.75"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</row>
    <row r="159" spans="6:33" x14ac:dyDescent="0.75"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</row>
    <row r="160" spans="6:33" x14ac:dyDescent="0.75"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</row>
    <row r="161" spans="6:33" x14ac:dyDescent="0.75"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</row>
    <row r="162" spans="6:33" x14ac:dyDescent="0.75"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</row>
    <row r="163" spans="6:33" x14ac:dyDescent="0.75"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</row>
    <row r="164" spans="6:33" x14ac:dyDescent="0.75"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</row>
    <row r="165" spans="6:33" x14ac:dyDescent="0.75"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</row>
    <row r="166" spans="6:33" x14ac:dyDescent="0.75"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</row>
    <row r="167" spans="6:33" x14ac:dyDescent="0.75"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</row>
    <row r="168" spans="6:33" x14ac:dyDescent="0.75"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</row>
    <row r="169" spans="6:33" x14ac:dyDescent="0.75"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</row>
    <row r="170" spans="6:33" x14ac:dyDescent="0.75"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</row>
    <row r="171" spans="6:33" x14ac:dyDescent="0.75"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</row>
    <row r="172" spans="6:33" x14ac:dyDescent="0.75"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</row>
    <row r="173" spans="6:33" x14ac:dyDescent="0.75"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</row>
    <row r="174" spans="6:33" x14ac:dyDescent="0.75"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</row>
    <row r="175" spans="6:33" x14ac:dyDescent="0.75"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</row>
    <row r="176" spans="6:33" x14ac:dyDescent="0.75"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</row>
    <row r="177" spans="6:33" x14ac:dyDescent="0.75"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</row>
    <row r="178" spans="6:33" x14ac:dyDescent="0.75"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27AE-DFDC-47BD-8882-B4F96FDAB06F}">
  <dimension ref="A2:AG178"/>
  <sheetViews>
    <sheetView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G34" sqref="G34"/>
    </sheetView>
  </sheetViews>
  <sheetFormatPr defaultColWidth="9.1328125" defaultRowHeight="14.75" x14ac:dyDescent="0.75"/>
  <cols>
    <col min="1" max="2" width="4.7265625" style="88" customWidth="1"/>
    <col min="3" max="3" width="33.26953125" style="88" customWidth="1"/>
    <col min="4" max="5" width="14.54296875" style="88" customWidth="1"/>
    <col min="6" max="30" width="17.26953125" style="88" customWidth="1"/>
    <col min="31" max="31" width="5" style="88" customWidth="1"/>
    <col min="32" max="32" width="15.40625" style="88" customWidth="1"/>
    <col min="33" max="16384" width="9.1328125" style="88"/>
  </cols>
  <sheetData>
    <row r="2" spans="1:33" x14ac:dyDescent="0.75">
      <c r="C2" s="75" t="s">
        <v>974</v>
      </c>
      <c r="X2" s="75"/>
      <c r="Y2" s="75"/>
    </row>
    <row r="4" spans="1:33" x14ac:dyDescent="0.75">
      <c r="M4" s="35" t="s">
        <v>923</v>
      </c>
      <c r="R4" s="35" t="s">
        <v>902</v>
      </c>
      <c r="S4" s="35" t="s">
        <v>904</v>
      </c>
      <c r="T4" s="35" t="s">
        <v>906</v>
      </c>
      <c r="U4" s="35" t="s">
        <v>907</v>
      </c>
      <c r="V4" s="35" t="s">
        <v>909</v>
      </c>
      <c r="X4" s="35" t="s">
        <v>912</v>
      </c>
      <c r="Y4" s="35" t="s">
        <v>970</v>
      </c>
      <c r="Z4" s="35" t="s">
        <v>913</v>
      </c>
      <c r="AA4" s="35" t="s">
        <v>418</v>
      </c>
      <c r="AC4" s="35" t="s">
        <v>931</v>
      </c>
      <c r="AD4" s="35" t="s">
        <v>916</v>
      </c>
    </row>
    <row r="5" spans="1:33" x14ac:dyDescent="0.75">
      <c r="F5" s="35" t="s">
        <v>388</v>
      </c>
      <c r="G5" s="35" t="s">
        <v>892</v>
      </c>
      <c r="H5" s="35" t="s">
        <v>893</v>
      </c>
      <c r="I5" s="35" t="s">
        <v>894</v>
      </c>
      <c r="J5" s="35" t="s">
        <v>895</v>
      </c>
      <c r="K5" s="35" t="s">
        <v>896</v>
      </c>
      <c r="L5" s="35" t="s">
        <v>498</v>
      </c>
      <c r="M5" s="35" t="s">
        <v>924</v>
      </c>
      <c r="N5" s="35" t="s">
        <v>897</v>
      </c>
      <c r="O5" s="35" t="s">
        <v>898</v>
      </c>
      <c r="P5" s="35" t="s">
        <v>899</v>
      </c>
      <c r="Q5" s="35" t="s">
        <v>900</v>
      </c>
      <c r="R5" s="35" t="s">
        <v>903</v>
      </c>
      <c r="S5" s="35" t="s">
        <v>905</v>
      </c>
      <c r="T5" s="35" t="s">
        <v>1</v>
      </c>
      <c r="U5" s="35" t="s">
        <v>908</v>
      </c>
      <c r="V5" s="35" t="s">
        <v>910</v>
      </c>
      <c r="W5" s="35" t="s">
        <v>911</v>
      </c>
      <c r="X5" s="35" t="s">
        <v>905</v>
      </c>
      <c r="Y5" s="35" t="s">
        <v>972</v>
      </c>
      <c r="Z5" s="35" t="s">
        <v>914</v>
      </c>
      <c r="AA5" s="35" t="s">
        <v>914</v>
      </c>
      <c r="AB5" s="35" t="s">
        <v>915</v>
      </c>
      <c r="AC5" s="35" t="s">
        <v>914</v>
      </c>
      <c r="AD5" s="35" t="s">
        <v>917</v>
      </c>
    </row>
    <row r="6" spans="1:33" x14ac:dyDescent="0.75">
      <c r="E6" s="68">
        <f>'Balance Sheets'!$F$5</f>
        <v>43769</v>
      </c>
      <c r="F6" s="32">
        <f>'Balance Sheets'!$F$8</f>
        <v>118624</v>
      </c>
      <c r="G6" s="32">
        <f>'Balance Sheets'!$F$9</f>
        <v>44569</v>
      </c>
      <c r="H6" s="32">
        <f>'Balance Sheets'!$F$10</f>
        <v>129800</v>
      </c>
      <c r="I6" s="32">
        <f>'Balance Sheets'!$F$11</f>
        <v>0</v>
      </c>
      <c r="J6" s="32">
        <f>'Balance Sheets'!$F$12</f>
        <v>13000</v>
      </c>
      <c r="K6" s="32">
        <f>'Balance Sheets'!$F$16</f>
        <v>196271</v>
      </c>
      <c r="L6" s="32">
        <f>'Balance Sheets'!$F$17</f>
        <v>0</v>
      </c>
      <c r="M6" s="32">
        <f>'Balance Sheets'!$F$18</f>
        <v>62155</v>
      </c>
      <c r="N6" s="32">
        <f>'Balance Sheets'!$F$19</f>
        <v>0</v>
      </c>
      <c r="O6" s="32">
        <f>'Balance Sheets'!$F$20</f>
        <v>0</v>
      </c>
      <c r="P6" s="32">
        <f>-'Balance Sheets'!$F$27</f>
        <v>-31667</v>
      </c>
      <c r="Q6" s="32">
        <f>-'Balance Sheets'!$F$28</f>
        <v>-20456</v>
      </c>
      <c r="R6" s="32">
        <f>-'Balance Sheets'!$F$29</f>
        <v>-78340</v>
      </c>
      <c r="S6" s="32">
        <f>-'Balance Sheets'!$F$30</f>
        <v>-41193</v>
      </c>
      <c r="T6" s="32">
        <f>-'Balance Sheets'!$F$32</f>
        <v>0</v>
      </c>
      <c r="U6" s="32">
        <f>-'Balance Sheets'!$F$33</f>
        <v>-45561</v>
      </c>
      <c r="V6" s="32" t="e">
        <f>-'Balance Sheets'!#REF!</f>
        <v>#REF!</v>
      </c>
      <c r="W6" s="32">
        <f>-'Balance Sheets'!$F$35</f>
        <v>0</v>
      </c>
      <c r="X6" s="32">
        <f>-'Balance Sheets'!$F$42</f>
        <v>-143199</v>
      </c>
      <c r="Y6" s="32">
        <f>-'Balance Sheets'!$F$43</f>
        <v>-40245</v>
      </c>
      <c r="Z6" s="32">
        <f>-'Balance Sheets'!$F$59</f>
        <v>0</v>
      </c>
      <c r="AA6" s="32">
        <f>-'Balance Sheets'!$F$61</f>
        <v>-46290</v>
      </c>
      <c r="AB6" s="32">
        <f>-'Balance Sheets'!$F$62</f>
        <v>-7407220</v>
      </c>
      <c r="AC6" s="32">
        <f>-'Balance Sheets'!$F$63</f>
        <v>84000</v>
      </c>
      <c r="AD6" s="32">
        <f>-'Balance Sheets'!$F$64</f>
        <v>9775157</v>
      </c>
      <c r="AE6" s="32"/>
      <c r="AF6" s="32" t="e">
        <f>SUM(F6:AE6)</f>
        <v>#REF!</v>
      </c>
      <c r="AG6" s="32"/>
    </row>
    <row r="7" spans="1:33" x14ac:dyDescent="0.75">
      <c r="E7" s="68">
        <f>'Balance Sheets'!$O$5</f>
        <v>43861</v>
      </c>
      <c r="F7" s="32">
        <f>'Balance Sheets'!$O$8</f>
        <v>384845</v>
      </c>
      <c r="G7" s="32">
        <f>'Balance Sheets'!$O$9</f>
        <v>216396</v>
      </c>
      <c r="H7" s="32">
        <f>'Balance Sheets'!$O$10</f>
        <v>0</v>
      </c>
      <c r="I7" s="32">
        <f>'Balance Sheets'!$O$11</f>
        <v>-21989</v>
      </c>
      <c r="J7" s="32">
        <f>'Balance Sheets'!$O$12</f>
        <v>80750</v>
      </c>
      <c r="K7" s="32">
        <f>'Balance Sheets'!$O$16</f>
        <v>180309</v>
      </c>
      <c r="L7" s="32">
        <f>'Balance Sheets'!$O$17</f>
        <v>0</v>
      </c>
      <c r="M7" s="32">
        <f>'Balance Sheets'!$O$18</f>
        <v>56459</v>
      </c>
      <c r="N7" s="32">
        <f>'Balance Sheets'!$O$19</f>
        <v>0</v>
      </c>
      <c r="O7" s="32">
        <f>'Balance Sheets'!$O$20</f>
        <v>0</v>
      </c>
      <c r="P7" s="32">
        <f>-'Balance Sheets'!$O$27</f>
        <v>-15899</v>
      </c>
      <c r="Q7" s="32">
        <f>-'Balance Sheets'!$O$28</f>
        <v>0</v>
      </c>
      <c r="R7" s="32">
        <f>-'Balance Sheets'!$O$29</f>
        <v>-78103</v>
      </c>
      <c r="S7" s="32">
        <f>-'Balance Sheets'!$O$30</f>
        <v>-41193</v>
      </c>
      <c r="T7" s="32">
        <f>-'Balance Sheets'!$O$32</f>
        <v>0</v>
      </c>
      <c r="U7" s="32">
        <f>-'Balance Sheets'!$O$33</f>
        <v>-136754</v>
      </c>
      <c r="V7" s="32" t="e">
        <f>-'Balance Sheets'!#REF!</f>
        <v>#REF!</v>
      </c>
      <c r="W7" s="32">
        <f>-'Balance Sheets'!$O$35</f>
        <v>0</v>
      </c>
      <c r="X7" s="32">
        <f>-'Balance Sheets'!$O$42</f>
        <v>-133217</v>
      </c>
      <c r="Y7" s="32">
        <f>-'Balance Sheets'!$O$43</f>
        <v>-34549</v>
      </c>
      <c r="Z7" s="32">
        <f>-'Balance Sheets'!$O$59</f>
        <v>-125013</v>
      </c>
      <c r="AA7" s="32">
        <f>-'Balance Sheets'!$O$61</f>
        <v>-46290</v>
      </c>
      <c r="AB7" s="32">
        <f>-'Balance Sheets'!$O$62</f>
        <v>-7871076</v>
      </c>
      <c r="AC7" s="32">
        <f>-'Balance Sheets'!$O$63</f>
        <v>84000</v>
      </c>
      <c r="AD7" s="32" t="e">
        <f>-'Balance Sheets'!$O$64</f>
        <v>#REF!</v>
      </c>
      <c r="AE7" s="32"/>
      <c r="AF7" s="32" t="e">
        <f>SUM(F7:AE7)</f>
        <v>#REF!</v>
      </c>
      <c r="AG7" s="32"/>
    </row>
    <row r="8" spans="1:33" x14ac:dyDescent="0.75">
      <c r="F8" s="69">
        <f>F7-F6</f>
        <v>266221</v>
      </c>
      <c r="G8" s="69">
        <f>G6-G7</f>
        <v>-171827</v>
      </c>
      <c r="H8" s="69">
        <f t="shared" ref="H8:AD8" si="0">H6-H7</f>
        <v>129800</v>
      </c>
      <c r="I8" s="69">
        <f t="shared" si="0"/>
        <v>21989</v>
      </c>
      <c r="J8" s="69">
        <f t="shared" si="0"/>
        <v>-67750</v>
      </c>
      <c r="K8" s="69">
        <f t="shared" si="0"/>
        <v>15962</v>
      </c>
      <c r="L8" s="69">
        <f t="shared" si="0"/>
        <v>0</v>
      </c>
      <c r="M8" s="69">
        <f t="shared" si="0"/>
        <v>5696</v>
      </c>
      <c r="N8" s="69">
        <f t="shared" si="0"/>
        <v>0</v>
      </c>
      <c r="O8" s="69">
        <f t="shared" si="0"/>
        <v>0</v>
      </c>
      <c r="P8" s="69">
        <f t="shared" si="0"/>
        <v>-15768</v>
      </c>
      <c r="Q8" s="69">
        <f t="shared" si="0"/>
        <v>-20456</v>
      </c>
      <c r="R8" s="69">
        <f t="shared" si="0"/>
        <v>-237</v>
      </c>
      <c r="S8" s="69">
        <f t="shared" si="0"/>
        <v>0</v>
      </c>
      <c r="T8" s="69">
        <f t="shared" si="0"/>
        <v>0</v>
      </c>
      <c r="U8" s="69">
        <f t="shared" si="0"/>
        <v>91193</v>
      </c>
      <c r="V8" s="69" t="e">
        <f t="shared" si="0"/>
        <v>#REF!</v>
      </c>
      <c r="W8" s="69">
        <f t="shared" si="0"/>
        <v>0</v>
      </c>
      <c r="X8" s="69">
        <f t="shared" si="0"/>
        <v>-9982</v>
      </c>
      <c r="Y8" s="69">
        <f t="shared" si="0"/>
        <v>-5696</v>
      </c>
      <c r="Z8" s="69">
        <f t="shared" si="0"/>
        <v>125013</v>
      </c>
      <c r="AA8" s="69">
        <f t="shared" si="0"/>
        <v>0</v>
      </c>
      <c r="AB8" s="69">
        <f t="shared" si="0"/>
        <v>463856</v>
      </c>
      <c r="AC8" s="69">
        <f t="shared" si="0"/>
        <v>0</v>
      </c>
      <c r="AD8" s="69" t="e">
        <f t="shared" si="0"/>
        <v>#REF!</v>
      </c>
      <c r="AE8" s="32"/>
      <c r="AF8" s="32"/>
      <c r="AG8" s="32"/>
    </row>
    <row r="9" spans="1:33" x14ac:dyDescent="0.75"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1:33" x14ac:dyDescent="0.75">
      <c r="A10" s="88" t="s">
        <v>879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</row>
    <row r="11" spans="1:33" x14ac:dyDescent="0.75">
      <c r="B11" s="88" t="s">
        <v>880</v>
      </c>
      <c r="E11" s="70" t="e">
        <f t="shared" ref="E11:E29" si="1">SUM(F11:AE11)</f>
        <v>#REF!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 t="e">
        <f>AD8</f>
        <v>#REF!</v>
      </c>
      <c r="AE11" s="32"/>
      <c r="AF11" s="32"/>
      <c r="AG11" s="32"/>
    </row>
    <row r="12" spans="1:33" x14ac:dyDescent="0.75">
      <c r="E12" s="70">
        <f t="shared" si="1"/>
        <v>0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</row>
    <row r="13" spans="1:33" x14ac:dyDescent="0.75">
      <c r="B13" s="88" t="s">
        <v>881</v>
      </c>
      <c r="E13" s="70">
        <f t="shared" si="1"/>
        <v>0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</row>
    <row r="14" spans="1:33" x14ac:dyDescent="0.75">
      <c r="C14" s="88" t="s">
        <v>882</v>
      </c>
      <c r="E14" s="70">
        <f t="shared" si="1"/>
        <v>17075</v>
      </c>
      <c r="F14" s="32"/>
      <c r="G14" s="32"/>
      <c r="H14" s="32"/>
      <c r="I14" s="32"/>
      <c r="J14" s="32"/>
      <c r="K14" s="32">
        <f>ROUND('Q1 TB-20'!G161,0)</f>
        <v>17075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 x14ac:dyDescent="0.75">
      <c r="C15" s="88" t="s">
        <v>883</v>
      </c>
      <c r="E15" s="70">
        <f t="shared" si="1"/>
        <v>0</v>
      </c>
      <c r="F15" s="32"/>
      <c r="G15" s="32"/>
      <c r="H15" s="32"/>
      <c r="I15" s="32"/>
      <c r="J15" s="32"/>
      <c r="K15" s="32"/>
      <c r="L15" s="32">
        <f>ROUND('Q1 TB-20'!G150,0)</f>
        <v>0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</row>
    <row r="16" spans="1:33" x14ac:dyDescent="0.75">
      <c r="C16" s="88" t="s">
        <v>884</v>
      </c>
      <c r="E16" s="70">
        <f t="shared" si="1"/>
        <v>0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</row>
    <row r="17" spans="1:33" x14ac:dyDescent="0.75">
      <c r="E17" s="70">
        <f t="shared" si="1"/>
        <v>0</v>
      </c>
      <c r="F17" s="32"/>
      <c r="G17" s="32"/>
      <c r="H17" s="32"/>
      <c r="I17" s="32"/>
      <c r="J17" s="32"/>
      <c r="K17" s="32"/>
      <c r="L17" s="32"/>
      <c r="M17" s="32">
        <f>M8</f>
        <v>5696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>
        <f>Y8</f>
        <v>-5696</v>
      </c>
      <c r="Z17" s="32"/>
      <c r="AA17" s="32"/>
      <c r="AB17" s="32"/>
      <c r="AC17" s="32"/>
      <c r="AD17" s="32"/>
      <c r="AE17" s="32"/>
      <c r="AF17" s="32"/>
      <c r="AG17" s="32"/>
    </row>
    <row r="18" spans="1:33" x14ac:dyDescent="0.75">
      <c r="B18" s="88" t="s">
        <v>885</v>
      </c>
      <c r="E18" s="70">
        <f t="shared" si="1"/>
        <v>0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</row>
    <row r="19" spans="1:33" x14ac:dyDescent="0.75">
      <c r="C19" s="88" t="s">
        <v>886</v>
      </c>
      <c r="E19" s="70">
        <f t="shared" si="1"/>
        <v>-171827</v>
      </c>
      <c r="F19" s="32"/>
      <c r="G19" s="32">
        <f>G8</f>
        <v>-171827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</row>
    <row r="20" spans="1:33" x14ac:dyDescent="0.75">
      <c r="C20" s="88" t="s">
        <v>887</v>
      </c>
      <c r="E20" s="70">
        <f t="shared" si="1"/>
        <v>129800</v>
      </c>
      <c r="F20" s="32"/>
      <c r="G20" s="32"/>
      <c r="H20" s="32">
        <f>H8</f>
        <v>129800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</row>
    <row r="21" spans="1:33" x14ac:dyDescent="0.75">
      <c r="C21" s="88" t="s">
        <v>894</v>
      </c>
      <c r="E21" s="70">
        <f t="shared" si="1"/>
        <v>21989</v>
      </c>
      <c r="F21" s="32"/>
      <c r="G21" s="32"/>
      <c r="H21" s="32"/>
      <c r="I21" s="32">
        <f>I8</f>
        <v>21989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</row>
    <row r="22" spans="1:33" x14ac:dyDescent="0.75">
      <c r="C22" s="88" t="s">
        <v>888</v>
      </c>
      <c r="E22" s="70">
        <f t="shared" si="1"/>
        <v>-67750</v>
      </c>
      <c r="F22" s="32"/>
      <c r="G22" s="32"/>
      <c r="H22" s="32"/>
      <c r="I22" s="32"/>
      <c r="J22" s="32">
        <f>J8</f>
        <v>-67750</v>
      </c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</row>
    <row r="23" spans="1:33" x14ac:dyDescent="0.75">
      <c r="C23" s="88" t="s">
        <v>517</v>
      </c>
      <c r="E23" s="70">
        <f t="shared" si="1"/>
        <v>-15768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>
        <f>P8</f>
        <v>-15768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</row>
    <row r="24" spans="1:33" x14ac:dyDescent="0.75">
      <c r="C24" s="88" t="s">
        <v>889</v>
      </c>
      <c r="E24" s="70">
        <f t="shared" si="1"/>
        <v>-20456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>
        <f>Q8</f>
        <v>-20456</v>
      </c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</row>
    <row r="25" spans="1:33" x14ac:dyDescent="0.75">
      <c r="C25" s="88" t="s">
        <v>412</v>
      </c>
      <c r="E25" s="70">
        <f t="shared" si="1"/>
        <v>-237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>
        <f>R8</f>
        <v>-237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</row>
    <row r="26" spans="1:33" x14ac:dyDescent="0.75">
      <c r="C26" s="88" t="s">
        <v>890</v>
      </c>
      <c r="E26" s="70">
        <f t="shared" si="1"/>
        <v>91193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>
        <f>U8</f>
        <v>91193</v>
      </c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</row>
    <row r="27" spans="1:33" x14ac:dyDescent="0.75">
      <c r="C27" s="88" t="s">
        <v>891</v>
      </c>
      <c r="E27" s="70" t="e">
        <f t="shared" si="1"/>
        <v>#REF!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 t="e">
        <f>V8</f>
        <v>#REF!</v>
      </c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</row>
    <row r="28" spans="1:33" x14ac:dyDescent="0.75">
      <c r="E28" s="70">
        <f t="shared" si="1"/>
        <v>0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</row>
    <row r="29" spans="1:33" x14ac:dyDescent="0.75">
      <c r="B29" s="88" t="s">
        <v>918</v>
      </c>
      <c r="D29" s="70" t="e">
        <f>SUM(E11:E29)</f>
        <v>#REF!</v>
      </c>
      <c r="E29" s="70">
        <f t="shared" si="1"/>
        <v>0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</row>
    <row r="30" spans="1:33" x14ac:dyDescent="0.75">
      <c r="E30" s="70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spans="1:33" x14ac:dyDescent="0.75">
      <c r="A31" s="88" t="s">
        <v>919</v>
      </c>
      <c r="E31" s="70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</row>
    <row r="32" spans="1:33" x14ac:dyDescent="0.75">
      <c r="B32" s="88" t="s">
        <v>896</v>
      </c>
      <c r="E32" s="70">
        <f t="shared" ref="E32:E47" si="2">SUM(F32:AE32)</f>
        <v>-1113</v>
      </c>
      <c r="F32" s="32"/>
      <c r="G32" s="32"/>
      <c r="H32" s="32"/>
      <c r="I32" s="32"/>
      <c r="J32" s="32"/>
      <c r="K32" s="32">
        <f>K8-K14</f>
        <v>-1113</v>
      </c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</row>
    <row r="33" spans="1:33" x14ac:dyDescent="0.75">
      <c r="B33" s="88" t="s">
        <v>498</v>
      </c>
      <c r="E33" s="70">
        <f t="shared" si="2"/>
        <v>0</v>
      </c>
      <c r="F33" s="32"/>
      <c r="G33" s="32"/>
      <c r="H33" s="32"/>
      <c r="I33" s="32"/>
      <c r="J33" s="32"/>
      <c r="K33" s="32"/>
      <c r="L33" s="32">
        <f>L8-L15</f>
        <v>0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</row>
    <row r="34" spans="1:33" x14ac:dyDescent="0.75">
      <c r="B34" s="88" t="s">
        <v>975</v>
      </c>
      <c r="E34" s="70">
        <f t="shared" si="2"/>
        <v>0</v>
      </c>
      <c r="F34" s="32"/>
      <c r="G34" s="32"/>
      <c r="H34" s="32"/>
      <c r="I34" s="32"/>
      <c r="J34" s="32"/>
      <c r="K34" s="32"/>
      <c r="L34" s="32"/>
      <c r="M34" s="32"/>
      <c r="N34" s="32"/>
      <c r="O34" s="32">
        <f>O8</f>
        <v>0</v>
      </c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</row>
    <row r="35" spans="1:33" x14ac:dyDescent="0.75">
      <c r="E35" s="70">
        <f t="shared" si="2"/>
        <v>0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spans="1:33" x14ac:dyDescent="0.75">
      <c r="B36" s="88" t="s">
        <v>926</v>
      </c>
      <c r="D36" s="70">
        <f>SUM(E32:E36)</f>
        <v>-1113</v>
      </c>
      <c r="E36" s="70">
        <f t="shared" si="2"/>
        <v>0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3" x14ac:dyDescent="0.75">
      <c r="E37" s="70">
        <f t="shared" si="2"/>
        <v>0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3" x14ac:dyDescent="0.75">
      <c r="A38" s="88" t="s">
        <v>920</v>
      </c>
      <c r="E38" s="70">
        <f t="shared" si="2"/>
        <v>0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</row>
    <row r="39" spans="1:33" x14ac:dyDescent="0.75">
      <c r="B39" s="88" t="s">
        <v>928</v>
      </c>
      <c r="E39" s="70">
        <f t="shared" si="2"/>
        <v>0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</row>
    <row r="40" spans="1:33" x14ac:dyDescent="0.75">
      <c r="B40" s="88" t="s">
        <v>929</v>
      </c>
      <c r="E40" s="70">
        <f t="shared" si="2"/>
        <v>588869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>
        <f>Z8</f>
        <v>125013</v>
      </c>
      <c r="AA40" s="32"/>
      <c r="AB40" s="32">
        <f>AB8</f>
        <v>463856</v>
      </c>
      <c r="AC40" s="32"/>
      <c r="AD40" s="32"/>
      <c r="AE40" s="32"/>
      <c r="AF40" s="32"/>
      <c r="AG40" s="32"/>
    </row>
    <row r="41" spans="1:33" x14ac:dyDescent="0.75">
      <c r="B41" s="88" t="s">
        <v>935</v>
      </c>
      <c r="E41" s="70">
        <f t="shared" si="2"/>
        <v>0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>
        <f>AC8</f>
        <v>0</v>
      </c>
      <c r="AD41" s="32"/>
      <c r="AE41" s="32"/>
      <c r="AF41" s="32"/>
      <c r="AG41" s="32"/>
    </row>
    <row r="42" spans="1:33" x14ac:dyDescent="0.75">
      <c r="B42" s="88" t="s">
        <v>936</v>
      </c>
      <c r="E42" s="70">
        <f t="shared" si="2"/>
        <v>0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>
        <f>W8</f>
        <v>0</v>
      </c>
      <c r="X42" s="32"/>
      <c r="Y42" s="32"/>
      <c r="Z42" s="32"/>
      <c r="AA42" s="32"/>
      <c r="AB42" s="32"/>
      <c r="AC42" s="32"/>
      <c r="AD42" s="32"/>
      <c r="AE42" s="32"/>
      <c r="AF42" s="32"/>
      <c r="AG42" s="32"/>
    </row>
    <row r="43" spans="1:33" x14ac:dyDescent="0.75">
      <c r="B43" s="88" t="s">
        <v>937</v>
      </c>
      <c r="E43" s="70">
        <f t="shared" si="2"/>
        <v>-9982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>
        <f>S8</f>
        <v>0</v>
      </c>
      <c r="T43" s="32"/>
      <c r="U43" s="32"/>
      <c r="V43" s="32"/>
      <c r="W43" s="32"/>
      <c r="X43" s="32">
        <f>X8</f>
        <v>-9982</v>
      </c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3" x14ac:dyDescent="0.75">
      <c r="B44" s="88" t="s">
        <v>973</v>
      </c>
      <c r="E44" s="70">
        <f t="shared" si="2"/>
        <v>0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>
        <f>T8</f>
        <v>0</v>
      </c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3" x14ac:dyDescent="0.75">
      <c r="E45" s="70">
        <f t="shared" si="2"/>
        <v>0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</row>
    <row r="46" spans="1:33" x14ac:dyDescent="0.75">
      <c r="B46" s="88" t="s">
        <v>925</v>
      </c>
      <c r="D46" s="70">
        <f>SUM(E38:E46)</f>
        <v>578887</v>
      </c>
      <c r="E46" s="70">
        <f t="shared" si="2"/>
        <v>0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spans="1:33" x14ac:dyDescent="0.75">
      <c r="E47" s="70">
        <f t="shared" si="2"/>
        <v>0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</row>
    <row r="48" spans="1:33" x14ac:dyDescent="0.75">
      <c r="D48" s="71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32"/>
      <c r="AF48" s="32"/>
      <c r="AG48" s="32"/>
    </row>
    <row r="49" spans="2:33" ht="15.5" thickBot="1" x14ac:dyDescent="0.9">
      <c r="B49" s="88" t="s">
        <v>927</v>
      </c>
      <c r="D49" s="73" t="e">
        <f>SUM(D11:D48)</f>
        <v>#REF!</v>
      </c>
      <c r="E49" s="73" t="e">
        <f>SUM(E11:E48)</f>
        <v>#REF!</v>
      </c>
      <c r="F49" s="73">
        <f>F8-SUM(F9:F48)</f>
        <v>266221</v>
      </c>
      <c r="G49" s="73">
        <f t="shared" ref="G49:AD49" si="3">G8-SUM(G9:G48)</f>
        <v>0</v>
      </c>
      <c r="H49" s="73">
        <f t="shared" si="3"/>
        <v>0</v>
      </c>
      <c r="I49" s="73">
        <f t="shared" si="3"/>
        <v>0</v>
      </c>
      <c r="J49" s="73">
        <f t="shared" si="3"/>
        <v>0</v>
      </c>
      <c r="K49" s="73">
        <f t="shared" si="3"/>
        <v>0</v>
      </c>
      <c r="L49" s="73">
        <f t="shared" si="3"/>
        <v>0</v>
      </c>
      <c r="M49" s="73">
        <f t="shared" si="3"/>
        <v>0</v>
      </c>
      <c r="N49" s="73">
        <f t="shared" si="3"/>
        <v>0</v>
      </c>
      <c r="O49" s="73">
        <f t="shared" si="3"/>
        <v>0</v>
      </c>
      <c r="P49" s="73">
        <f t="shared" si="3"/>
        <v>0</v>
      </c>
      <c r="Q49" s="73">
        <f t="shared" si="3"/>
        <v>0</v>
      </c>
      <c r="R49" s="73">
        <f t="shared" si="3"/>
        <v>0</v>
      </c>
      <c r="S49" s="73">
        <f t="shared" si="3"/>
        <v>0</v>
      </c>
      <c r="T49" s="73">
        <f t="shared" si="3"/>
        <v>0</v>
      </c>
      <c r="U49" s="73">
        <f t="shared" si="3"/>
        <v>0</v>
      </c>
      <c r="V49" s="73" t="e">
        <f t="shared" si="3"/>
        <v>#REF!</v>
      </c>
      <c r="W49" s="73">
        <f t="shared" si="3"/>
        <v>0</v>
      </c>
      <c r="X49" s="73">
        <f t="shared" si="3"/>
        <v>0</v>
      </c>
      <c r="Y49" s="73">
        <f t="shared" si="3"/>
        <v>0</v>
      </c>
      <c r="Z49" s="73">
        <f t="shared" si="3"/>
        <v>0</v>
      </c>
      <c r="AA49" s="73">
        <f t="shared" si="3"/>
        <v>0</v>
      </c>
      <c r="AB49" s="73">
        <f t="shared" si="3"/>
        <v>0</v>
      </c>
      <c r="AC49" s="73">
        <f t="shared" si="3"/>
        <v>0</v>
      </c>
      <c r="AD49" s="73" t="e">
        <f t="shared" si="3"/>
        <v>#REF!</v>
      </c>
      <c r="AE49" s="32"/>
      <c r="AF49" s="32"/>
      <c r="AG49" s="32"/>
    </row>
    <row r="50" spans="2:33" ht="15.5" thickTop="1" x14ac:dyDescent="0.75">
      <c r="E50" s="70"/>
      <c r="F50" s="32" t="e">
        <f>E49</f>
        <v>#REF!</v>
      </c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</row>
    <row r="51" spans="2:33" x14ac:dyDescent="0.75">
      <c r="E51" s="70"/>
      <c r="F51" s="32" t="e">
        <f>F49-F50</f>
        <v>#REF!</v>
      </c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</row>
    <row r="52" spans="2:33" x14ac:dyDescent="0.75">
      <c r="E52" s="70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</row>
    <row r="53" spans="2:33" x14ac:dyDescent="0.75">
      <c r="E53" s="70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</row>
    <row r="54" spans="2:33" x14ac:dyDescent="0.75">
      <c r="E54" s="70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</row>
    <row r="55" spans="2:33" x14ac:dyDescent="0.75">
      <c r="E55" s="70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</row>
    <row r="56" spans="2:33" x14ac:dyDescent="0.75">
      <c r="E56" s="70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</row>
    <row r="57" spans="2:33" x14ac:dyDescent="0.75">
      <c r="E57" s="70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</row>
    <row r="58" spans="2:33" x14ac:dyDescent="0.75">
      <c r="E58" s="70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</row>
    <row r="59" spans="2:33" x14ac:dyDescent="0.75">
      <c r="E59" s="70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</row>
    <row r="60" spans="2:33" x14ac:dyDescent="0.75">
      <c r="E60" s="70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</row>
    <row r="61" spans="2:33" x14ac:dyDescent="0.75">
      <c r="E61" s="70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</row>
    <row r="62" spans="2:33" x14ac:dyDescent="0.75">
      <c r="E62" s="70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</row>
    <row r="63" spans="2:33" x14ac:dyDescent="0.75"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</row>
    <row r="64" spans="2:33" x14ac:dyDescent="0.75"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</row>
    <row r="65" spans="6:33" x14ac:dyDescent="0.75"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</row>
    <row r="66" spans="6:33" x14ac:dyDescent="0.75"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</row>
    <row r="67" spans="6:33" x14ac:dyDescent="0.75"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</row>
    <row r="68" spans="6:33" x14ac:dyDescent="0.75"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</row>
    <row r="69" spans="6:33" x14ac:dyDescent="0.75"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</row>
    <row r="70" spans="6:33" x14ac:dyDescent="0.75"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</row>
    <row r="71" spans="6:33" x14ac:dyDescent="0.75"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</row>
    <row r="72" spans="6:33" x14ac:dyDescent="0.75"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</row>
    <row r="73" spans="6:33" x14ac:dyDescent="0.75"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</row>
    <row r="74" spans="6:33" x14ac:dyDescent="0.75"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</row>
    <row r="75" spans="6:33" x14ac:dyDescent="0.75"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</row>
    <row r="76" spans="6:33" x14ac:dyDescent="0.75"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</row>
    <row r="77" spans="6:33" x14ac:dyDescent="0.75"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</row>
    <row r="78" spans="6:33" x14ac:dyDescent="0.75"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</row>
    <row r="79" spans="6:33" x14ac:dyDescent="0.75"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</row>
    <row r="80" spans="6:33" x14ac:dyDescent="0.75"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</row>
    <row r="81" spans="6:33" x14ac:dyDescent="0.75"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</row>
    <row r="82" spans="6:33" x14ac:dyDescent="0.75"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</row>
    <row r="83" spans="6:33" x14ac:dyDescent="0.75"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</row>
    <row r="84" spans="6:33" x14ac:dyDescent="0.75"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</row>
    <row r="85" spans="6:33" x14ac:dyDescent="0.75"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</row>
    <row r="86" spans="6:33" x14ac:dyDescent="0.75"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</row>
    <row r="87" spans="6:33" x14ac:dyDescent="0.75"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</row>
    <row r="88" spans="6:33" x14ac:dyDescent="0.75"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</row>
    <row r="89" spans="6:33" x14ac:dyDescent="0.75"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</row>
    <row r="90" spans="6:33" x14ac:dyDescent="0.75"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</row>
    <row r="91" spans="6:33" x14ac:dyDescent="0.75"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</row>
    <row r="92" spans="6:33" x14ac:dyDescent="0.75"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</row>
    <row r="93" spans="6:33" x14ac:dyDescent="0.75"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</row>
    <row r="94" spans="6:33" x14ac:dyDescent="0.75"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</row>
    <row r="95" spans="6:33" x14ac:dyDescent="0.75"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</row>
    <row r="96" spans="6:33" x14ac:dyDescent="0.75"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</row>
    <row r="97" spans="6:33" x14ac:dyDescent="0.75"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</row>
    <row r="98" spans="6:33" x14ac:dyDescent="0.75"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</row>
    <row r="99" spans="6:33" x14ac:dyDescent="0.75"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</row>
    <row r="100" spans="6:33" x14ac:dyDescent="0.75"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</row>
    <row r="101" spans="6:33" x14ac:dyDescent="0.75"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</row>
    <row r="102" spans="6:33" x14ac:dyDescent="0.75"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</row>
    <row r="103" spans="6:33" x14ac:dyDescent="0.75"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</row>
    <row r="104" spans="6:33" x14ac:dyDescent="0.75"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</row>
    <row r="105" spans="6:33" x14ac:dyDescent="0.75"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</row>
    <row r="106" spans="6:33" x14ac:dyDescent="0.75"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</row>
    <row r="107" spans="6:33" x14ac:dyDescent="0.75"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</row>
    <row r="108" spans="6:33" x14ac:dyDescent="0.75"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</row>
    <row r="109" spans="6:33" x14ac:dyDescent="0.75"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</row>
    <row r="110" spans="6:33" x14ac:dyDescent="0.75"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</row>
    <row r="111" spans="6:33" x14ac:dyDescent="0.75"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</row>
    <row r="112" spans="6:33" x14ac:dyDescent="0.75"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</row>
    <row r="113" spans="6:33" x14ac:dyDescent="0.75"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</row>
    <row r="114" spans="6:33" x14ac:dyDescent="0.75"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</row>
    <row r="115" spans="6:33" x14ac:dyDescent="0.75"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</row>
    <row r="116" spans="6:33" x14ac:dyDescent="0.75"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</row>
    <row r="117" spans="6:33" x14ac:dyDescent="0.75"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</row>
    <row r="118" spans="6:33" x14ac:dyDescent="0.75"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</row>
    <row r="119" spans="6:33" x14ac:dyDescent="0.75"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</row>
    <row r="120" spans="6:33" x14ac:dyDescent="0.75"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</row>
    <row r="121" spans="6:33" x14ac:dyDescent="0.75"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</row>
    <row r="122" spans="6:33" x14ac:dyDescent="0.75"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</row>
    <row r="123" spans="6:33" x14ac:dyDescent="0.75"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</row>
    <row r="124" spans="6:33" x14ac:dyDescent="0.75"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</row>
    <row r="125" spans="6:33" x14ac:dyDescent="0.75"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</row>
    <row r="126" spans="6:33" x14ac:dyDescent="0.75"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</row>
    <row r="127" spans="6:33" x14ac:dyDescent="0.75"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</row>
    <row r="128" spans="6:33" x14ac:dyDescent="0.75"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</row>
    <row r="129" spans="6:33" x14ac:dyDescent="0.75"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</row>
    <row r="130" spans="6:33" x14ac:dyDescent="0.75"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</row>
    <row r="131" spans="6:33" x14ac:dyDescent="0.75"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</row>
    <row r="132" spans="6:33" x14ac:dyDescent="0.75"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</row>
    <row r="133" spans="6:33" x14ac:dyDescent="0.75"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</row>
    <row r="134" spans="6:33" x14ac:dyDescent="0.75"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</row>
    <row r="135" spans="6:33" x14ac:dyDescent="0.75"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</row>
    <row r="136" spans="6:33" x14ac:dyDescent="0.75"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</row>
    <row r="137" spans="6:33" x14ac:dyDescent="0.75"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</row>
    <row r="138" spans="6:33" x14ac:dyDescent="0.75"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</row>
    <row r="139" spans="6:33" x14ac:dyDescent="0.7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</row>
    <row r="140" spans="6:33" x14ac:dyDescent="0.7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</row>
    <row r="141" spans="6:33" x14ac:dyDescent="0.7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</row>
    <row r="142" spans="6:33" x14ac:dyDescent="0.7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</row>
    <row r="143" spans="6:33" x14ac:dyDescent="0.75"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</row>
    <row r="144" spans="6:33" x14ac:dyDescent="0.75"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</row>
    <row r="145" spans="6:33" x14ac:dyDescent="0.75"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</row>
    <row r="146" spans="6:33" x14ac:dyDescent="0.75"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</row>
    <row r="147" spans="6:33" x14ac:dyDescent="0.75"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</row>
    <row r="148" spans="6:33" x14ac:dyDescent="0.75"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</row>
    <row r="149" spans="6:33" x14ac:dyDescent="0.75"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</row>
    <row r="150" spans="6:33" x14ac:dyDescent="0.7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</row>
    <row r="151" spans="6:33" x14ac:dyDescent="0.7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</row>
    <row r="152" spans="6:33" x14ac:dyDescent="0.7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</row>
    <row r="153" spans="6:33" x14ac:dyDescent="0.7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</row>
    <row r="154" spans="6:33" x14ac:dyDescent="0.75"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</row>
    <row r="155" spans="6:33" x14ac:dyDescent="0.75"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</row>
    <row r="156" spans="6:33" x14ac:dyDescent="0.75"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</row>
    <row r="157" spans="6:33" x14ac:dyDescent="0.75"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</row>
    <row r="158" spans="6:33" x14ac:dyDescent="0.75"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</row>
    <row r="159" spans="6:33" x14ac:dyDescent="0.75"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</row>
    <row r="160" spans="6:33" x14ac:dyDescent="0.75"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</row>
    <row r="161" spans="6:33" x14ac:dyDescent="0.75"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</row>
    <row r="162" spans="6:33" x14ac:dyDescent="0.75"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</row>
    <row r="163" spans="6:33" x14ac:dyDescent="0.75"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</row>
    <row r="164" spans="6:33" x14ac:dyDescent="0.75"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</row>
    <row r="165" spans="6:33" x14ac:dyDescent="0.75"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</row>
    <row r="166" spans="6:33" x14ac:dyDescent="0.75"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</row>
    <row r="167" spans="6:33" x14ac:dyDescent="0.75"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</row>
    <row r="168" spans="6:33" x14ac:dyDescent="0.75"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</row>
    <row r="169" spans="6:33" x14ac:dyDescent="0.75"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</row>
    <row r="170" spans="6:33" x14ac:dyDescent="0.75"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</row>
    <row r="171" spans="6:33" x14ac:dyDescent="0.75"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</row>
    <row r="172" spans="6:33" x14ac:dyDescent="0.75"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</row>
    <row r="173" spans="6:33" x14ac:dyDescent="0.75"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</row>
    <row r="174" spans="6:33" x14ac:dyDescent="0.75"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</row>
    <row r="175" spans="6:33" x14ac:dyDescent="0.75"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</row>
    <row r="176" spans="6:33" x14ac:dyDescent="0.75"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</row>
    <row r="177" spans="6:33" x14ac:dyDescent="0.75"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</row>
    <row r="178" spans="6:33" x14ac:dyDescent="0.75"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89A3-4861-46C0-91A6-A95584821970}">
  <sheetPr codeName="Sheet9"/>
  <dimension ref="A1:L199"/>
  <sheetViews>
    <sheetView zoomScaleNormal="100" workbookViewId="0">
      <pane xSplit="2" ySplit="2" topLeftCell="C3" activePane="bottomRight" state="frozenSplit"/>
      <selection pane="topRight" activeCell="C1" sqref="C1"/>
      <selection pane="bottomLeft" activeCell="A3" sqref="A3"/>
      <selection pane="bottomRight" activeCell="A131" sqref="A131"/>
    </sheetView>
  </sheetViews>
  <sheetFormatPr defaultRowHeight="14.75" x14ac:dyDescent="0.75"/>
  <cols>
    <col min="1" max="1" width="11.86328125" style="14" customWidth="1"/>
    <col min="2" max="2" width="40.26953125" style="18" customWidth="1"/>
    <col min="3" max="3" width="4.26953125" style="10" customWidth="1"/>
    <col min="4" max="8" width="16.7265625" style="32" customWidth="1"/>
    <col min="9" max="9" width="15.40625" style="10" customWidth="1"/>
    <col min="10" max="12" width="17.1328125" style="32" customWidth="1"/>
  </cols>
  <sheetData>
    <row r="1" spans="1:12" x14ac:dyDescent="0.75">
      <c r="A1" s="12"/>
      <c r="B1" s="13"/>
      <c r="C1" s="2"/>
      <c r="D1" s="45"/>
      <c r="E1" s="45"/>
      <c r="F1" s="45"/>
      <c r="G1" s="45"/>
      <c r="H1" s="45"/>
      <c r="I1" s="15" t="s">
        <v>874</v>
      </c>
      <c r="J1" s="15" t="s">
        <v>875</v>
      </c>
      <c r="K1" s="15" t="s">
        <v>876</v>
      </c>
      <c r="L1" s="15" t="s">
        <v>877</v>
      </c>
    </row>
    <row r="2" spans="1:12" s="9" customFormat="1" x14ac:dyDescent="0.75">
      <c r="A2" s="12" t="s">
        <v>4</v>
      </c>
      <c r="B2" s="17" t="s">
        <v>3</v>
      </c>
      <c r="C2" s="15"/>
      <c r="D2" s="46" t="s">
        <v>453</v>
      </c>
      <c r="E2" s="46" t="s">
        <v>454</v>
      </c>
      <c r="F2" s="46" t="s">
        <v>455</v>
      </c>
      <c r="G2" s="46" t="s">
        <v>456</v>
      </c>
      <c r="H2" s="46"/>
      <c r="I2" s="15" t="s">
        <v>170</v>
      </c>
      <c r="J2" s="44"/>
      <c r="K2" s="44"/>
      <c r="L2" s="44"/>
    </row>
    <row r="3" spans="1:12" hidden="1" x14ac:dyDescent="0.75">
      <c r="A3" s="12" t="s">
        <v>40</v>
      </c>
      <c r="B3" s="13" t="s">
        <v>186</v>
      </c>
      <c r="C3" s="3"/>
      <c r="D3" s="50"/>
      <c r="E3" s="50"/>
      <c r="F3" s="50"/>
      <c r="G3" s="50"/>
      <c r="H3" s="47"/>
      <c r="I3" s="3">
        <f>SUMIF('Q1 TB-19'!$A$6:$A$208,'Detail P&amp;L Analytic'!$A3,'Q1 TB-19'!$G$6:$G$208)</f>
        <v>0</v>
      </c>
      <c r="J3" s="3">
        <f>SUMIF('Q2 TB-19'!$A$6:$A$208,'Detail P&amp;L Analytic'!$A3,'Q2 TB-19'!$G$6:$G$208)</f>
        <v>0</v>
      </c>
      <c r="K3" s="3">
        <f>SUMIF('Q3 TB-19'!$A$6:$A$208,'Detail P&amp;L Analytic'!$A3,'Q3 TB-19'!$G$6:$G$208)</f>
        <v>0</v>
      </c>
      <c r="L3" s="3">
        <f>SUMIF('Q4 TB-19'!$A$6:$A$208,'Detail P&amp;L Analytic'!$A3,'Q4 TB-19'!$G$6:$G$208)</f>
        <v>0</v>
      </c>
    </row>
    <row r="4" spans="1:12" hidden="1" x14ac:dyDescent="0.75">
      <c r="A4" s="12" t="s">
        <v>41</v>
      </c>
      <c r="B4" s="13" t="s">
        <v>187</v>
      </c>
      <c r="C4" s="3"/>
      <c r="D4" s="50"/>
      <c r="E4" s="50"/>
      <c r="F4" s="50"/>
      <c r="G4" s="50"/>
      <c r="H4" s="47"/>
      <c r="I4" s="3">
        <f>SUMIF('Q1 TB-19'!$A$6:$A$208,'Detail P&amp;L Analytic'!$A4,'Q1 TB-19'!$G$6:$G$208)</f>
        <v>0</v>
      </c>
      <c r="J4" s="3">
        <f>SUMIF('Q2 TB-19'!$A$6:$A$208,'Detail P&amp;L Analytic'!$A4,'Q2 TB-19'!$G$6:$G$208)</f>
        <v>0</v>
      </c>
      <c r="K4" s="3">
        <f>SUMIF('Q3 TB-19'!$A$6:$A$208,'Detail P&amp;L Analytic'!$A4,'Q3 TB-19'!$G$6:$G$208)</f>
        <v>0</v>
      </c>
      <c r="L4" s="3">
        <f>SUMIF('Q4 TB-19'!$A$6:$A$208,'Detail P&amp;L Analytic'!$A4,'Q4 TB-19'!$G$6:$G$208)</f>
        <v>0</v>
      </c>
    </row>
    <row r="5" spans="1:12" hidden="1" x14ac:dyDescent="0.75">
      <c r="A5" s="12" t="s">
        <v>42</v>
      </c>
      <c r="B5" s="13" t="s">
        <v>188</v>
      </c>
      <c r="C5" s="3"/>
      <c r="D5" s="50"/>
      <c r="E5" s="50"/>
      <c r="F5" s="50"/>
      <c r="G5" s="50"/>
      <c r="H5" s="47"/>
      <c r="I5" s="3">
        <f>SUMIF('Q1 TB-19'!$A$6:$A$208,'Detail P&amp;L Analytic'!$A5,'Q1 TB-19'!$G$6:$G$208)</f>
        <v>0</v>
      </c>
      <c r="J5" s="3">
        <f>SUMIF('Q2 TB-19'!$A$6:$A$208,'Detail P&amp;L Analytic'!$A5,'Q2 TB-19'!$G$6:$G$208)</f>
        <v>0</v>
      </c>
      <c r="K5" s="3">
        <f>SUMIF('Q3 TB-19'!$A$6:$A$208,'Detail P&amp;L Analytic'!$A5,'Q3 TB-19'!$G$6:$G$208)</f>
        <v>0</v>
      </c>
      <c r="L5" s="3">
        <f>SUMIF('Q4 TB-19'!$A$6:$A$208,'Detail P&amp;L Analytic'!$A5,'Q4 TB-19'!$G$6:$G$208)</f>
        <v>0</v>
      </c>
    </row>
    <row r="6" spans="1:12" hidden="1" x14ac:dyDescent="0.75">
      <c r="A6" s="12" t="s">
        <v>43</v>
      </c>
      <c r="B6" s="13" t="s">
        <v>189</v>
      </c>
      <c r="C6" s="3"/>
      <c r="D6" s="50"/>
      <c r="E6" s="50"/>
      <c r="F6" s="50"/>
      <c r="G6" s="50"/>
      <c r="H6" s="47"/>
      <c r="I6" s="3">
        <f>SUMIF('Q1 TB-19'!$A$6:$A$208,'Detail P&amp;L Analytic'!$A6,'Q1 TB-19'!$G$6:$G$208)</f>
        <v>0</v>
      </c>
      <c r="J6" s="3">
        <f>SUMIF('Q2 TB-19'!$A$6:$A$208,'Detail P&amp;L Analytic'!$A6,'Q2 TB-19'!$G$6:$G$208)</f>
        <v>0</v>
      </c>
      <c r="K6" s="3">
        <f>SUMIF('Q3 TB-19'!$A$6:$A$208,'Detail P&amp;L Analytic'!$A6,'Q3 TB-19'!$G$6:$G$208)</f>
        <v>0</v>
      </c>
      <c r="L6" s="3">
        <f>SUMIF('Q4 TB-19'!$A$6:$A$208,'Detail P&amp;L Analytic'!$A6,'Q4 TB-19'!$G$6:$G$208)</f>
        <v>0</v>
      </c>
    </row>
    <row r="7" spans="1:12" hidden="1" x14ac:dyDescent="0.75">
      <c r="A7" s="12" t="s">
        <v>44</v>
      </c>
      <c r="B7" s="13" t="s">
        <v>190</v>
      </c>
      <c r="C7" s="3"/>
      <c r="D7" s="50"/>
      <c r="E7" s="50"/>
      <c r="F7" s="50"/>
      <c r="G7" s="50"/>
      <c r="H7" s="47"/>
      <c r="I7" s="3">
        <f>SUMIF('Q1 TB-19'!$A$6:$A$208,'Detail P&amp;L Analytic'!$A7,'Q1 TB-19'!$G$6:$G$208)</f>
        <v>0</v>
      </c>
      <c r="J7" s="3">
        <f>SUMIF('Q2 TB-19'!$A$6:$A$208,'Detail P&amp;L Analytic'!$A7,'Q2 TB-19'!$G$6:$G$208)</f>
        <v>0</v>
      </c>
      <c r="K7" s="3">
        <f>SUMIF('Q3 TB-19'!$A$6:$A$208,'Detail P&amp;L Analytic'!$A7,'Q3 TB-19'!$G$6:$G$208)</f>
        <v>0</v>
      </c>
      <c r="L7" s="3">
        <f>SUMIF('Q4 TB-19'!$A$6:$A$208,'Detail P&amp;L Analytic'!$A7,'Q4 TB-19'!$G$6:$G$208)</f>
        <v>0</v>
      </c>
    </row>
    <row r="8" spans="1:12" hidden="1" x14ac:dyDescent="0.75">
      <c r="A8" s="12" t="s">
        <v>45</v>
      </c>
      <c r="B8" s="13" t="s">
        <v>191</v>
      </c>
      <c r="C8" s="3"/>
      <c r="D8" s="50"/>
      <c r="E8" s="50"/>
      <c r="F8" s="50"/>
      <c r="G8" s="50"/>
      <c r="H8" s="47"/>
      <c r="I8" s="3">
        <f>SUMIF('Q1 TB-19'!$A$6:$A$208,'Detail P&amp;L Analytic'!$A8,'Q1 TB-19'!$G$6:$G$208)</f>
        <v>0</v>
      </c>
      <c r="J8" s="3">
        <f>SUMIF('Q2 TB-19'!$A$6:$A$208,'Detail P&amp;L Analytic'!$A8,'Q2 TB-19'!$G$6:$G$208)</f>
        <v>0</v>
      </c>
      <c r="K8" s="3">
        <f>SUMIF('Q3 TB-19'!$A$6:$A$208,'Detail P&amp;L Analytic'!$A8,'Q3 TB-19'!$G$6:$G$208)</f>
        <v>0</v>
      </c>
      <c r="L8" s="3">
        <f>SUMIF('Q4 TB-19'!$A$6:$A$208,'Detail P&amp;L Analytic'!$A8,'Q4 TB-19'!$G$6:$G$208)</f>
        <v>0</v>
      </c>
    </row>
    <row r="9" spans="1:12" hidden="1" x14ac:dyDescent="0.75">
      <c r="A9" s="12" t="s">
        <v>46</v>
      </c>
      <c r="B9" s="13" t="s">
        <v>192</v>
      </c>
      <c r="C9" s="3"/>
      <c r="D9" s="50"/>
      <c r="E9" s="50"/>
      <c r="F9" s="50"/>
      <c r="G9" s="50"/>
      <c r="H9" s="47"/>
      <c r="I9" s="3">
        <f>SUMIF('Q1 TB-19'!$A$6:$A$208,'Detail P&amp;L Analytic'!$A9,'Q1 TB-19'!$G$6:$G$208)</f>
        <v>0</v>
      </c>
      <c r="J9" s="3">
        <f>SUMIF('Q2 TB-19'!$A$6:$A$208,'Detail P&amp;L Analytic'!$A9,'Q2 TB-19'!$G$6:$G$208)</f>
        <v>0</v>
      </c>
      <c r="K9" s="3">
        <f>SUMIF('Q3 TB-19'!$A$6:$A$208,'Detail P&amp;L Analytic'!$A9,'Q3 TB-19'!$G$6:$G$208)</f>
        <v>0</v>
      </c>
      <c r="L9" s="3">
        <f>SUMIF('Q4 TB-19'!$A$6:$A$208,'Detail P&amp;L Analytic'!$A9,'Q4 TB-19'!$G$6:$G$208)</f>
        <v>0</v>
      </c>
    </row>
    <row r="10" spans="1:12" hidden="1" x14ac:dyDescent="0.75">
      <c r="A10" s="12" t="s">
        <v>5</v>
      </c>
      <c r="B10" s="13" t="s">
        <v>193</v>
      </c>
      <c r="C10" s="3"/>
      <c r="D10" s="50"/>
      <c r="E10" s="50"/>
      <c r="F10" s="50"/>
      <c r="G10" s="50"/>
      <c r="H10" s="47"/>
      <c r="I10" s="3">
        <f>SUMIF('Q1 TB-19'!$A$6:$A$208,'Detail P&amp;L Analytic'!$A10,'Q1 TB-19'!$G$6:$G$208)</f>
        <v>26718.58</v>
      </c>
      <c r="J10" s="3">
        <f>SUMIF('Q2 TB-19'!$A$6:$A$208,'Detail P&amp;L Analytic'!$A10,'Q2 TB-19'!$G$6:$G$208)</f>
        <v>65999.31</v>
      </c>
      <c r="K10" s="3">
        <f>SUMIF('Q3 TB-19'!$A$6:$A$208,'Detail P&amp;L Analytic'!$A10,'Q3 TB-19'!$G$6:$G$208)</f>
        <v>97029.48</v>
      </c>
      <c r="L10" s="3">
        <f>SUMIF('Q4 TB-19'!$A$6:$A$208,'Detail P&amp;L Analytic'!$A10,'Q4 TB-19'!$G$6:$G$208)</f>
        <v>117973.39</v>
      </c>
    </row>
    <row r="11" spans="1:12" hidden="1" x14ac:dyDescent="0.75">
      <c r="A11" s="12" t="s">
        <v>39</v>
      </c>
      <c r="B11" s="13" t="s">
        <v>194</v>
      </c>
      <c r="C11" s="3"/>
      <c r="D11" s="50"/>
      <c r="E11" s="50"/>
      <c r="F11" s="50"/>
      <c r="G11" s="50"/>
      <c r="H11" s="47"/>
      <c r="I11" s="3">
        <f>SUMIF('Q1 TB-19'!$A$6:$A$208,'Detail P&amp;L Analytic'!$A11,'Q1 TB-19'!$G$6:$G$208)</f>
        <v>152689.32999999999</v>
      </c>
      <c r="J11" s="3">
        <f>SUMIF('Q2 TB-19'!$A$6:$A$208,'Detail P&amp;L Analytic'!$A11,'Q2 TB-19'!$G$6:$G$208)</f>
        <v>62706.239999999998</v>
      </c>
      <c r="K11" s="3">
        <f>SUMIF('Q3 TB-19'!$A$6:$A$208,'Detail P&amp;L Analytic'!$A11,'Q3 TB-19'!$G$6:$G$208)</f>
        <v>695.41</v>
      </c>
      <c r="L11" s="3">
        <f>SUMIF('Q4 TB-19'!$A$6:$A$208,'Detail P&amp;L Analytic'!$A11,'Q4 TB-19'!$G$6:$G$208)</f>
        <v>650.53</v>
      </c>
    </row>
    <row r="12" spans="1:12" hidden="1" x14ac:dyDescent="0.75">
      <c r="A12" s="12" t="s">
        <v>6</v>
      </c>
      <c r="B12" s="13" t="s">
        <v>195</v>
      </c>
      <c r="C12" s="3"/>
      <c r="D12" s="50"/>
      <c r="E12" s="50"/>
      <c r="F12" s="50"/>
      <c r="G12" s="50"/>
      <c r="H12" s="47"/>
      <c r="I12" s="3">
        <f>SUMIF('Q1 TB-19'!$A$6:$A$208,'Detail P&amp;L Analytic'!$A12,'Q1 TB-19'!$G$6:$G$208)</f>
        <v>0</v>
      </c>
      <c r="J12" s="3">
        <f>SUMIF('Q2 TB-19'!$A$6:$A$208,'Detail P&amp;L Analytic'!$A12,'Q2 TB-19'!$G$6:$G$208)</f>
        <v>0</v>
      </c>
      <c r="K12" s="3">
        <f>SUMIF('Q3 TB-19'!$A$6:$A$208,'Detail P&amp;L Analytic'!$A12,'Q3 TB-19'!$G$6:$G$208)</f>
        <v>0</v>
      </c>
      <c r="L12" s="3">
        <f>SUMIF('Q4 TB-19'!$A$6:$A$208,'Detail P&amp;L Analytic'!$A12,'Q4 TB-19'!$G$6:$G$208)</f>
        <v>0</v>
      </c>
    </row>
    <row r="13" spans="1:12" hidden="1" x14ac:dyDescent="0.75">
      <c r="A13" s="12" t="s">
        <v>7</v>
      </c>
      <c r="B13" s="13" t="s">
        <v>196</v>
      </c>
      <c r="C13" s="3"/>
      <c r="D13" s="50"/>
      <c r="E13" s="50"/>
      <c r="F13" s="50"/>
      <c r="G13" s="50"/>
      <c r="H13" s="47"/>
      <c r="I13" s="3">
        <f>SUMIF('Q1 TB-19'!$A$6:$A$208,'Detail P&amp;L Analytic'!$A13,'Q1 TB-19'!$G$6:$G$208)</f>
        <v>0</v>
      </c>
      <c r="J13" s="3">
        <f>SUMIF('Q2 TB-19'!$A$6:$A$208,'Detail P&amp;L Analytic'!$A13,'Q2 TB-19'!$G$6:$G$208)</f>
        <v>0</v>
      </c>
      <c r="K13" s="3">
        <f>SUMIF('Q3 TB-19'!$A$6:$A$208,'Detail P&amp;L Analytic'!$A13,'Q3 TB-19'!$G$6:$G$208)</f>
        <v>0</v>
      </c>
      <c r="L13" s="3">
        <f>SUMIF('Q4 TB-19'!$A$6:$A$208,'Detail P&amp;L Analytic'!$A13,'Q4 TB-19'!$G$6:$G$208)</f>
        <v>0</v>
      </c>
    </row>
    <row r="14" spans="1:12" hidden="1" x14ac:dyDescent="0.75">
      <c r="A14" s="12" t="s">
        <v>8</v>
      </c>
      <c r="B14" s="13" t="s">
        <v>197</v>
      </c>
      <c r="C14" s="3"/>
      <c r="D14" s="50"/>
      <c r="E14" s="50"/>
      <c r="F14" s="50"/>
      <c r="G14" s="50"/>
      <c r="H14" s="47"/>
      <c r="I14" s="3">
        <f>SUMIF('Q1 TB-19'!$A$6:$A$208,'Detail P&amp;L Analytic'!$A14,'Q1 TB-19'!$G$6:$G$208)</f>
        <v>0</v>
      </c>
      <c r="J14" s="3">
        <f>SUMIF('Q2 TB-19'!$A$6:$A$208,'Detail P&amp;L Analytic'!$A14,'Q2 TB-19'!$G$6:$G$208)</f>
        <v>0</v>
      </c>
      <c r="K14" s="3">
        <f>SUMIF('Q3 TB-19'!$A$6:$A$208,'Detail P&amp;L Analytic'!$A14,'Q3 TB-19'!$G$6:$G$208)</f>
        <v>0</v>
      </c>
      <c r="L14" s="3">
        <f>SUMIF('Q4 TB-19'!$A$6:$A$208,'Detail P&amp;L Analytic'!$A14,'Q4 TB-19'!$G$6:$G$208)</f>
        <v>0</v>
      </c>
    </row>
    <row r="15" spans="1:12" hidden="1" x14ac:dyDescent="0.75">
      <c r="A15" s="12" t="s">
        <v>9</v>
      </c>
      <c r="B15" s="13" t="s">
        <v>198</v>
      </c>
      <c r="C15" s="3"/>
      <c r="D15" s="50"/>
      <c r="E15" s="50"/>
      <c r="F15" s="50"/>
      <c r="G15" s="50"/>
      <c r="H15" s="47"/>
      <c r="I15" s="3">
        <f>SUMIF('Q1 TB-19'!$A$6:$A$208,'Detail P&amp;L Analytic'!$A15,'Q1 TB-19'!$G$6:$G$208)</f>
        <v>0</v>
      </c>
      <c r="J15" s="3">
        <f>SUMIF('Q2 TB-19'!$A$6:$A$208,'Detail P&amp;L Analytic'!$A15,'Q2 TB-19'!$G$6:$G$208)</f>
        <v>0</v>
      </c>
      <c r="K15" s="3">
        <f>SUMIF('Q3 TB-19'!$A$6:$A$208,'Detail P&amp;L Analytic'!$A15,'Q3 TB-19'!$G$6:$G$208)</f>
        <v>0</v>
      </c>
      <c r="L15" s="3">
        <f>SUMIF('Q4 TB-19'!$A$6:$A$208,'Detail P&amp;L Analytic'!$A15,'Q4 TB-19'!$G$6:$G$208)</f>
        <v>0</v>
      </c>
    </row>
    <row r="16" spans="1:12" hidden="1" x14ac:dyDescent="0.75">
      <c r="A16" s="12" t="s">
        <v>10</v>
      </c>
      <c r="B16" s="13" t="s">
        <v>199</v>
      </c>
      <c r="C16" s="3"/>
      <c r="D16" s="50"/>
      <c r="E16" s="50"/>
      <c r="F16" s="50"/>
      <c r="G16" s="50"/>
      <c r="H16" s="47"/>
      <c r="I16" s="3">
        <f>SUMIF('Q1 TB-19'!$A$6:$A$208,'Detail P&amp;L Analytic'!$A16,'Q1 TB-19'!$G$6:$G$208)</f>
        <v>0</v>
      </c>
      <c r="J16" s="3">
        <f>SUMIF('Q2 TB-19'!$A$6:$A$208,'Detail P&amp;L Analytic'!$A16,'Q2 TB-19'!$G$6:$G$208)</f>
        <v>0</v>
      </c>
      <c r="K16" s="3">
        <f>SUMIF('Q3 TB-19'!$A$6:$A$208,'Detail P&amp;L Analytic'!$A16,'Q3 TB-19'!$G$6:$G$208)</f>
        <v>0</v>
      </c>
      <c r="L16" s="3">
        <f>SUMIF('Q4 TB-19'!$A$6:$A$208,'Detail P&amp;L Analytic'!$A16,'Q4 TB-19'!$G$6:$G$208)</f>
        <v>0</v>
      </c>
    </row>
    <row r="17" spans="1:12" hidden="1" x14ac:dyDescent="0.75">
      <c r="A17" s="12" t="s">
        <v>11</v>
      </c>
      <c r="B17" s="13" t="s">
        <v>200</v>
      </c>
      <c r="C17" s="3"/>
      <c r="D17" s="50"/>
      <c r="E17" s="50"/>
      <c r="F17" s="50"/>
      <c r="G17" s="50"/>
      <c r="H17" s="47"/>
      <c r="I17" s="3">
        <f>SUMIF('Q1 TB-19'!$A$6:$A$208,'Detail P&amp;L Analytic'!$A17,'Q1 TB-19'!$G$6:$G$208)</f>
        <v>41082.230000000003</v>
      </c>
      <c r="J17" s="3">
        <f>SUMIF('Q2 TB-19'!$A$6:$A$208,'Detail P&amp;L Analytic'!$A17,'Q2 TB-19'!$G$6:$G$208)</f>
        <v>47104.51</v>
      </c>
      <c r="K17" s="3">
        <f>SUMIF('Q3 TB-19'!$A$6:$A$208,'Detail P&amp;L Analytic'!$A17,'Q3 TB-19'!$G$6:$G$208)</f>
        <v>60724.09</v>
      </c>
      <c r="L17" s="3">
        <f>SUMIF('Q4 TB-19'!$A$6:$A$208,'Detail P&amp;L Analytic'!$A17,'Q4 TB-19'!$G$6:$G$208)</f>
        <v>0</v>
      </c>
    </row>
    <row r="18" spans="1:12" hidden="1" x14ac:dyDescent="0.75">
      <c r="A18" s="12" t="s">
        <v>12</v>
      </c>
      <c r="B18" s="13" t="s">
        <v>201</v>
      </c>
      <c r="C18" s="3"/>
      <c r="D18" s="50"/>
      <c r="E18" s="50"/>
      <c r="F18" s="50"/>
      <c r="G18" s="50"/>
      <c r="H18" s="47"/>
      <c r="I18" s="3">
        <f>SUMIF('Q1 TB-19'!$A$6:$A$208,'Detail P&amp;L Analytic'!$A18,'Q1 TB-19'!$G$6:$G$208)</f>
        <v>0</v>
      </c>
      <c r="J18" s="3">
        <f>SUMIF('Q2 TB-19'!$A$6:$A$208,'Detail P&amp;L Analytic'!$A18,'Q2 TB-19'!$G$6:$G$208)</f>
        <v>0</v>
      </c>
      <c r="K18" s="3">
        <f>SUMIF('Q3 TB-19'!$A$6:$A$208,'Detail P&amp;L Analytic'!$A18,'Q3 TB-19'!$G$6:$G$208)</f>
        <v>2365</v>
      </c>
      <c r="L18" s="3">
        <f>SUMIF('Q4 TB-19'!$A$6:$A$208,'Detail P&amp;L Analytic'!$A18,'Q4 TB-19'!$G$6:$G$208)</f>
        <v>0</v>
      </c>
    </row>
    <row r="19" spans="1:12" hidden="1" x14ac:dyDescent="0.75">
      <c r="A19" s="12" t="s">
        <v>13</v>
      </c>
      <c r="B19" s="13" t="s">
        <v>202</v>
      </c>
      <c r="C19" s="3"/>
      <c r="D19" s="50"/>
      <c r="E19" s="50"/>
      <c r="F19" s="50"/>
      <c r="G19" s="50"/>
      <c r="H19" s="47"/>
      <c r="I19" s="3">
        <f>SUMIF('Q1 TB-19'!$A$6:$A$208,'Detail P&amp;L Analytic'!$A19,'Q1 TB-19'!$G$6:$G$208)</f>
        <v>0</v>
      </c>
      <c r="J19" s="3">
        <f>SUMIF('Q2 TB-19'!$A$6:$A$208,'Detail P&amp;L Analytic'!$A19,'Q2 TB-19'!$G$6:$G$208)</f>
        <v>0</v>
      </c>
      <c r="K19" s="3">
        <f>SUMIF('Q3 TB-19'!$A$6:$A$208,'Detail P&amp;L Analytic'!$A19,'Q3 TB-19'!$G$6:$G$208)</f>
        <v>0</v>
      </c>
      <c r="L19" s="3">
        <f>SUMIF('Q4 TB-19'!$A$6:$A$208,'Detail P&amp;L Analytic'!$A19,'Q4 TB-19'!$G$6:$G$208)</f>
        <v>0</v>
      </c>
    </row>
    <row r="20" spans="1:12" hidden="1" x14ac:dyDescent="0.75">
      <c r="A20" s="12" t="s">
        <v>14</v>
      </c>
      <c r="B20" s="13" t="s">
        <v>203</v>
      </c>
      <c r="C20" s="3"/>
      <c r="D20" s="50"/>
      <c r="E20" s="50"/>
      <c r="F20" s="50"/>
      <c r="G20" s="50"/>
      <c r="H20" s="47"/>
      <c r="I20" s="3">
        <f>SUMIF('Q1 TB-19'!$A$6:$A$208,'Detail P&amp;L Analytic'!$A20,'Q1 TB-19'!$G$6:$G$208)</f>
        <v>0</v>
      </c>
      <c r="J20" s="3">
        <f>SUMIF('Q2 TB-19'!$A$6:$A$208,'Detail P&amp;L Analytic'!$A20,'Q2 TB-19'!$G$6:$G$208)</f>
        <v>4370</v>
      </c>
      <c r="K20" s="3">
        <f>SUMIF('Q3 TB-19'!$A$6:$A$208,'Detail P&amp;L Analytic'!$A20,'Q3 TB-19'!$G$6:$G$208)</f>
        <v>4370</v>
      </c>
      <c r="L20" s="3">
        <f>SUMIF('Q4 TB-19'!$A$6:$A$208,'Detail P&amp;L Analytic'!$A20,'Q4 TB-19'!$G$6:$G$208)</f>
        <v>0</v>
      </c>
    </row>
    <row r="21" spans="1:12" hidden="1" x14ac:dyDescent="0.75">
      <c r="A21" s="12" t="s">
        <v>15</v>
      </c>
      <c r="B21" s="13" t="s">
        <v>204</v>
      </c>
      <c r="C21" s="3"/>
      <c r="D21" s="50"/>
      <c r="E21" s="50"/>
      <c r="F21" s="50"/>
      <c r="G21" s="50"/>
      <c r="H21" s="47"/>
      <c r="I21" s="3">
        <f>SUMIF('Q1 TB-19'!$A$6:$A$208,'Detail P&amp;L Analytic'!$A21,'Q1 TB-19'!$G$6:$G$208)</f>
        <v>42608.54</v>
      </c>
      <c r="J21" s="3">
        <f>SUMIF('Q2 TB-19'!$A$6:$A$208,'Detail P&amp;L Analytic'!$A21,'Q2 TB-19'!$G$6:$G$208)</f>
        <v>54083.78</v>
      </c>
      <c r="K21" s="3">
        <f>SUMIF('Q3 TB-19'!$A$6:$A$208,'Detail P&amp;L Analytic'!$A21,'Q3 TB-19'!$G$6:$G$208)</f>
        <v>45041.919999999998</v>
      </c>
      <c r="L21" s="3">
        <f>SUMIF('Q4 TB-19'!$A$6:$A$208,'Detail P&amp;L Analytic'!$A21,'Q4 TB-19'!$G$6:$G$208)</f>
        <v>13000</v>
      </c>
    </row>
    <row r="22" spans="1:12" hidden="1" x14ac:dyDescent="0.75">
      <c r="A22" s="12" t="s">
        <v>16</v>
      </c>
      <c r="B22" s="13" t="s">
        <v>205</v>
      </c>
      <c r="C22" s="3"/>
      <c r="D22" s="50"/>
      <c r="E22" s="50"/>
      <c r="F22" s="50"/>
      <c r="G22" s="50"/>
      <c r="H22" s="47"/>
      <c r="I22" s="3">
        <f>SUMIF('Q1 TB-19'!$A$6:$A$208,'Detail P&amp;L Analytic'!$A22,'Q1 TB-19'!$G$6:$G$208)</f>
        <v>0</v>
      </c>
      <c r="J22" s="3">
        <f>SUMIF('Q2 TB-19'!$A$6:$A$208,'Detail P&amp;L Analytic'!$A22,'Q2 TB-19'!$G$6:$G$208)</f>
        <v>0</v>
      </c>
      <c r="K22" s="3">
        <f>SUMIF('Q3 TB-19'!$A$6:$A$208,'Detail P&amp;L Analytic'!$A22,'Q3 TB-19'!$G$6:$G$208)</f>
        <v>0</v>
      </c>
      <c r="L22" s="3">
        <f>SUMIF('Q4 TB-19'!$A$6:$A$208,'Detail P&amp;L Analytic'!$A22,'Q4 TB-19'!$G$6:$G$208)</f>
        <v>0</v>
      </c>
    </row>
    <row r="23" spans="1:12" hidden="1" x14ac:dyDescent="0.75">
      <c r="A23" s="12" t="s">
        <v>17</v>
      </c>
      <c r="B23" s="13" t="s">
        <v>206</v>
      </c>
      <c r="C23" s="3"/>
      <c r="D23" s="50"/>
      <c r="E23" s="50"/>
      <c r="F23" s="50"/>
      <c r="G23" s="50"/>
      <c r="H23" s="47"/>
      <c r="I23" s="3">
        <f>SUMIF('Q1 TB-19'!$A$6:$A$208,'Detail P&amp;L Analytic'!$A23,'Q1 TB-19'!$G$6:$G$208)</f>
        <v>0</v>
      </c>
      <c r="J23" s="3">
        <f>SUMIF('Q2 TB-19'!$A$6:$A$208,'Detail P&amp;L Analytic'!$A23,'Q2 TB-19'!$G$6:$G$208)</f>
        <v>0</v>
      </c>
      <c r="K23" s="3">
        <f>SUMIF('Q3 TB-19'!$A$6:$A$208,'Detail P&amp;L Analytic'!$A23,'Q3 TB-19'!$G$6:$G$208)</f>
        <v>0</v>
      </c>
      <c r="L23" s="3">
        <f>SUMIF('Q4 TB-19'!$A$6:$A$208,'Detail P&amp;L Analytic'!$A23,'Q4 TB-19'!$G$6:$G$208)</f>
        <v>0</v>
      </c>
    </row>
    <row r="24" spans="1:12" hidden="1" x14ac:dyDescent="0.75">
      <c r="A24" s="12" t="s">
        <v>18</v>
      </c>
      <c r="B24" s="13" t="s">
        <v>207</v>
      </c>
      <c r="C24" s="3"/>
      <c r="D24" s="50"/>
      <c r="E24" s="50"/>
      <c r="F24" s="50"/>
      <c r="G24" s="50"/>
      <c r="H24" s="47"/>
      <c r="I24" s="3">
        <f>SUMIF('Q1 TB-19'!$A$6:$A$208,'Detail P&amp;L Analytic'!$A24,'Q1 TB-19'!$G$6:$G$208)</f>
        <v>97384.17</v>
      </c>
      <c r="J24" s="3">
        <f>SUMIF('Q2 TB-19'!$A$6:$A$208,'Detail P&amp;L Analytic'!$A24,'Q2 TB-19'!$G$6:$G$208)</f>
        <v>97384.17</v>
      </c>
      <c r="K24" s="3">
        <f>SUMIF('Q3 TB-19'!$A$6:$A$208,'Detail P&amp;L Analytic'!$A24,'Q3 TB-19'!$G$6:$G$208)</f>
        <v>97384.17</v>
      </c>
      <c r="L24" s="3">
        <f>SUMIF('Q4 TB-19'!$A$6:$A$208,'Detail P&amp;L Analytic'!$A24,'Q4 TB-19'!$G$6:$G$208)</f>
        <v>97384.17</v>
      </c>
    </row>
    <row r="25" spans="1:12" hidden="1" x14ac:dyDescent="0.75">
      <c r="A25" s="12" t="s">
        <v>21</v>
      </c>
      <c r="B25" s="13" t="s">
        <v>208</v>
      </c>
      <c r="C25" s="3"/>
      <c r="D25" s="50"/>
      <c r="E25" s="50"/>
      <c r="F25" s="50"/>
      <c r="G25" s="50"/>
      <c r="H25" s="47"/>
      <c r="I25" s="3">
        <f>SUMIF('Q1 TB-19'!$A$6:$A$208,'Detail P&amp;L Analytic'!$A25,'Q1 TB-19'!$G$6:$G$208)</f>
        <v>10394.01</v>
      </c>
      <c r="J25" s="3">
        <f>SUMIF('Q2 TB-19'!$A$6:$A$208,'Detail P&amp;L Analytic'!$A25,'Q2 TB-19'!$G$6:$G$208)</f>
        <v>10394.01</v>
      </c>
      <c r="K25" s="3">
        <f>SUMIF('Q3 TB-19'!$A$6:$A$208,'Detail P&amp;L Analytic'!$A25,'Q3 TB-19'!$G$6:$G$208)</f>
        <v>10394.01</v>
      </c>
      <c r="L25" s="3">
        <f>SUMIF('Q4 TB-19'!$A$6:$A$208,'Detail P&amp;L Analytic'!$A25,'Q4 TB-19'!$G$6:$G$208)</f>
        <v>10394.01</v>
      </c>
    </row>
    <row r="26" spans="1:12" hidden="1" x14ac:dyDescent="0.75">
      <c r="A26" s="12" t="s">
        <v>23</v>
      </c>
      <c r="B26" s="13" t="s">
        <v>209</v>
      </c>
      <c r="C26" s="3"/>
      <c r="D26" s="50"/>
      <c r="E26" s="50"/>
      <c r="F26" s="50"/>
      <c r="G26" s="50"/>
      <c r="H26" s="47"/>
      <c r="I26" s="3">
        <f>SUMIF('Q1 TB-19'!$A$6:$A$208,'Detail P&amp;L Analytic'!$A26,'Q1 TB-19'!$G$6:$G$208)</f>
        <v>0</v>
      </c>
      <c r="J26" s="3">
        <f>SUMIF('Q2 TB-19'!$A$6:$A$208,'Detail P&amp;L Analytic'!$A26,'Q2 TB-19'!$G$6:$G$208)</f>
        <v>0</v>
      </c>
      <c r="K26" s="3">
        <f>SUMIF('Q3 TB-19'!$A$6:$A$208,'Detail P&amp;L Analytic'!$A26,'Q3 TB-19'!$G$6:$G$208)</f>
        <v>0</v>
      </c>
      <c r="L26" s="3">
        <f>SUMIF('Q4 TB-19'!$A$6:$A$208,'Detail P&amp;L Analytic'!$A26,'Q4 TB-19'!$G$6:$G$208)</f>
        <v>0</v>
      </c>
    </row>
    <row r="27" spans="1:12" hidden="1" x14ac:dyDescent="0.75">
      <c r="A27" s="12" t="s">
        <v>31</v>
      </c>
      <c r="B27" s="13" t="s">
        <v>210</v>
      </c>
      <c r="C27" s="3"/>
      <c r="D27" s="50"/>
      <c r="E27" s="50"/>
      <c r="F27" s="50"/>
      <c r="G27" s="50"/>
      <c r="H27" s="47"/>
      <c r="I27" s="3">
        <f>SUMIF('Q1 TB-19'!$A$6:$A$208,'Detail P&amp;L Analytic'!$A27,'Q1 TB-19'!$G$6:$G$208)</f>
        <v>0</v>
      </c>
      <c r="J27" s="3">
        <f>SUMIF('Q2 TB-19'!$A$6:$A$208,'Detail P&amp;L Analytic'!$A27,'Q2 TB-19'!$G$6:$G$208)</f>
        <v>0</v>
      </c>
      <c r="K27" s="3">
        <f>SUMIF('Q3 TB-19'!$A$6:$A$208,'Detail P&amp;L Analytic'!$A27,'Q3 TB-19'!$G$6:$G$208)</f>
        <v>0</v>
      </c>
      <c r="L27" s="3">
        <f>SUMIF('Q4 TB-19'!$A$6:$A$208,'Detail P&amp;L Analytic'!$A27,'Q4 TB-19'!$G$6:$G$208)</f>
        <v>0</v>
      </c>
    </row>
    <row r="28" spans="1:12" hidden="1" x14ac:dyDescent="0.75">
      <c r="A28" s="12" t="s">
        <v>24</v>
      </c>
      <c r="B28" s="13" t="s">
        <v>211</v>
      </c>
      <c r="C28" s="3"/>
      <c r="D28" s="50"/>
      <c r="E28" s="50"/>
      <c r="F28" s="50"/>
      <c r="G28" s="50"/>
      <c r="H28" s="47"/>
      <c r="I28" s="3">
        <f>SUMIF('Q1 TB-19'!$A$6:$A$208,'Detail P&amp;L Analytic'!$A28,'Q1 TB-19'!$G$6:$G$208)</f>
        <v>0</v>
      </c>
      <c r="J28" s="3">
        <f>SUMIF('Q2 TB-19'!$A$6:$A$208,'Detail P&amp;L Analytic'!$A28,'Q2 TB-19'!$G$6:$G$208)</f>
        <v>0</v>
      </c>
      <c r="K28" s="3">
        <f>SUMIF('Q3 TB-19'!$A$6:$A$208,'Detail P&amp;L Analytic'!$A28,'Q3 TB-19'!$G$6:$G$208)</f>
        <v>0</v>
      </c>
      <c r="L28" s="3">
        <f>SUMIF('Q4 TB-19'!$A$6:$A$208,'Detail P&amp;L Analytic'!$A28,'Q4 TB-19'!$G$6:$G$208)</f>
        <v>0</v>
      </c>
    </row>
    <row r="29" spans="1:12" hidden="1" x14ac:dyDescent="0.75">
      <c r="A29" s="12" t="s">
        <v>32</v>
      </c>
      <c r="B29" s="13" t="s">
        <v>212</v>
      </c>
      <c r="C29" s="3"/>
      <c r="D29" s="50"/>
      <c r="E29" s="50"/>
      <c r="F29" s="50"/>
      <c r="G29" s="50"/>
      <c r="H29" s="47"/>
      <c r="I29" s="3">
        <f>SUMIF('Q1 TB-19'!$A$6:$A$208,'Detail P&amp;L Analytic'!$A29,'Q1 TB-19'!$G$6:$G$208)</f>
        <v>0</v>
      </c>
      <c r="J29" s="3">
        <f>SUMIF('Q2 TB-19'!$A$6:$A$208,'Detail P&amp;L Analytic'!$A29,'Q2 TB-19'!$G$6:$G$208)</f>
        <v>0</v>
      </c>
      <c r="K29" s="3">
        <f>SUMIF('Q3 TB-19'!$A$6:$A$208,'Detail P&amp;L Analytic'!$A29,'Q3 TB-19'!$G$6:$G$208)</f>
        <v>0</v>
      </c>
      <c r="L29" s="3">
        <f>SUMIF('Q4 TB-19'!$A$6:$A$208,'Detail P&amp;L Analytic'!$A29,'Q4 TB-19'!$G$6:$G$208)</f>
        <v>0</v>
      </c>
    </row>
    <row r="30" spans="1:12" hidden="1" x14ac:dyDescent="0.75">
      <c r="A30" s="12" t="s">
        <v>25</v>
      </c>
      <c r="B30" s="13" t="s">
        <v>213</v>
      </c>
      <c r="C30" s="3"/>
      <c r="D30" s="50"/>
      <c r="E30" s="50"/>
      <c r="F30" s="50"/>
      <c r="G30" s="50"/>
      <c r="H30" s="47"/>
      <c r="I30" s="3">
        <f>SUMIF('Q1 TB-19'!$A$6:$A$208,'Detail P&amp;L Analytic'!$A30,'Q1 TB-19'!$G$6:$G$208)</f>
        <v>0</v>
      </c>
      <c r="J30" s="3">
        <f>SUMIF('Q2 TB-19'!$A$6:$A$208,'Detail P&amp;L Analytic'!$A30,'Q2 TB-19'!$G$6:$G$208)</f>
        <v>0</v>
      </c>
      <c r="K30" s="3">
        <f>SUMIF('Q3 TB-19'!$A$6:$A$208,'Detail P&amp;L Analytic'!$A30,'Q3 TB-19'!$G$6:$G$208)</f>
        <v>0</v>
      </c>
      <c r="L30" s="3">
        <f>SUMIF('Q4 TB-19'!$A$6:$A$208,'Detail P&amp;L Analytic'!$A30,'Q4 TB-19'!$G$6:$G$208)</f>
        <v>0</v>
      </c>
    </row>
    <row r="31" spans="1:12" hidden="1" x14ac:dyDescent="0.75">
      <c r="A31" s="12" t="s">
        <v>33</v>
      </c>
      <c r="B31" s="13" t="s">
        <v>214</v>
      </c>
      <c r="C31" s="3"/>
      <c r="D31" s="50"/>
      <c r="E31" s="50"/>
      <c r="F31" s="50"/>
      <c r="G31" s="50"/>
      <c r="H31" s="47"/>
      <c r="I31" s="3">
        <f>SUMIF('Q1 TB-19'!$A$6:$A$208,'Detail P&amp;L Analytic'!$A31,'Q1 TB-19'!$G$6:$G$208)</f>
        <v>0</v>
      </c>
      <c r="J31" s="3">
        <f>SUMIF('Q2 TB-19'!$A$6:$A$208,'Detail P&amp;L Analytic'!$A31,'Q2 TB-19'!$G$6:$G$208)</f>
        <v>0</v>
      </c>
      <c r="K31" s="3">
        <f>SUMIF('Q3 TB-19'!$A$6:$A$208,'Detail P&amp;L Analytic'!$A31,'Q3 TB-19'!$G$6:$G$208)</f>
        <v>0</v>
      </c>
      <c r="L31" s="3">
        <f>SUMIF('Q4 TB-19'!$A$6:$A$208,'Detail P&amp;L Analytic'!$A31,'Q4 TB-19'!$G$6:$G$208)</f>
        <v>0</v>
      </c>
    </row>
    <row r="32" spans="1:12" hidden="1" x14ac:dyDescent="0.75">
      <c r="A32" s="12" t="s">
        <v>26</v>
      </c>
      <c r="B32" s="13" t="s">
        <v>215</v>
      </c>
      <c r="C32" s="3"/>
      <c r="D32" s="50"/>
      <c r="E32" s="50"/>
      <c r="F32" s="50"/>
      <c r="G32" s="50"/>
      <c r="H32" s="47"/>
      <c r="I32" s="3">
        <f>SUMIF('Q1 TB-19'!$A$6:$A$208,'Detail P&amp;L Analytic'!$A32,'Q1 TB-19'!$G$6:$G$208)</f>
        <v>0</v>
      </c>
      <c r="J32" s="3">
        <f>SUMIF('Q2 TB-19'!$A$6:$A$208,'Detail P&amp;L Analytic'!$A32,'Q2 TB-19'!$G$6:$G$208)</f>
        <v>0</v>
      </c>
      <c r="K32" s="3">
        <f>SUMIF('Q3 TB-19'!$A$6:$A$208,'Detail P&amp;L Analytic'!$A32,'Q3 TB-19'!$G$6:$G$208)</f>
        <v>0</v>
      </c>
      <c r="L32" s="3">
        <f>SUMIF('Q4 TB-19'!$A$6:$A$208,'Detail P&amp;L Analytic'!$A32,'Q4 TB-19'!$G$6:$G$208)</f>
        <v>0</v>
      </c>
    </row>
    <row r="33" spans="1:12" hidden="1" x14ac:dyDescent="0.75">
      <c r="A33" s="12" t="s">
        <v>34</v>
      </c>
      <c r="B33" s="13" t="s">
        <v>216</v>
      </c>
      <c r="C33" s="3"/>
      <c r="D33" s="50"/>
      <c r="E33" s="50"/>
      <c r="F33" s="50"/>
      <c r="G33" s="50"/>
      <c r="H33" s="47"/>
      <c r="I33" s="3">
        <f>SUMIF('Q1 TB-19'!$A$6:$A$208,'Detail P&amp;L Analytic'!$A33,'Q1 TB-19'!$G$6:$G$208)</f>
        <v>0</v>
      </c>
      <c r="J33" s="3">
        <f>SUMIF('Q2 TB-19'!$A$6:$A$208,'Detail P&amp;L Analytic'!$A33,'Q2 TB-19'!$G$6:$G$208)</f>
        <v>0</v>
      </c>
      <c r="K33" s="3">
        <f>SUMIF('Q3 TB-19'!$A$6:$A$208,'Detail P&amp;L Analytic'!$A33,'Q3 TB-19'!$G$6:$G$208)</f>
        <v>0</v>
      </c>
      <c r="L33" s="3">
        <f>SUMIF('Q4 TB-19'!$A$6:$A$208,'Detail P&amp;L Analytic'!$A33,'Q4 TB-19'!$G$6:$G$208)</f>
        <v>0</v>
      </c>
    </row>
    <row r="34" spans="1:12" hidden="1" x14ac:dyDescent="0.75">
      <c r="A34" s="12" t="s">
        <v>19</v>
      </c>
      <c r="B34" s="13" t="s">
        <v>217</v>
      </c>
      <c r="C34" s="3"/>
      <c r="D34" s="50"/>
      <c r="E34" s="50"/>
      <c r="F34" s="50"/>
      <c r="G34" s="50"/>
      <c r="H34" s="47"/>
      <c r="I34" s="3">
        <f>SUMIF('Q1 TB-19'!$A$6:$A$208,'Detail P&amp;L Analytic'!$A34,'Q1 TB-19'!$G$6:$G$208)</f>
        <v>0</v>
      </c>
      <c r="J34" s="3">
        <f>SUMIF('Q2 TB-19'!$A$6:$A$208,'Detail P&amp;L Analytic'!$A34,'Q2 TB-19'!$G$6:$G$208)</f>
        <v>3937.6</v>
      </c>
      <c r="K34" s="3">
        <f>SUMIF('Q3 TB-19'!$A$6:$A$208,'Detail P&amp;L Analytic'!$A34,'Q3 TB-19'!$G$6:$G$208)</f>
        <v>3937.6</v>
      </c>
      <c r="L34" s="3">
        <f>SUMIF('Q4 TB-19'!$A$6:$A$208,'Detail P&amp;L Analytic'!$A34,'Q4 TB-19'!$G$6:$G$208)</f>
        <v>3937.6</v>
      </c>
    </row>
    <row r="35" spans="1:12" hidden="1" x14ac:dyDescent="0.75">
      <c r="A35" s="12" t="s">
        <v>22</v>
      </c>
      <c r="B35" s="13" t="s">
        <v>218</v>
      </c>
      <c r="C35" s="3"/>
      <c r="D35" s="50"/>
      <c r="E35" s="50"/>
      <c r="F35" s="50"/>
      <c r="G35" s="50"/>
      <c r="H35" s="47"/>
      <c r="I35" s="3">
        <f>SUMIF('Q1 TB-19'!$A$6:$A$208,'Detail P&amp;L Analytic'!$A35,'Q1 TB-19'!$G$6:$G$208)</f>
        <v>20105.95</v>
      </c>
      <c r="J35" s="3">
        <f>SUMIF('Q2 TB-19'!$A$6:$A$208,'Detail P&amp;L Analytic'!$A35,'Q2 TB-19'!$G$6:$G$208)</f>
        <v>20105.95</v>
      </c>
      <c r="K35" s="3">
        <f>SUMIF('Q3 TB-19'!$A$6:$A$208,'Detail P&amp;L Analytic'!$A35,'Q3 TB-19'!$G$6:$G$208)</f>
        <v>20105.95</v>
      </c>
      <c r="L35" s="3">
        <f>SUMIF('Q4 TB-19'!$A$6:$A$208,'Detail P&amp;L Analytic'!$A35,'Q4 TB-19'!$G$6:$G$208)</f>
        <v>20105.95</v>
      </c>
    </row>
    <row r="36" spans="1:12" hidden="1" x14ac:dyDescent="0.75">
      <c r="A36" s="12" t="s">
        <v>27</v>
      </c>
      <c r="B36" s="13" t="s">
        <v>219</v>
      </c>
      <c r="C36" s="3"/>
      <c r="D36" s="50"/>
      <c r="E36" s="50"/>
      <c r="F36" s="50"/>
      <c r="G36" s="50"/>
      <c r="H36" s="47"/>
      <c r="I36" s="3">
        <f>SUMIF('Q1 TB-19'!$A$6:$A$208,'Detail P&amp;L Analytic'!$A36,'Q1 TB-19'!$G$6:$G$208)</f>
        <v>0</v>
      </c>
      <c r="J36" s="3">
        <f>SUMIF('Q2 TB-19'!$A$6:$A$208,'Detail P&amp;L Analytic'!$A36,'Q2 TB-19'!$G$6:$G$208)</f>
        <v>0</v>
      </c>
      <c r="K36" s="3">
        <f>SUMIF('Q3 TB-19'!$A$6:$A$208,'Detail P&amp;L Analytic'!$A36,'Q3 TB-19'!$G$6:$G$208)</f>
        <v>0</v>
      </c>
      <c r="L36" s="3">
        <f>SUMIF('Q4 TB-19'!$A$6:$A$208,'Detail P&amp;L Analytic'!$A36,'Q4 TB-19'!$G$6:$G$208)</f>
        <v>0</v>
      </c>
    </row>
    <row r="37" spans="1:12" hidden="1" x14ac:dyDescent="0.75">
      <c r="A37" s="12" t="s">
        <v>28</v>
      </c>
      <c r="B37" s="13" t="s">
        <v>220</v>
      </c>
      <c r="C37" s="3"/>
      <c r="D37" s="50"/>
      <c r="E37" s="50"/>
      <c r="F37" s="50"/>
      <c r="G37" s="50"/>
      <c r="H37" s="47"/>
      <c r="I37" s="3">
        <f>SUMIF('Q1 TB-19'!$A$6:$A$208,'Detail P&amp;L Analytic'!$A37,'Q1 TB-19'!$G$6:$G$208)</f>
        <v>0</v>
      </c>
      <c r="J37" s="3">
        <f>SUMIF('Q2 TB-19'!$A$6:$A$208,'Detail P&amp;L Analytic'!$A37,'Q2 TB-19'!$G$6:$G$208)</f>
        <v>0</v>
      </c>
      <c r="K37" s="3">
        <f>SUMIF('Q3 TB-19'!$A$6:$A$208,'Detail P&amp;L Analytic'!$A37,'Q3 TB-19'!$G$6:$G$208)</f>
        <v>0</v>
      </c>
      <c r="L37" s="3">
        <f>SUMIF('Q4 TB-19'!$A$6:$A$208,'Detail P&amp;L Analytic'!$A37,'Q4 TB-19'!$G$6:$G$208)</f>
        <v>0</v>
      </c>
    </row>
    <row r="38" spans="1:12" hidden="1" x14ac:dyDescent="0.75">
      <c r="A38" s="12" t="s">
        <v>35</v>
      </c>
      <c r="B38" s="13" t="s">
        <v>221</v>
      </c>
      <c r="C38" s="3"/>
      <c r="D38" s="50"/>
      <c r="E38" s="50"/>
      <c r="F38" s="50"/>
      <c r="G38" s="50"/>
      <c r="H38" s="47"/>
      <c r="I38" s="3">
        <f>SUMIF('Q1 TB-19'!$A$6:$A$208,'Detail P&amp;L Analytic'!$A38,'Q1 TB-19'!$G$6:$G$208)</f>
        <v>0</v>
      </c>
      <c r="J38" s="3">
        <f>SUMIF('Q2 TB-19'!$A$6:$A$208,'Detail P&amp;L Analytic'!$A38,'Q2 TB-19'!$G$6:$G$208)</f>
        <v>0</v>
      </c>
      <c r="K38" s="3">
        <f>SUMIF('Q3 TB-19'!$A$6:$A$208,'Detail P&amp;L Analytic'!$A38,'Q3 TB-19'!$G$6:$G$208)</f>
        <v>0</v>
      </c>
      <c r="L38" s="3">
        <f>SUMIF('Q4 TB-19'!$A$6:$A$208,'Detail P&amp;L Analytic'!$A38,'Q4 TB-19'!$G$6:$G$208)</f>
        <v>0</v>
      </c>
    </row>
    <row r="39" spans="1:12" hidden="1" x14ac:dyDescent="0.75">
      <c r="A39" s="12" t="s">
        <v>29</v>
      </c>
      <c r="B39" s="13" t="s">
        <v>222</v>
      </c>
      <c r="C39" s="3"/>
      <c r="D39" s="50"/>
      <c r="E39" s="50"/>
      <c r="F39" s="50"/>
      <c r="G39" s="50"/>
      <c r="H39" s="47"/>
      <c r="I39" s="3">
        <f>SUMIF('Q1 TB-19'!$A$6:$A$208,'Detail P&amp;L Analytic'!$A39,'Q1 TB-19'!$G$6:$G$208)</f>
        <v>0</v>
      </c>
      <c r="J39" s="3">
        <f>SUMIF('Q2 TB-19'!$A$6:$A$208,'Detail P&amp;L Analytic'!$A39,'Q2 TB-19'!$G$6:$G$208)</f>
        <v>0</v>
      </c>
      <c r="K39" s="3">
        <f>SUMIF('Q3 TB-19'!$A$6:$A$208,'Detail P&amp;L Analytic'!$A39,'Q3 TB-19'!$G$6:$G$208)</f>
        <v>0</v>
      </c>
      <c r="L39" s="3">
        <f>SUMIF('Q4 TB-19'!$A$6:$A$208,'Detail P&amp;L Analytic'!$A39,'Q4 TB-19'!$G$6:$G$208)</f>
        <v>0</v>
      </c>
    </row>
    <row r="40" spans="1:12" hidden="1" x14ac:dyDescent="0.75">
      <c r="A40" s="12" t="s">
        <v>36</v>
      </c>
      <c r="B40" s="13" t="s">
        <v>223</v>
      </c>
      <c r="C40" s="3"/>
      <c r="D40" s="50"/>
      <c r="E40" s="50"/>
      <c r="F40" s="50"/>
      <c r="G40" s="50"/>
      <c r="H40" s="47"/>
      <c r="I40" s="3">
        <f>SUMIF('Q1 TB-19'!$A$6:$A$208,'Detail P&amp;L Analytic'!$A40,'Q1 TB-19'!$G$6:$G$208)</f>
        <v>0</v>
      </c>
      <c r="J40" s="3">
        <f>SUMIF('Q2 TB-19'!$A$6:$A$208,'Detail P&amp;L Analytic'!$A40,'Q2 TB-19'!$G$6:$G$208)</f>
        <v>0</v>
      </c>
      <c r="K40" s="3">
        <f>SUMIF('Q3 TB-19'!$A$6:$A$208,'Detail P&amp;L Analytic'!$A40,'Q3 TB-19'!$G$6:$G$208)</f>
        <v>0</v>
      </c>
      <c r="L40" s="3">
        <f>SUMIF('Q4 TB-19'!$A$6:$A$208,'Detail P&amp;L Analytic'!$A40,'Q4 TB-19'!$G$6:$G$208)</f>
        <v>0</v>
      </c>
    </row>
    <row r="41" spans="1:12" hidden="1" x14ac:dyDescent="0.75">
      <c r="A41" s="12" t="s">
        <v>30</v>
      </c>
      <c r="B41" s="13" t="s">
        <v>224</v>
      </c>
      <c r="C41" s="3"/>
      <c r="D41" s="50"/>
      <c r="E41" s="50"/>
      <c r="F41" s="50"/>
      <c r="G41" s="50"/>
      <c r="H41" s="47"/>
      <c r="I41" s="3">
        <f>SUMIF('Q1 TB-19'!$A$6:$A$208,'Detail P&amp;L Analytic'!$A41,'Q1 TB-19'!$G$6:$G$208)</f>
        <v>0</v>
      </c>
      <c r="J41" s="3">
        <f>SUMIF('Q2 TB-19'!$A$6:$A$208,'Detail P&amp;L Analytic'!$A41,'Q2 TB-19'!$G$6:$G$208)</f>
        <v>0</v>
      </c>
      <c r="K41" s="3">
        <f>SUMIF('Q3 TB-19'!$A$6:$A$208,'Detail P&amp;L Analytic'!$A41,'Q3 TB-19'!$G$6:$G$208)</f>
        <v>0</v>
      </c>
      <c r="L41" s="3">
        <f>SUMIF('Q4 TB-19'!$A$6:$A$208,'Detail P&amp;L Analytic'!$A41,'Q4 TB-19'!$G$6:$G$208)</f>
        <v>0</v>
      </c>
    </row>
    <row r="42" spans="1:12" hidden="1" x14ac:dyDescent="0.75">
      <c r="A42" s="12" t="s">
        <v>37</v>
      </c>
      <c r="B42" s="13" t="s">
        <v>225</v>
      </c>
      <c r="C42" s="3"/>
      <c r="D42" s="50"/>
      <c r="E42" s="50"/>
      <c r="F42" s="50"/>
      <c r="G42" s="50"/>
      <c r="H42" s="47"/>
      <c r="I42" s="3">
        <f>SUMIF('Q1 TB-19'!$A$6:$A$208,'Detail P&amp;L Analytic'!$A42,'Q1 TB-19'!$G$6:$G$208)</f>
        <v>0</v>
      </c>
      <c r="J42" s="3">
        <f>SUMIF('Q2 TB-19'!$A$6:$A$208,'Detail P&amp;L Analytic'!$A42,'Q2 TB-19'!$G$6:$G$208)</f>
        <v>0</v>
      </c>
      <c r="K42" s="3">
        <f>SUMIF('Q3 TB-19'!$A$6:$A$208,'Detail P&amp;L Analytic'!$A42,'Q3 TB-19'!$G$6:$G$208)</f>
        <v>0</v>
      </c>
      <c r="L42" s="3">
        <f>SUMIF('Q4 TB-19'!$A$6:$A$208,'Detail P&amp;L Analytic'!$A42,'Q4 TB-19'!$G$6:$G$208)</f>
        <v>0</v>
      </c>
    </row>
    <row r="43" spans="1:12" hidden="1" x14ac:dyDescent="0.75">
      <c r="A43" s="12" t="s">
        <v>20</v>
      </c>
      <c r="B43" s="13" t="s">
        <v>226</v>
      </c>
      <c r="C43" s="3"/>
      <c r="D43" s="50"/>
      <c r="E43" s="50"/>
      <c r="F43" s="50"/>
      <c r="G43" s="50"/>
      <c r="H43" s="47"/>
      <c r="I43" s="3">
        <f>SUMIF('Q1 TB-19'!$A$6:$A$208,'Detail P&amp;L Analytic'!$A43,'Q1 TB-19'!$G$6:$G$208)</f>
        <v>0</v>
      </c>
      <c r="J43" s="3">
        <f>SUMIF('Q2 TB-19'!$A$6:$A$208,'Detail P&amp;L Analytic'!$A43,'Q2 TB-19'!$G$6:$G$208)</f>
        <v>0</v>
      </c>
      <c r="K43" s="3">
        <f>SUMIF('Q3 TB-19'!$A$6:$A$208,'Detail P&amp;L Analytic'!$A43,'Q3 TB-19'!$G$6:$G$208)</f>
        <v>0</v>
      </c>
      <c r="L43" s="3">
        <f>SUMIF('Q4 TB-19'!$A$6:$A$208,'Detail P&amp;L Analytic'!$A43,'Q4 TB-19'!$G$6:$G$208)</f>
        <v>0</v>
      </c>
    </row>
    <row r="44" spans="1:12" hidden="1" x14ac:dyDescent="0.75">
      <c r="A44" s="12" t="s">
        <v>38</v>
      </c>
      <c r="B44" s="13" t="s">
        <v>227</v>
      </c>
      <c r="C44" s="3"/>
      <c r="D44" s="50"/>
      <c r="E44" s="50"/>
      <c r="F44" s="50"/>
      <c r="G44" s="50"/>
      <c r="H44" s="47"/>
      <c r="I44" s="3">
        <f>SUMIF('Q1 TB-19'!$A$6:$A$208,'Detail P&amp;L Analytic'!$A44,'Q1 TB-19'!$G$6:$G$208)</f>
        <v>0</v>
      </c>
      <c r="J44" s="3">
        <f>SUMIF('Q2 TB-19'!$A$6:$A$208,'Detail P&amp;L Analytic'!$A44,'Q2 TB-19'!$G$6:$G$208)</f>
        <v>0</v>
      </c>
      <c r="K44" s="3">
        <f>SUMIF('Q3 TB-19'!$A$6:$A$208,'Detail P&amp;L Analytic'!$A44,'Q3 TB-19'!$G$6:$G$208)</f>
        <v>0</v>
      </c>
      <c r="L44" s="3">
        <f>SUMIF('Q4 TB-19'!$A$6:$A$208,'Detail P&amp;L Analytic'!$A44,'Q4 TB-19'!$G$6:$G$208)</f>
        <v>0</v>
      </c>
    </row>
    <row r="45" spans="1:12" hidden="1" x14ac:dyDescent="0.75">
      <c r="A45" s="12" t="s">
        <v>67</v>
      </c>
      <c r="B45" s="13" t="s">
        <v>228</v>
      </c>
      <c r="C45" s="3"/>
      <c r="D45" s="50"/>
      <c r="E45" s="50"/>
      <c r="F45" s="50"/>
      <c r="G45" s="50"/>
      <c r="H45" s="47"/>
      <c r="I45" s="3">
        <f>SUMIF('Q1 TB-19'!$A$6:$A$208,'Detail P&amp;L Analytic'!$A45,'Q1 TB-19'!$G$6:$G$208)</f>
        <v>80171</v>
      </c>
      <c r="J45" s="3">
        <f>SUMIF('Q2 TB-19'!$A$6:$A$208,'Detail P&amp;L Analytic'!$A45,'Q2 TB-19'!$G$6:$G$208)</f>
        <v>74007</v>
      </c>
      <c r="K45" s="3">
        <f>SUMIF('Q3 TB-19'!$A$6:$A$208,'Detail P&amp;L Analytic'!$A45,'Q3 TB-19'!$G$6:$G$208)</f>
        <v>68003</v>
      </c>
      <c r="L45" s="3">
        <f>SUMIF('Q4 TB-19'!$A$6:$A$208,'Detail P&amp;L Analytic'!$A45,'Q4 TB-19'!$G$6:$G$208)</f>
        <v>62155</v>
      </c>
    </row>
    <row r="46" spans="1:12" hidden="1" x14ac:dyDescent="0.75">
      <c r="A46" s="12" t="s">
        <v>68</v>
      </c>
      <c r="B46" s="13" t="s">
        <v>229</v>
      </c>
      <c r="C46" s="3"/>
      <c r="D46" s="50"/>
      <c r="E46" s="50"/>
      <c r="F46" s="50"/>
      <c r="G46" s="50"/>
      <c r="H46" s="47"/>
      <c r="I46" s="3">
        <f>SUMIF('Q1 TB-19'!$A$6:$A$208,'Detail P&amp;L Analytic'!$A46,'Q1 TB-19'!$G$6:$G$208)</f>
        <v>0</v>
      </c>
      <c r="J46" s="3">
        <f>SUMIF('Q2 TB-19'!$A$6:$A$208,'Detail P&amp;L Analytic'!$A46,'Q2 TB-19'!$G$6:$G$208)</f>
        <v>0</v>
      </c>
      <c r="K46" s="3">
        <f>SUMIF('Q3 TB-19'!$A$6:$A$208,'Detail P&amp;L Analytic'!$A46,'Q3 TB-19'!$G$6:$G$208)</f>
        <v>0</v>
      </c>
      <c r="L46" s="3">
        <f>SUMIF('Q4 TB-19'!$A$6:$A$208,'Detail P&amp;L Analytic'!$A46,'Q4 TB-19'!$G$6:$G$208)</f>
        <v>0</v>
      </c>
    </row>
    <row r="47" spans="1:12" hidden="1" x14ac:dyDescent="0.75">
      <c r="A47" s="12" t="s">
        <v>69</v>
      </c>
      <c r="B47" s="13" t="s">
        <v>230</v>
      </c>
      <c r="C47" s="3"/>
      <c r="D47" s="50"/>
      <c r="E47" s="50"/>
      <c r="F47" s="50"/>
      <c r="G47" s="50"/>
      <c r="H47" s="47"/>
      <c r="I47" s="3">
        <f>SUMIF('Q1 TB-19'!$A$6:$A$208,'Detail P&amp;L Analytic'!$A47,'Q1 TB-19'!$G$6:$G$208)</f>
        <v>0</v>
      </c>
      <c r="J47" s="3">
        <f>SUMIF('Q2 TB-19'!$A$6:$A$208,'Detail P&amp;L Analytic'!$A47,'Q2 TB-19'!$G$6:$G$208)</f>
        <v>0</v>
      </c>
      <c r="K47" s="3">
        <f>SUMIF('Q3 TB-19'!$A$6:$A$208,'Detail P&amp;L Analytic'!$A47,'Q3 TB-19'!$G$6:$G$208)</f>
        <v>0</v>
      </c>
      <c r="L47" s="3">
        <f>SUMIF('Q4 TB-19'!$A$6:$A$208,'Detail P&amp;L Analytic'!$A47,'Q4 TB-19'!$G$6:$G$208)</f>
        <v>0</v>
      </c>
    </row>
    <row r="48" spans="1:12" hidden="1" x14ac:dyDescent="0.75">
      <c r="A48" s="12" t="s">
        <v>70</v>
      </c>
      <c r="B48" s="13" t="s">
        <v>231</v>
      </c>
      <c r="C48" s="3"/>
      <c r="D48" s="50"/>
      <c r="E48" s="50"/>
      <c r="F48" s="50"/>
      <c r="G48" s="50"/>
      <c r="H48" s="47"/>
      <c r="I48" s="3">
        <f>SUMIF('Q1 TB-19'!$A$6:$A$208,'Detail P&amp;L Analytic'!$A48,'Q1 TB-19'!$G$6:$G$208)</f>
        <v>0</v>
      </c>
      <c r="J48" s="3">
        <f>SUMIF('Q2 TB-19'!$A$6:$A$208,'Detail P&amp;L Analytic'!$A48,'Q2 TB-19'!$G$6:$G$208)</f>
        <v>0</v>
      </c>
      <c r="K48" s="3">
        <f>SUMIF('Q3 TB-19'!$A$6:$A$208,'Detail P&amp;L Analytic'!$A48,'Q3 TB-19'!$G$6:$G$208)</f>
        <v>0</v>
      </c>
      <c r="L48" s="3">
        <f>SUMIF('Q4 TB-19'!$A$6:$A$208,'Detail P&amp;L Analytic'!$A48,'Q4 TB-19'!$G$6:$G$208)</f>
        <v>0</v>
      </c>
    </row>
    <row r="49" spans="1:12" hidden="1" x14ac:dyDescent="0.75">
      <c r="A49" s="12" t="s">
        <v>71</v>
      </c>
      <c r="B49" s="13" t="s">
        <v>232</v>
      </c>
      <c r="C49" s="3"/>
      <c r="D49" s="50"/>
      <c r="E49" s="50"/>
      <c r="F49" s="50"/>
      <c r="G49" s="50"/>
      <c r="H49" s="47"/>
      <c r="I49" s="3">
        <f>SUMIF('Q1 TB-19'!$A$6:$A$208,'Detail P&amp;L Analytic'!$A49,'Q1 TB-19'!$G$6:$G$208)</f>
        <v>0</v>
      </c>
      <c r="J49" s="3">
        <f>SUMIF('Q2 TB-19'!$A$6:$A$208,'Detail P&amp;L Analytic'!$A49,'Q2 TB-19'!$G$6:$G$208)</f>
        <v>0</v>
      </c>
      <c r="K49" s="3">
        <f>SUMIF('Q3 TB-19'!$A$6:$A$208,'Detail P&amp;L Analytic'!$A49,'Q3 TB-19'!$G$6:$G$208)</f>
        <v>0</v>
      </c>
      <c r="L49" s="3">
        <f>SUMIF('Q4 TB-19'!$A$6:$A$208,'Detail P&amp;L Analytic'!$A49,'Q4 TB-19'!$G$6:$G$208)</f>
        <v>0</v>
      </c>
    </row>
    <row r="50" spans="1:12" hidden="1" x14ac:dyDescent="0.75">
      <c r="A50" s="12" t="s">
        <v>66</v>
      </c>
      <c r="B50" s="13" t="s">
        <v>233</v>
      </c>
      <c r="C50" s="3"/>
      <c r="D50" s="50"/>
      <c r="E50" s="50"/>
      <c r="F50" s="50"/>
      <c r="G50" s="50"/>
      <c r="H50" s="47"/>
      <c r="I50" s="3">
        <f>SUMIF('Q1 TB-19'!$A$6:$A$208,'Detail P&amp;L Analytic'!$A50,'Q1 TB-19'!$G$6:$G$208)</f>
        <v>5980</v>
      </c>
      <c r="J50" s="3">
        <f>SUMIF('Q2 TB-19'!$A$6:$A$208,'Detail P&amp;L Analytic'!$A50,'Q2 TB-19'!$G$6:$G$208)</f>
        <v>5980</v>
      </c>
      <c r="K50" s="3">
        <f>SUMIF('Q3 TB-19'!$A$6:$A$208,'Detail P&amp;L Analytic'!$A50,'Q3 TB-19'!$G$6:$G$208)</f>
        <v>5980</v>
      </c>
      <c r="L50" s="3">
        <f>SUMIF('Q4 TB-19'!$A$6:$A$208,'Detail P&amp;L Analytic'!$A50,'Q4 TB-19'!$G$6:$G$208)</f>
        <v>0</v>
      </c>
    </row>
    <row r="51" spans="1:12" hidden="1" x14ac:dyDescent="0.75">
      <c r="A51" s="12" t="s">
        <v>49</v>
      </c>
      <c r="B51" s="13" t="s">
        <v>234</v>
      </c>
      <c r="C51" s="3"/>
      <c r="D51" s="50"/>
      <c r="E51" s="50"/>
      <c r="F51" s="50"/>
      <c r="G51" s="50"/>
      <c r="H51" s="47"/>
      <c r="I51" s="3">
        <f>SUMIF('Q1 TB-19'!$A$6:$A$208,'Detail P&amp;L Analytic'!$A51,'Q1 TB-19'!$G$6:$G$208)</f>
        <v>0</v>
      </c>
      <c r="J51" s="3">
        <f>SUMIF('Q2 TB-19'!$A$6:$A$208,'Detail P&amp;L Analytic'!$A51,'Q2 TB-19'!$G$6:$G$208)</f>
        <v>0</v>
      </c>
      <c r="K51" s="3">
        <f>SUMIF('Q3 TB-19'!$A$6:$A$208,'Detail P&amp;L Analytic'!$A51,'Q3 TB-19'!$G$6:$G$208)</f>
        <v>0</v>
      </c>
      <c r="L51" s="3">
        <f>SUMIF('Q4 TB-19'!$A$6:$A$208,'Detail P&amp;L Analytic'!$A51,'Q4 TB-19'!$G$6:$G$208)</f>
        <v>0</v>
      </c>
    </row>
    <row r="52" spans="1:12" hidden="1" x14ac:dyDescent="0.75">
      <c r="A52" s="12" t="s">
        <v>50</v>
      </c>
      <c r="B52" s="13" t="s">
        <v>235</v>
      </c>
      <c r="C52" s="3"/>
      <c r="D52" s="50"/>
      <c r="E52" s="50"/>
      <c r="F52" s="50"/>
      <c r="G52" s="50"/>
      <c r="H52" s="47"/>
      <c r="I52" s="3">
        <f>SUMIF('Q1 TB-19'!$A$6:$A$208,'Detail P&amp;L Analytic'!$A52,'Q1 TB-19'!$G$6:$G$208)</f>
        <v>3245</v>
      </c>
      <c r="J52" s="3">
        <f>SUMIF('Q2 TB-19'!$A$6:$A$208,'Detail P&amp;L Analytic'!$A52,'Q2 TB-19'!$G$6:$G$208)</f>
        <v>3245</v>
      </c>
      <c r="K52" s="3">
        <f>SUMIF('Q3 TB-19'!$A$6:$A$208,'Detail P&amp;L Analytic'!$A52,'Q3 TB-19'!$G$6:$G$208)</f>
        <v>3245</v>
      </c>
      <c r="L52" s="3">
        <f>SUMIF('Q4 TB-19'!$A$6:$A$208,'Detail P&amp;L Analytic'!$A52,'Q4 TB-19'!$G$6:$G$208)</f>
        <v>0</v>
      </c>
    </row>
    <row r="53" spans="1:12" hidden="1" x14ac:dyDescent="0.75">
      <c r="A53" s="12" t="s">
        <v>51</v>
      </c>
      <c r="B53" s="13" t="s">
        <v>236</v>
      </c>
      <c r="C53" s="3"/>
      <c r="D53" s="50"/>
      <c r="E53" s="50"/>
      <c r="F53" s="50"/>
      <c r="G53" s="50"/>
      <c r="H53" s="47"/>
      <c r="I53" s="3">
        <f>SUMIF('Q1 TB-19'!$A$6:$A$208,'Detail P&amp;L Analytic'!$A53,'Q1 TB-19'!$G$6:$G$208)</f>
        <v>0</v>
      </c>
      <c r="J53" s="3">
        <f>SUMIF('Q2 TB-19'!$A$6:$A$208,'Detail P&amp;L Analytic'!$A53,'Q2 TB-19'!$G$6:$G$208)</f>
        <v>0</v>
      </c>
      <c r="K53" s="3">
        <f>SUMIF('Q3 TB-19'!$A$6:$A$208,'Detail P&amp;L Analytic'!$A53,'Q3 TB-19'!$G$6:$G$208)</f>
        <v>0</v>
      </c>
      <c r="L53" s="3">
        <f>SUMIF('Q4 TB-19'!$A$6:$A$208,'Detail P&amp;L Analytic'!$A53,'Q4 TB-19'!$G$6:$G$208)</f>
        <v>0</v>
      </c>
    </row>
    <row r="54" spans="1:12" hidden="1" x14ac:dyDescent="0.75">
      <c r="A54" s="12" t="s">
        <v>52</v>
      </c>
      <c r="B54" s="13" t="s">
        <v>237</v>
      </c>
      <c r="C54" s="3"/>
      <c r="D54" s="50"/>
      <c r="E54" s="50"/>
      <c r="F54" s="50"/>
      <c r="G54" s="50"/>
      <c r="H54" s="47"/>
      <c r="I54" s="3">
        <f>SUMIF('Q1 TB-19'!$A$6:$A$208,'Detail P&amp;L Analytic'!$A54,'Q1 TB-19'!$G$6:$G$208)</f>
        <v>0</v>
      </c>
      <c r="J54" s="3">
        <f>SUMIF('Q2 TB-19'!$A$6:$A$208,'Detail P&amp;L Analytic'!$A54,'Q2 TB-19'!$G$6:$G$208)</f>
        <v>0</v>
      </c>
      <c r="K54" s="3">
        <f>SUMIF('Q3 TB-19'!$A$6:$A$208,'Detail P&amp;L Analytic'!$A54,'Q3 TB-19'!$G$6:$G$208)</f>
        <v>0</v>
      </c>
      <c r="L54" s="3">
        <f>SUMIF('Q4 TB-19'!$A$6:$A$208,'Detail P&amp;L Analytic'!$A54,'Q4 TB-19'!$G$6:$G$208)</f>
        <v>0</v>
      </c>
    </row>
    <row r="55" spans="1:12" hidden="1" x14ac:dyDescent="0.75">
      <c r="A55" s="12" t="s">
        <v>53</v>
      </c>
      <c r="B55" s="13" t="s">
        <v>238</v>
      </c>
      <c r="C55" s="3"/>
      <c r="D55" s="50"/>
      <c r="E55" s="50"/>
      <c r="F55" s="50"/>
      <c r="G55" s="50"/>
      <c r="H55" s="47"/>
      <c r="I55" s="3">
        <f>SUMIF('Q1 TB-19'!$A$6:$A$208,'Detail P&amp;L Analytic'!$A55,'Q1 TB-19'!$G$6:$G$208)</f>
        <v>0</v>
      </c>
      <c r="J55" s="3">
        <f>SUMIF('Q2 TB-19'!$A$6:$A$208,'Detail P&amp;L Analytic'!$A55,'Q2 TB-19'!$G$6:$G$208)</f>
        <v>0</v>
      </c>
      <c r="K55" s="3">
        <f>SUMIF('Q3 TB-19'!$A$6:$A$208,'Detail P&amp;L Analytic'!$A55,'Q3 TB-19'!$G$6:$G$208)</f>
        <v>0</v>
      </c>
      <c r="L55" s="3">
        <f>SUMIF('Q4 TB-19'!$A$6:$A$208,'Detail P&amp;L Analytic'!$A55,'Q4 TB-19'!$G$6:$G$208)</f>
        <v>0</v>
      </c>
    </row>
    <row r="56" spans="1:12" hidden="1" x14ac:dyDescent="0.75">
      <c r="A56" s="12" t="s">
        <v>54</v>
      </c>
      <c r="B56" s="13" t="s">
        <v>239</v>
      </c>
      <c r="C56" s="3"/>
      <c r="D56" s="50"/>
      <c r="E56" s="50"/>
      <c r="F56" s="50"/>
      <c r="G56" s="50"/>
      <c r="H56" s="47"/>
      <c r="I56" s="3">
        <f>SUMIF('Q1 TB-19'!$A$6:$A$208,'Detail P&amp;L Analytic'!$A56,'Q1 TB-19'!$G$6:$G$208)</f>
        <v>0</v>
      </c>
      <c r="J56" s="3">
        <f>SUMIF('Q2 TB-19'!$A$6:$A$208,'Detail P&amp;L Analytic'!$A56,'Q2 TB-19'!$G$6:$G$208)</f>
        <v>0</v>
      </c>
      <c r="K56" s="3">
        <f>SUMIF('Q3 TB-19'!$A$6:$A$208,'Detail P&amp;L Analytic'!$A56,'Q3 TB-19'!$G$6:$G$208)</f>
        <v>0</v>
      </c>
      <c r="L56" s="3">
        <f>SUMIF('Q4 TB-19'!$A$6:$A$208,'Detail P&amp;L Analytic'!$A56,'Q4 TB-19'!$G$6:$G$208)</f>
        <v>0</v>
      </c>
    </row>
    <row r="57" spans="1:12" hidden="1" x14ac:dyDescent="0.75">
      <c r="A57" s="12" t="s">
        <v>55</v>
      </c>
      <c r="B57" s="13" t="s">
        <v>240</v>
      </c>
      <c r="C57" s="3"/>
      <c r="D57" s="50"/>
      <c r="E57" s="50"/>
      <c r="F57" s="50"/>
      <c r="G57" s="50"/>
      <c r="H57" s="47"/>
      <c r="I57" s="3">
        <f>SUMIF('Q1 TB-19'!$A$6:$A$208,'Detail P&amp;L Analytic'!$A57,'Q1 TB-19'!$G$6:$G$208)</f>
        <v>0</v>
      </c>
      <c r="J57" s="3">
        <f>SUMIF('Q2 TB-19'!$A$6:$A$208,'Detail P&amp;L Analytic'!$A57,'Q2 TB-19'!$G$6:$G$208)</f>
        <v>0</v>
      </c>
      <c r="K57" s="3">
        <f>SUMIF('Q3 TB-19'!$A$6:$A$208,'Detail P&amp;L Analytic'!$A57,'Q3 TB-19'!$G$6:$G$208)</f>
        <v>0</v>
      </c>
      <c r="L57" s="3">
        <f>SUMIF('Q4 TB-19'!$A$6:$A$208,'Detail P&amp;L Analytic'!$A57,'Q4 TB-19'!$G$6:$G$208)</f>
        <v>0</v>
      </c>
    </row>
    <row r="58" spans="1:12" hidden="1" x14ac:dyDescent="0.75">
      <c r="A58" s="12" t="s">
        <v>56</v>
      </c>
      <c r="B58" s="13" t="s">
        <v>241</v>
      </c>
      <c r="C58" s="3"/>
      <c r="D58" s="50"/>
      <c r="E58" s="50"/>
      <c r="F58" s="50"/>
      <c r="G58" s="50"/>
      <c r="H58" s="47"/>
      <c r="I58" s="3">
        <f>SUMIF('Q1 TB-19'!$A$6:$A$208,'Detail P&amp;L Analytic'!$A58,'Q1 TB-19'!$G$6:$G$208)</f>
        <v>0</v>
      </c>
      <c r="J58" s="3">
        <f>SUMIF('Q2 TB-19'!$A$6:$A$208,'Detail P&amp;L Analytic'!$A58,'Q2 TB-19'!$G$6:$G$208)</f>
        <v>0</v>
      </c>
      <c r="K58" s="3">
        <f>SUMIF('Q3 TB-19'!$A$6:$A$208,'Detail P&amp;L Analytic'!$A58,'Q3 TB-19'!$G$6:$G$208)</f>
        <v>0</v>
      </c>
      <c r="L58" s="3">
        <f>SUMIF('Q4 TB-19'!$A$6:$A$208,'Detail P&amp;L Analytic'!$A58,'Q4 TB-19'!$G$6:$G$208)</f>
        <v>0</v>
      </c>
    </row>
    <row r="59" spans="1:12" hidden="1" x14ac:dyDescent="0.75">
      <c r="A59" s="12" t="s">
        <v>57</v>
      </c>
      <c r="B59" s="13" t="s">
        <v>242</v>
      </c>
      <c r="C59" s="3"/>
      <c r="D59" s="50"/>
      <c r="E59" s="50"/>
      <c r="F59" s="50"/>
      <c r="G59" s="50"/>
      <c r="H59" s="47"/>
      <c r="I59" s="3">
        <f>SUMIF('Q1 TB-19'!$A$6:$A$208,'Detail P&amp;L Analytic'!$A59,'Q1 TB-19'!$G$6:$G$208)</f>
        <v>0</v>
      </c>
      <c r="J59" s="3">
        <f>SUMIF('Q2 TB-19'!$A$6:$A$208,'Detail P&amp;L Analytic'!$A59,'Q2 TB-19'!$G$6:$G$208)</f>
        <v>0</v>
      </c>
      <c r="K59" s="3">
        <f>SUMIF('Q3 TB-19'!$A$6:$A$208,'Detail P&amp;L Analytic'!$A59,'Q3 TB-19'!$G$6:$G$208)</f>
        <v>0</v>
      </c>
      <c r="L59" s="3">
        <f>SUMIF('Q4 TB-19'!$A$6:$A$208,'Detail P&amp;L Analytic'!$A59,'Q4 TB-19'!$G$6:$G$208)</f>
        <v>0</v>
      </c>
    </row>
    <row r="60" spans="1:12" hidden="1" x14ac:dyDescent="0.75">
      <c r="A60" s="12" t="s">
        <v>58</v>
      </c>
      <c r="B60" s="13" t="s">
        <v>243</v>
      </c>
      <c r="C60" s="3"/>
      <c r="D60" s="50"/>
      <c r="E60" s="50"/>
      <c r="F60" s="50"/>
      <c r="G60" s="50"/>
      <c r="H60" s="47"/>
      <c r="I60" s="3">
        <f>SUMIF('Q1 TB-19'!$A$6:$A$208,'Detail P&amp;L Analytic'!$A60,'Q1 TB-19'!$G$6:$G$208)</f>
        <v>2500</v>
      </c>
      <c r="J60" s="3">
        <f>SUMIF('Q2 TB-19'!$A$6:$A$208,'Detail P&amp;L Analytic'!$A60,'Q2 TB-19'!$G$6:$G$208)</f>
        <v>2500</v>
      </c>
      <c r="K60" s="3">
        <f>SUMIF('Q3 TB-19'!$A$6:$A$208,'Detail P&amp;L Analytic'!$A60,'Q3 TB-19'!$G$6:$G$208)</f>
        <v>2500</v>
      </c>
      <c r="L60" s="3">
        <f>SUMIF('Q4 TB-19'!$A$6:$A$208,'Detail P&amp;L Analytic'!$A60,'Q4 TB-19'!$G$6:$G$208)</f>
        <v>0</v>
      </c>
    </row>
    <row r="61" spans="1:12" hidden="1" x14ac:dyDescent="0.75">
      <c r="A61" s="12" t="s">
        <v>59</v>
      </c>
      <c r="B61" s="13" t="s">
        <v>244</v>
      </c>
      <c r="C61" s="3"/>
      <c r="D61" s="50"/>
      <c r="E61" s="50"/>
      <c r="F61" s="50"/>
      <c r="G61" s="50"/>
      <c r="H61" s="47"/>
      <c r="I61" s="3">
        <f>SUMIF('Q1 TB-19'!$A$6:$A$208,'Detail P&amp;L Analytic'!$A61,'Q1 TB-19'!$G$6:$G$208)</f>
        <v>0</v>
      </c>
      <c r="J61" s="3">
        <f>SUMIF('Q2 TB-19'!$A$6:$A$208,'Detail P&amp;L Analytic'!$A61,'Q2 TB-19'!$G$6:$G$208)</f>
        <v>0</v>
      </c>
      <c r="K61" s="3">
        <f>SUMIF('Q3 TB-19'!$A$6:$A$208,'Detail P&amp;L Analytic'!$A61,'Q3 TB-19'!$G$6:$G$208)</f>
        <v>0</v>
      </c>
      <c r="L61" s="3">
        <f>SUMIF('Q4 TB-19'!$A$6:$A$208,'Detail P&amp;L Analytic'!$A61,'Q4 TB-19'!$G$6:$G$208)</f>
        <v>0</v>
      </c>
    </row>
    <row r="62" spans="1:12" hidden="1" x14ac:dyDescent="0.75">
      <c r="A62" s="12" t="s">
        <v>60</v>
      </c>
      <c r="B62" s="13" t="s">
        <v>245</v>
      </c>
      <c r="C62" s="3"/>
      <c r="D62" s="50"/>
      <c r="E62" s="50"/>
      <c r="F62" s="50"/>
      <c r="G62" s="50"/>
      <c r="H62" s="47"/>
      <c r="I62" s="3">
        <f>SUMIF('Q1 TB-19'!$A$6:$A$208,'Detail P&amp;L Analytic'!$A62,'Q1 TB-19'!$G$6:$G$208)</f>
        <v>0</v>
      </c>
      <c r="J62" s="3">
        <f>SUMIF('Q2 TB-19'!$A$6:$A$208,'Detail P&amp;L Analytic'!$A62,'Q2 TB-19'!$G$6:$G$208)</f>
        <v>0</v>
      </c>
      <c r="K62" s="3">
        <f>SUMIF('Q3 TB-19'!$A$6:$A$208,'Detail P&amp;L Analytic'!$A62,'Q3 TB-19'!$G$6:$G$208)</f>
        <v>0</v>
      </c>
      <c r="L62" s="3">
        <f>SUMIF('Q4 TB-19'!$A$6:$A$208,'Detail P&amp;L Analytic'!$A62,'Q4 TB-19'!$G$6:$G$208)</f>
        <v>0</v>
      </c>
    </row>
    <row r="63" spans="1:12" hidden="1" x14ac:dyDescent="0.75">
      <c r="A63" s="12" t="s">
        <v>61</v>
      </c>
      <c r="B63" s="13" t="s">
        <v>246</v>
      </c>
      <c r="C63" s="3"/>
      <c r="D63" s="50"/>
      <c r="E63" s="50"/>
      <c r="F63" s="50"/>
      <c r="G63" s="50"/>
      <c r="H63" s="47"/>
      <c r="I63" s="3">
        <f>SUMIF('Q1 TB-19'!$A$6:$A$208,'Detail P&amp;L Analytic'!$A63,'Q1 TB-19'!$G$6:$G$208)</f>
        <v>0</v>
      </c>
      <c r="J63" s="3">
        <f>SUMIF('Q2 TB-19'!$A$6:$A$208,'Detail P&amp;L Analytic'!$A63,'Q2 TB-19'!$G$6:$G$208)</f>
        <v>0</v>
      </c>
      <c r="K63" s="3">
        <f>SUMIF('Q3 TB-19'!$A$6:$A$208,'Detail P&amp;L Analytic'!$A63,'Q3 TB-19'!$G$6:$G$208)</f>
        <v>0</v>
      </c>
      <c r="L63" s="3">
        <f>SUMIF('Q4 TB-19'!$A$6:$A$208,'Detail P&amp;L Analytic'!$A63,'Q4 TB-19'!$G$6:$G$208)</f>
        <v>0</v>
      </c>
    </row>
    <row r="64" spans="1:12" hidden="1" x14ac:dyDescent="0.75">
      <c r="A64" s="12" t="s">
        <v>62</v>
      </c>
      <c r="B64" s="13" t="s">
        <v>247</v>
      </c>
      <c r="C64" s="3"/>
      <c r="D64" s="50"/>
      <c r="E64" s="50"/>
      <c r="F64" s="50"/>
      <c r="G64" s="50"/>
      <c r="H64" s="47"/>
      <c r="I64" s="3">
        <f>SUMIF('Q1 TB-19'!$A$6:$A$208,'Detail P&amp;L Analytic'!$A64,'Q1 TB-19'!$G$6:$G$208)</f>
        <v>0</v>
      </c>
      <c r="J64" s="3">
        <f>SUMIF('Q2 TB-19'!$A$6:$A$208,'Detail P&amp;L Analytic'!$A64,'Q2 TB-19'!$G$6:$G$208)</f>
        <v>0</v>
      </c>
      <c r="K64" s="3">
        <f>SUMIF('Q3 TB-19'!$A$6:$A$208,'Detail P&amp;L Analytic'!$A64,'Q3 TB-19'!$G$6:$G$208)</f>
        <v>0</v>
      </c>
      <c r="L64" s="3">
        <f>SUMIF('Q4 TB-19'!$A$6:$A$208,'Detail P&amp;L Analytic'!$A64,'Q4 TB-19'!$G$6:$G$208)</f>
        <v>0</v>
      </c>
    </row>
    <row r="65" spans="1:12" hidden="1" x14ac:dyDescent="0.75">
      <c r="A65" s="12" t="s">
        <v>63</v>
      </c>
      <c r="B65" s="13" t="s">
        <v>248</v>
      </c>
      <c r="C65" s="3"/>
      <c r="D65" s="50"/>
      <c r="E65" s="50"/>
      <c r="F65" s="50"/>
      <c r="G65" s="50"/>
      <c r="H65" s="47"/>
      <c r="I65" s="3">
        <f>SUMIF('Q1 TB-19'!$A$6:$A$208,'Detail P&amp;L Analytic'!$A65,'Q1 TB-19'!$G$6:$G$208)</f>
        <v>0</v>
      </c>
      <c r="J65" s="3">
        <f>SUMIF('Q2 TB-19'!$A$6:$A$208,'Detail P&amp;L Analytic'!$A65,'Q2 TB-19'!$G$6:$G$208)</f>
        <v>0</v>
      </c>
      <c r="K65" s="3">
        <f>SUMIF('Q3 TB-19'!$A$6:$A$208,'Detail P&amp;L Analytic'!$A65,'Q3 TB-19'!$G$6:$G$208)</f>
        <v>0</v>
      </c>
      <c r="L65" s="3">
        <f>SUMIF('Q4 TB-19'!$A$6:$A$208,'Detail P&amp;L Analytic'!$A65,'Q4 TB-19'!$G$6:$G$208)</f>
        <v>0</v>
      </c>
    </row>
    <row r="66" spans="1:12" hidden="1" x14ac:dyDescent="0.75">
      <c r="A66" s="12" t="s">
        <v>64</v>
      </c>
      <c r="B66" s="13" t="s">
        <v>249</v>
      </c>
      <c r="C66" s="3"/>
      <c r="D66" s="50"/>
      <c r="E66" s="50"/>
      <c r="F66" s="50"/>
      <c r="G66" s="50"/>
      <c r="H66" s="47"/>
      <c r="I66" s="3">
        <f>SUMIF('Q1 TB-19'!$A$6:$A$208,'Detail P&amp;L Analytic'!$A66,'Q1 TB-19'!$G$6:$G$208)</f>
        <v>0</v>
      </c>
      <c r="J66" s="3">
        <f>SUMIF('Q2 TB-19'!$A$6:$A$208,'Detail P&amp;L Analytic'!$A66,'Q2 TB-19'!$G$6:$G$208)</f>
        <v>0</v>
      </c>
      <c r="K66" s="3">
        <f>SUMIF('Q3 TB-19'!$A$6:$A$208,'Detail P&amp;L Analytic'!$A66,'Q3 TB-19'!$G$6:$G$208)</f>
        <v>0</v>
      </c>
      <c r="L66" s="3">
        <f>SUMIF('Q4 TB-19'!$A$6:$A$208,'Detail P&amp;L Analytic'!$A66,'Q4 TB-19'!$G$6:$G$208)</f>
        <v>0</v>
      </c>
    </row>
    <row r="67" spans="1:12" hidden="1" x14ac:dyDescent="0.75">
      <c r="A67" s="12" t="s">
        <v>65</v>
      </c>
      <c r="B67" s="13" t="s">
        <v>250</v>
      </c>
      <c r="C67" s="3"/>
      <c r="D67" s="50"/>
      <c r="E67" s="50"/>
      <c r="F67" s="50"/>
      <c r="G67" s="50"/>
      <c r="H67" s="47"/>
      <c r="I67" s="3">
        <f>SUMIF('Q1 TB-19'!$A$6:$A$208,'Detail P&amp;L Analytic'!$A67,'Q1 TB-19'!$G$6:$G$208)</f>
        <v>0</v>
      </c>
      <c r="J67" s="3">
        <f>SUMIF('Q2 TB-19'!$A$6:$A$208,'Detail P&amp;L Analytic'!$A67,'Q2 TB-19'!$G$6:$G$208)</f>
        <v>0</v>
      </c>
      <c r="K67" s="3">
        <f>SUMIF('Q3 TB-19'!$A$6:$A$208,'Detail P&amp;L Analytic'!$A67,'Q3 TB-19'!$G$6:$G$208)</f>
        <v>0</v>
      </c>
      <c r="L67" s="3">
        <f>SUMIF('Q4 TB-19'!$A$6:$A$208,'Detail P&amp;L Analytic'!$A67,'Q4 TB-19'!$G$6:$G$208)</f>
        <v>0</v>
      </c>
    </row>
    <row r="68" spans="1:12" hidden="1" x14ac:dyDescent="0.75">
      <c r="A68" s="12" t="s">
        <v>84</v>
      </c>
      <c r="B68" s="13" t="s">
        <v>251</v>
      </c>
      <c r="C68" s="3"/>
      <c r="D68" s="50"/>
      <c r="E68" s="50"/>
      <c r="F68" s="50"/>
      <c r="G68" s="50"/>
      <c r="H68" s="47"/>
      <c r="I68" s="3">
        <f>SUMIF('Q1 TB-19'!$A$6:$A$208,'Detail P&amp;L Analytic'!$A68,'Q1 TB-19'!$G$6:$G$208)</f>
        <v>-78844.149999999994</v>
      </c>
      <c r="J68" s="3">
        <f>SUMIF('Q2 TB-19'!$A$6:$A$208,'Detail P&amp;L Analytic'!$A68,'Q2 TB-19'!$G$6:$G$208)</f>
        <v>-76633.41</v>
      </c>
      <c r="K68" s="3">
        <f>SUMIF('Q3 TB-19'!$A$6:$A$208,'Detail P&amp;L Analytic'!$A68,'Q3 TB-19'!$G$6:$G$208)</f>
        <v>-79293.73</v>
      </c>
      <c r="L68" s="3">
        <f>SUMIF('Q4 TB-19'!$A$6:$A$208,'Detail P&amp;L Analytic'!$A68,'Q4 TB-19'!$G$6:$G$208)</f>
        <v>-52122.879999999997</v>
      </c>
    </row>
    <row r="69" spans="1:12" hidden="1" x14ac:dyDescent="0.75">
      <c r="A69" s="12" t="s">
        <v>47</v>
      </c>
      <c r="B69" s="13" t="s">
        <v>252</v>
      </c>
      <c r="C69" s="3"/>
      <c r="D69" s="50"/>
      <c r="E69" s="50"/>
      <c r="F69" s="50"/>
      <c r="G69" s="50"/>
      <c r="H69" s="47"/>
      <c r="I69" s="3">
        <f>SUMIF('Q1 TB-19'!$A$6:$A$208,'Detail P&amp;L Analytic'!$A69,'Q1 TB-19'!$G$6:$G$208)</f>
        <v>0</v>
      </c>
      <c r="J69" s="3">
        <f>SUMIF('Q2 TB-19'!$A$6:$A$208,'Detail P&amp;L Analytic'!$A69,'Q2 TB-19'!$G$6:$G$208)</f>
        <v>0</v>
      </c>
      <c r="K69" s="3">
        <f>SUMIF('Q3 TB-19'!$A$6:$A$208,'Detail P&amp;L Analytic'!$A69,'Q3 TB-19'!$G$6:$G$208)</f>
        <v>0</v>
      </c>
      <c r="L69" s="3">
        <f>SUMIF('Q4 TB-19'!$A$6:$A$208,'Detail P&amp;L Analytic'!$A69,'Q4 TB-19'!$G$6:$G$208)</f>
        <v>0</v>
      </c>
    </row>
    <row r="70" spans="1:12" hidden="1" x14ac:dyDescent="0.75">
      <c r="A70" s="12" t="s">
        <v>85</v>
      </c>
      <c r="B70" s="13" t="s">
        <v>253</v>
      </c>
      <c r="C70" s="3"/>
      <c r="D70" s="50"/>
      <c r="E70" s="50"/>
      <c r="F70" s="50"/>
      <c r="G70" s="50"/>
      <c r="H70" s="47"/>
      <c r="I70" s="3">
        <f>SUMIF('Q1 TB-19'!$A$6:$A$208,'Detail P&amp;L Analytic'!$A70,'Q1 TB-19'!$G$6:$G$208)</f>
        <v>0</v>
      </c>
      <c r="J70" s="3">
        <f>SUMIF('Q2 TB-19'!$A$6:$A$208,'Detail P&amp;L Analytic'!$A70,'Q2 TB-19'!$G$6:$G$208)</f>
        <v>0</v>
      </c>
      <c r="K70" s="3">
        <f>SUMIF('Q3 TB-19'!$A$6:$A$208,'Detail P&amp;L Analytic'!$A70,'Q3 TB-19'!$G$6:$G$208)</f>
        <v>0</v>
      </c>
      <c r="L70" s="3">
        <f>SUMIF('Q4 TB-19'!$A$6:$A$208,'Detail P&amp;L Analytic'!$A70,'Q4 TB-19'!$G$6:$G$208)</f>
        <v>0</v>
      </c>
    </row>
    <row r="71" spans="1:12" hidden="1" x14ac:dyDescent="0.75">
      <c r="A71" s="12" t="s">
        <v>86</v>
      </c>
      <c r="B71" s="13" t="s">
        <v>254</v>
      </c>
      <c r="C71" s="3"/>
      <c r="D71" s="50"/>
      <c r="E71" s="50"/>
      <c r="F71" s="50"/>
      <c r="G71" s="50"/>
      <c r="H71" s="47"/>
      <c r="I71" s="3">
        <f>SUMIF('Q1 TB-19'!$A$6:$A$208,'Detail P&amp;L Analytic'!$A71,'Q1 TB-19'!$G$6:$G$208)</f>
        <v>0</v>
      </c>
      <c r="J71" s="3">
        <f>SUMIF('Q2 TB-19'!$A$6:$A$208,'Detail P&amp;L Analytic'!$A71,'Q2 TB-19'!$G$6:$G$208)</f>
        <v>0</v>
      </c>
      <c r="K71" s="3">
        <f>SUMIF('Q3 TB-19'!$A$6:$A$208,'Detail P&amp;L Analytic'!$A71,'Q3 TB-19'!$G$6:$G$208)</f>
        <v>0</v>
      </c>
      <c r="L71" s="3">
        <f>SUMIF('Q4 TB-19'!$A$6:$A$208,'Detail P&amp;L Analytic'!$A71,'Q4 TB-19'!$G$6:$G$208)</f>
        <v>0</v>
      </c>
    </row>
    <row r="72" spans="1:12" hidden="1" x14ac:dyDescent="0.75">
      <c r="A72" s="12" t="s">
        <v>87</v>
      </c>
      <c r="B72" s="13" t="s">
        <v>255</v>
      </c>
      <c r="C72" s="3"/>
      <c r="D72" s="50"/>
      <c r="E72" s="50"/>
      <c r="F72" s="50"/>
      <c r="G72" s="50"/>
      <c r="H72" s="47"/>
      <c r="I72" s="3">
        <f>SUMIF('Q1 TB-19'!$A$6:$A$208,'Detail P&amp;L Analytic'!$A72,'Q1 TB-19'!$G$6:$G$208)</f>
        <v>0</v>
      </c>
      <c r="J72" s="3">
        <f>SUMIF('Q2 TB-19'!$A$6:$A$208,'Detail P&amp;L Analytic'!$A72,'Q2 TB-19'!$G$6:$G$208)</f>
        <v>0</v>
      </c>
      <c r="K72" s="3">
        <f>SUMIF('Q3 TB-19'!$A$6:$A$208,'Detail P&amp;L Analytic'!$A72,'Q3 TB-19'!$G$6:$G$208)</f>
        <v>0</v>
      </c>
      <c r="L72" s="3">
        <f>SUMIF('Q4 TB-19'!$A$6:$A$208,'Detail P&amp;L Analytic'!$A72,'Q4 TB-19'!$G$6:$G$208)</f>
        <v>0</v>
      </c>
    </row>
    <row r="73" spans="1:12" hidden="1" x14ac:dyDescent="0.75">
      <c r="A73" s="12" t="s">
        <v>88</v>
      </c>
      <c r="B73" s="13" t="s">
        <v>256</v>
      </c>
      <c r="C73" s="3"/>
      <c r="D73" s="50"/>
      <c r="E73" s="50"/>
      <c r="F73" s="50"/>
      <c r="G73" s="50"/>
      <c r="H73" s="47"/>
      <c r="I73" s="3">
        <f>SUMIF('Q1 TB-19'!$A$6:$A$208,'Detail P&amp;L Analytic'!$A73,'Q1 TB-19'!$G$6:$G$208)</f>
        <v>0</v>
      </c>
      <c r="J73" s="3">
        <f>SUMIF('Q2 TB-19'!$A$6:$A$208,'Detail P&amp;L Analytic'!$A73,'Q2 TB-19'!$G$6:$G$208)</f>
        <v>0</v>
      </c>
      <c r="K73" s="3">
        <f>SUMIF('Q3 TB-19'!$A$6:$A$208,'Detail P&amp;L Analytic'!$A73,'Q3 TB-19'!$G$6:$G$208)</f>
        <v>0</v>
      </c>
      <c r="L73" s="3">
        <f>SUMIF('Q4 TB-19'!$A$6:$A$208,'Detail P&amp;L Analytic'!$A73,'Q4 TB-19'!$G$6:$G$208)</f>
        <v>0</v>
      </c>
    </row>
    <row r="74" spans="1:12" hidden="1" x14ac:dyDescent="0.75">
      <c r="A74" s="12" t="s">
        <v>89</v>
      </c>
      <c r="B74" s="13" t="s">
        <v>257</v>
      </c>
      <c r="C74" s="3"/>
      <c r="D74" s="50"/>
      <c r="E74" s="50"/>
      <c r="F74" s="50"/>
      <c r="G74" s="50"/>
      <c r="H74" s="47"/>
      <c r="I74" s="3">
        <f>SUMIF('Q1 TB-19'!$A$6:$A$208,'Detail P&amp;L Analytic'!$A74,'Q1 TB-19'!$G$6:$G$208)</f>
        <v>0</v>
      </c>
      <c r="J74" s="3">
        <f>SUMIF('Q2 TB-19'!$A$6:$A$208,'Detail P&amp;L Analytic'!$A74,'Q2 TB-19'!$G$6:$G$208)</f>
        <v>0</v>
      </c>
      <c r="K74" s="3">
        <f>SUMIF('Q3 TB-19'!$A$6:$A$208,'Detail P&amp;L Analytic'!$A74,'Q3 TB-19'!$G$6:$G$208)</f>
        <v>0</v>
      </c>
      <c r="L74" s="3">
        <f>SUMIF('Q4 TB-19'!$A$6:$A$208,'Detail P&amp;L Analytic'!$A74,'Q4 TB-19'!$G$6:$G$208)</f>
        <v>0</v>
      </c>
    </row>
    <row r="75" spans="1:12" hidden="1" x14ac:dyDescent="0.75">
      <c r="A75" s="12" t="s">
        <v>90</v>
      </c>
      <c r="B75" s="13" t="s">
        <v>258</v>
      </c>
      <c r="C75" s="3"/>
      <c r="D75" s="50"/>
      <c r="E75" s="50"/>
      <c r="F75" s="50"/>
      <c r="G75" s="50"/>
      <c r="H75" s="47"/>
      <c r="I75" s="3">
        <f>SUMIF('Q1 TB-19'!$A$6:$A$208,'Detail P&amp;L Analytic'!$A75,'Q1 TB-19'!$G$6:$G$208)</f>
        <v>0</v>
      </c>
      <c r="J75" s="3">
        <f>SUMIF('Q2 TB-19'!$A$6:$A$208,'Detail P&amp;L Analytic'!$A75,'Q2 TB-19'!$G$6:$G$208)</f>
        <v>0</v>
      </c>
      <c r="K75" s="3">
        <f>SUMIF('Q3 TB-19'!$A$6:$A$208,'Detail P&amp;L Analytic'!$A75,'Q3 TB-19'!$G$6:$G$208)</f>
        <v>0</v>
      </c>
      <c r="L75" s="3">
        <f>SUMIF('Q4 TB-19'!$A$6:$A$208,'Detail P&amp;L Analytic'!$A75,'Q4 TB-19'!$G$6:$G$208)</f>
        <v>0</v>
      </c>
    </row>
    <row r="76" spans="1:12" hidden="1" x14ac:dyDescent="0.75">
      <c r="A76" s="12" t="s">
        <v>91</v>
      </c>
      <c r="B76" s="13" t="s">
        <v>259</v>
      </c>
      <c r="C76" s="3"/>
      <c r="D76" s="50"/>
      <c r="E76" s="50"/>
      <c r="F76" s="50"/>
      <c r="G76" s="50"/>
      <c r="H76" s="47"/>
      <c r="I76" s="3">
        <f>SUMIF('Q1 TB-19'!$A$6:$A$208,'Detail P&amp;L Analytic'!$A76,'Q1 TB-19'!$G$6:$G$208)</f>
        <v>0</v>
      </c>
      <c r="J76" s="3">
        <f>SUMIF('Q2 TB-19'!$A$6:$A$208,'Detail P&amp;L Analytic'!$A76,'Q2 TB-19'!$G$6:$G$208)</f>
        <v>0</v>
      </c>
      <c r="K76" s="3">
        <f>SUMIF('Q3 TB-19'!$A$6:$A$208,'Detail P&amp;L Analytic'!$A76,'Q3 TB-19'!$G$6:$G$208)</f>
        <v>0</v>
      </c>
      <c r="L76" s="3">
        <f>SUMIF('Q4 TB-19'!$A$6:$A$208,'Detail P&amp;L Analytic'!$A76,'Q4 TB-19'!$G$6:$G$208)</f>
        <v>0</v>
      </c>
    </row>
    <row r="77" spans="1:12" hidden="1" x14ac:dyDescent="0.75">
      <c r="A77" s="12" t="s">
        <v>92</v>
      </c>
      <c r="B77" s="13" t="s">
        <v>260</v>
      </c>
      <c r="C77" s="3"/>
      <c r="D77" s="50"/>
      <c r="E77" s="50"/>
      <c r="F77" s="50"/>
      <c r="G77" s="50"/>
      <c r="H77" s="47"/>
      <c r="I77" s="3">
        <f>SUMIF('Q1 TB-19'!$A$6:$A$208,'Detail P&amp;L Analytic'!$A77,'Q1 TB-19'!$G$6:$G$208)</f>
        <v>-600758.23</v>
      </c>
      <c r="J77" s="3">
        <f>SUMIF('Q2 TB-19'!$A$6:$A$208,'Detail P&amp;L Analytic'!$A77,'Q2 TB-19'!$G$6:$G$208)</f>
        <v>-609814.73</v>
      </c>
      <c r="K77" s="3">
        <f>SUMIF('Q3 TB-19'!$A$6:$A$208,'Detail P&amp;L Analytic'!$A77,'Q3 TB-19'!$G$6:$G$208)</f>
        <v>-619007.76</v>
      </c>
      <c r="L77" s="3">
        <f>SUMIF('Q4 TB-19'!$A$6:$A$208,'Detail P&amp;L Analytic'!$A77,'Q4 TB-19'!$G$6:$G$208)</f>
        <v>-730110.45000000007</v>
      </c>
    </row>
    <row r="78" spans="1:12" hidden="1" x14ac:dyDescent="0.75">
      <c r="A78" s="12" t="s">
        <v>93</v>
      </c>
      <c r="B78" s="13" t="s">
        <v>261</v>
      </c>
      <c r="C78" s="3"/>
      <c r="D78" s="50"/>
      <c r="E78" s="50"/>
      <c r="F78" s="50"/>
      <c r="G78" s="50"/>
      <c r="H78" s="47"/>
      <c r="I78" s="3">
        <f>SUMIF('Q1 TB-19'!$A$6:$A$208,'Detail P&amp;L Analytic'!$A78,'Q1 TB-19'!$G$6:$G$208)</f>
        <v>0</v>
      </c>
      <c r="J78" s="3">
        <f>SUMIF('Q2 TB-19'!$A$6:$A$208,'Detail P&amp;L Analytic'!$A78,'Q2 TB-19'!$G$6:$G$208)</f>
        <v>0</v>
      </c>
      <c r="K78" s="3">
        <f>SUMIF('Q3 TB-19'!$A$6:$A$208,'Detail P&amp;L Analytic'!$A78,'Q3 TB-19'!$G$6:$G$208)</f>
        <v>0</v>
      </c>
      <c r="L78" s="3">
        <f>SUMIF('Q4 TB-19'!$A$6:$A$208,'Detail P&amp;L Analytic'!$A78,'Q4 TB-19'!$G$6:$G$208)</f>
        <v>0</v>
      </c>
    </row>
    <row r="79" spans="1:12" hidden="1" x14ac:dyDescent="0.75">
      <c r="A79" s="12" t="s">
        <v>95</v>
      </c>
      <c r="B79" s="13" t="s">
        <v>262</v>
      </c>
      <c r="C79" s="3"/>
      <c r="D79" s="50"/>
      <c r="E79" s="50"/>
      <c r="F79" s="50"/>
      <c r="G79" s="50"/>
      <c r="H79" s="47"/>
      <c r="I79" s="3">
        <f>SUMIF('Q1 TB-19'!$A$6:$A$208,'Detail P&amp;L Analytic'!$A79,'Q1 TB-19'!$G$6:$G$208)</f>
        <v>0</v>
      </c>
      <c r="J79" s="3">
        <f>SUMIF('Q2 TB-19'!$A$6:$A$208,'Detail P&amp;L Analytic'!$A79,'Q2 TB-19'!$G$6:$G$208)</f>
        <v>0</v>
      </c>
      <c r="K79" s="3">
        <f>SUMIF('Q3 TB-19'!$A$6:$A$208,'Detail P&amp;L Analytic'!$A79,'Q3 TB-19'!$G$6:$G$208)</f>
        <v>0</v>
      </c>
      <c r="L79" s="3">
        <f>SUMIF('Q4 TB-19'!$A$6:$A$208,'Detail P&amp;L Analytic'!$A79,'Q4 TB-19'!$G$6:$G$208)</f>
        <v>0</v>
      </c>
    </row>
    <row r="80" spans="1:12" hidden="1" x14ac:dyDescent="0.75">
      <c r="A80" s="12" t="s">
        <v>107</v>
      </c>
      <c r="B80" s="13" t="s">
        <v>263</v>
      </c>
      <c r="C80" s="3"/>
      <c r="D80" s="50"/>
      <c r="E80" s="50"/>
      <c r="F80" s="50"/>
      <c r="G80" s="50"/>
      <c r="H80" s="47"/>
      <c r="I80" s="3">
        <f>SUMIF('Q1 TB-19'!$A$6:$A$208,'Detail P&amp;L Analytic'!$A80,'Q1 TB-19'!$G$6:$G$208)</f>
        <v>0</v>
      </c>
      <c r="J80" s="3">
        <f>SUMIF('Q2 TB-19'!$A$6:$A$208,'Detail P&amp;L Analytic'!$A80,'Q2 TB-19'!$G$6:$G$208)</f>
        <v>0</v>
      </c>
      <c r="K80" s="3">
        <f>SUMIF('Q3 TB-19'!$A$6:$A$208,'Detail P&amp;L Analytic'!$A80,'Q3 TB-19'!$G$6:$G$208)</f>
        <v>0</v>
      </c>
      <c r="L80" s="3">
        <f>SUMIF('Q4 TB-19'!$A$6:$A$208,'Detail P&amp;L Analytic'!$A80,'Q4 TB-19'!$G$6:$G$208)</f>
        <v>0</v>
      </c>
    </row>
    <row r="81" spans="1:12" hidden="1" x14ac:dyDescent="0.75">
      <c r="A81" s="12" t="s">
        <v>108</v>
      </c>
      <c r="B81" s="13" t="s">
        <v>264</v>
      </c>
      <c r="C81" s="3"/>
      <c r="D81" s="50"/>
      <c r="E81" s="50"/>
      <c r="F81" s="50"/>
      <c r="G81" s="50"/>
      <c r="H81" s="47"/>
      <c r="I81" s="3">
        <f>SUMIF('Q1 TB-19'!$A$6:$A$208,'Detail P&amp;L Analytic'!$A81,'Q1 TB-19'!$G$6:$G$208)</f>
        <v>0</v>
      </c>
      <c r="J81" s="3">
        <f>SUMIF('Q2 TB-19'!$A$6:$A$208,'Detail P&amp;L Analytic'!$A81,'Q2 TB-19'!$G$6:$G$208)</f>
        <v>0</v>
      </c>
      <c r="K81" s="3">
        <f>SUMIF('Q3 TB-19'!$A$6:$A$208,'Detail P&amp;L Analytic'!$A81,'Q3 TB-19'!$G$6:$G$208)</f>
        <v>0</v>
      </c>
      <c r="L81" s="3">
        <f>SUMIF('Q4 TB-19'!$A$6:$A$208,'Detail P&amp;L Analytic'!$A81,'Q4 TB-19'!$G$6:$G$208)</f>
        <v>0</v>
      </c>
    </row>
    <row r="82" spans="1:12" hidden="1" x14ac:dyDescent="0.75">
      <c r="A82" s="12" t="s">
        <v>96</v>
      </c>
      <c r="B82" s="13" t="s">
        <v>265</v>
      </c>
      <c r="C82" s="3"/>
      <c r="D82" s="50"/>
      <c r="E82" s="50"/>
      <c r="F82" s="50"/>
      <c r="G82" s="50"/>
      <c r="H82" s="47"/>
      <c r="I82" s="3">
        <f>SUMIF('Q1 TB-19'!$A$6:$A$208,'Detail P&amp;L Analytic'!$A82,'Q1 TB-19'!$G$6:$G$208)</f>
        <v>0</v>
      </c>
      <c r="J82" s="3">
        <f>SUMIF('Q2 TB-19'!$A$6:$A$208,'Detail P&amp;L Analytic'!$A82,'Q2 TB-19'!$G$6:$G$208)</f>
        <v>2072.1</v>
      </c>
      <c r="K82" s="3">
        <f>SUMIF('Q3 TB-19'!$A$6:$A$208,'Detail P&amp;L Analytic'!$A82,'Q3 TB-19'!$G$6:$G$208)</f>
        <v>-16066.29</v>
      </c>
      <c r="L82" s="3">
        <f>SUMIF('Q4 TB-19'!$A$6:$A$208,'Detail P&amp;L Analytic'!$A82,'Q4 TB-19'!$G$6:$G$208)</f>
        <v>-128516.29</v>
      </c>
    </row>
    <row r="83" spans="1:12" hidden="1" x14ac:dyDescent="0.75">
      <c r="A83" s="12" t="s">
        <v>97</v>
      </c>
      <c r="B83" s="13" t="s">
        <v>266</v>
      </c>
      <c r="C83" s="3"/>
      <c r="D83" s="50"/>
      <c r="E83" s="50"/>
      <c r="F83" s="50"/>
      <c r="G83" s="50"/>
      <c r="H83" s="47"/>
      <c r="I83" s="3">
        <f>SUMIF('Q1 TB-19'!$A$6:$A$208,'Detail P&amp;L Analytic'!$A83,'Q1 TB-19'!$G$6:$G$208)</f>
        <v>0</v>
      </c>
      <c r="J83" s="3">
        <f>SUMIF('Q2 TB-19'!$A$6:$A$208,'Detail P&amp;L Analytic'!$A83,'Q2 TB-19'!$G$6:$G$208)</f>
        <v>0</v>
      </c>
      <c r="K83" s="3">
        <f>SUMIF('Q3 TB-19'!$A$6:$A$208,'Detail P&amp;L Analytic'!$A83,'Q3 TB-19'!$G$6:$G$208)</f>
        <v>0</v>
      </c>
      <c r="L83" s="3">
        <f>SUMIF('Q4 TB-19'!$A$6:$A$208,'Detail P&amp;L Analytic'!$A83,'Q4 TB-19'!$G$6:$G$208)</f>
        <v>0</v>
      </c>
    </row>
    <row r="84" spans="1:12" hidden="1" x14ac:dyDescent="0.75">
      <c r="A84" s="12" t="s">
        <v>98</v>
      </c>
      <c r="B84" s="13" t="s">
        <v>267</v>
      </c>
      <c r="C84" s="3"/>
      <c r="D84" s="50"/>
      <c r="E84" s="50"/>
      <c r="F84" s="50"/>
      <c r="G84" s="50"/>
      <c r="H84" s="47"/>
      <c r="I84" s="3">
        <f>SUMIF('Q1 TB-19'!$A$6:$A$208,'Detail P&amp;L Analytic'!$A84,'Q1 TB-19'!$G$6:$G$208)</f>
        <v>0</v>
      </c>
      <c r="J84" s="3">
        <f>SUMIF('Q2 TB-19'!$A$6:$A$208,'Detail P&amp;L Analytic'!$A84,'Q2 TB-19'!$G$6:$G$208)</f>
        <v>0</v>
      </c>
      <c r="K84" s="3">
        <f>SUMIF('Q3 TB-19'!$A$6:$A$208,'Detail P&amp;L Analytic'!$A84,'Q3 TB-19'!$G$6:$G$208)</f>
        <v>0</v>
      </c>
      <c r="L84" s="3">
        <f>SUMIF('Q4 TB-19'!$A$6:$A$208,'Detail P&amp;L Analytic'!$A84,'Q4 TB-19'!$G$6:$G$208)</f>
        <v>0</v>
      </c>
    </row>
    <row r="85" spans="1:12" hidden="1" x14ac:dyDescent="0.75">
      <c r="A85" s="12" t="s">
        <v>99</v>
      </c>
      <c r="B85" s="13" t="s">
        <v>268</v>
      </c>
      <c r="C85" s="3"/>
      <c r="D85" s="50"/>
      <c r="E85" s="50"/>
      <c r="F85" s="50"/>
      <c r="G85" s="50"/>
      <c r="H85" s="47"/>
      <c r="I85" s="3">
        <f>SUMIF('Q1 TB-19'!$A$6:$A$208,'Detail P&amp;L Analytic'!$A85,'Q1 TB-19'!$G$6:$G$208)</f>
        <v>0</v>
      </c>
      <c r="J85" s="3">
        <f>SUMIF('Q2 TB-19'!$A$6:$A$208,'Detail P&amp;L Analytic'!$A85,'Q2 TB-19'!$G$6:$G$208)</f>
        <v>0</v>
      </c>
      <c r="K85" s="3">
        <f>SUMIF('Q3 TB-19'!$A$6:$A$208,'Detail P&amp;L Analytic'!$A85,'Q3 TB-19'!$G$6:$G$208)</f>
        <v>0</v>
      </c>
      <c r="L85" s="3">
        <f>SUMIF('Q4 TB-19'!$A$6:$A$208,'Detail P&amp;L Analytic'!$A85,'Q4 TB-19'!$G$6:$G$208)</f>
        <v>0</v>
      </c>
    </row>
    <row r="86" spans="1:12" hidden="1" x14ac:dyDescent="0.75">
      <c r="A86" s="12" t="s">
        <v>100</v>
      </c>
      <c r="B86" s="13" t="s">
        <v>269</v>
      </c>
      <c r="C86" s="3"/>
      <c r="D86" s="50"/>
      <c r="E86" s="50"/>
      <c r="F86" s="50"/>
      <c r="G86" s="50"/>
      <c r="H86" s="47"/>
      <c r="I86" s="3">
        <f>SUMIF('Q1 TB-19'!$A$6:$A$208,'Detail P&amp;L Analytic'!$A86,'Q1 TB-19'!$G$6:$G$208)</f>
        <v>0</v>
      </c>
      <c r="J86" s="3">
        <f>SUMIF('Q2 TB-19'!$A$6:$A$208,'Detail P&amp;L Analytic'!$A86,'Q2 TB-19'!$G$6:$G$208)</f>
        <v>0</v>
      </c>
      <c r="K86" s="3">
        <f>SUMIF('Q3 TB-19'!$A$6:$A$208,'Detail P&amp;L Analytic'!$A86,'Q3 TB-19'!$G$6:$G$208)</f>
        <v>0</v>
      </c>
      <c r="L86" s="3">
        <f>SUMIF('Q4 TB-19'!$A$6:$A$208,'Detail P&amp;L Analytic'!$A86,'Q4 TB-19'!$G$6:$G$208)</f>
        <v>0</v>
      </c>
    </row>
    <row r="87" spans="1:12" hidden="1" x14ac:dyDescent="0.75">
      <c r="A87" s="12" t="s">
        <v>101</v>
      </c>
      <c r="B87" s="13" t="s">
        <v>270</v>
      </c>
      <c r="C87" s="3"/>
      <c r="D87" s="50"/>
      <c r="E87" s="50"/>
      <c r="F87" s="50"/>
      <c r="G87" s="50"/>
      <c r="H87" s="47"/>
      <c r="I87" s="3">
        <f>SUMIF('Q1 TB-19'!$A$6:$A$208,'Detail P&amp;L Analytic'!$A87,'Q1 TB-19'!$G$6:$G$208)</f>
        <v>0</v>
      </c>
      <c r="J87" s="3">
        <f>SUMIF('Q2 TB-19'!$A$6:$A$208,'Detail P&amp;L Analytic'!$A87,'Q2 TB-19'!$G$6:$G$208)</f>
        <v>0</v>
      </c>
      <c r="K87" s="3">
        <f>SUMIF('Q3 TB-19'!$A$6:$A$208,'Detail P&amp;L Analytic'!$A87,'Q3 TB-19'!$G$6:$G$208)</f>
        <v>0</v>
      </c>
      <c r="L87" s="3">
        <f>SUMIF('Q4 TB-19'!$A$6:$A$208,'Detail P&amp;L Analytic'!$A87,'Q4 TB-19'!$G$6:$G$208)</f>
        <v>0</v>
      </c>
    </row>
    <row r="88" spans="1:12" hidden="1" x14ac:dyDescent="0.75">
      <c r="A88" s="12" t="s">
        <v>102</v>
      </c>
      <c r="B88" s="13" t="s">
        <v>271</v>
      </c>
      <c r="C88" s="3"/>
      <c r="D88" s="50"/>
      <c r="E88" s="50"/>
      <c r="F88" s="50"/>
      <c r="G88" s="50"/>
      <c r="H88" s="47"/>
      <c r="I88" s="3">
        <f>SUMIF('Q1 TB-19'!$A$6:$A$208,'Detail P&amp;L Analytic'!$A88,'Q1 TB-19'!$G$6:$G$208)</f>
        <v>0</v>
      </c>
      <c r="J88" s="3">
        <f>SUMIF('Q2 TB-19'!$A$6:$A$208,'Detail P&amp;L Analytic'!$A88,'Q2 TB-19'!$G$6:$G$208)</f>
        <v>0</v>
      </c>
      <c r="K88" s="3">
        <f>SUMIF('Q3 TB-19'!$A$6:$A$208,'Detail P&amp;L Analytic'!$A88,'Q3 TB-19'!$G$6:$G$208)</f>
        <v>0</v>
      </c>
      <c r="L88" s="3">
        <f>SUMIF('Q4 TB-19'!$A$6:$A$208,'Detail P&amp;L Analytic'!$A88,'Q4 TB-19'!$G$6:$G$208)</f>
        <v>0</v>
      </c>
    </row>
    <row r="89" spans="1:12" hidden="1" x14ac:dyDescent="0.75">
      <c r="A89" s="12" t="s">
        <v>103</v>
      </c>
      <c r="B89" s="13" t="s">
        <v>272</v>
      </c>
      <c r="C89" s="3"/>
      <c r="D89" s="50"/>
      <c r="E89" s="50"/>
      <c r="F89" s="50"/>
      <c r="G89" s="50"/>
      <c r="H89" s="47"/>
      <c r="I89" s="3">
        <f>SUMIF('Q1 TB-19'!$A$6:$A$208,'Detail P&amp;L Analytic'!$A89,'Q1 TB-19'!$G$6:$G$208)</f>
        <v>0</v>
      </c>
      <c r="J89" s="3">
        <f>SUMIF('Q2 TB-19'!$A$6:$A$208,'Detail P&amp;L Analytic'!$A89,'Q2 TB-19'!$G$6:$G$208)</f>
        <v>0</v>
      </c>
      <c r="K89" s="3">
        <f>SUMIF('Q3 TB-19'!$A$6:$A$208,'Detail P&amp;L Analytic'!$A89,'Q3 TB-19'!$G$6:$G$208)</f>
        <v>0</v>
      </c>
      <c r="L89" s="3">
        <f>SUMIF('Q4 TB-19'!$A$6:$A$208,'Detail P&amp;L Analytic'!$A89,'Q4 TB-19'!$G$6:$G$208)</f>
        <v>0</v>
      </c>
    </row>
    <row r="90" spans="1:12" hidden="1" x14ac:dyDescent="0.75">
      <c r="A90" s="12" t="s">
        <v>104</v>
      </c>
      <c r="B90" s="13" t="s">
        <v>273</v>
      </c>
      <c r="C90" s="3"/>
      <c r="D90" s="50"/>
      <c r="E90" s="50"/>
      <c r="F90" s="50"/>
      <c r="G90" s="50"/>
      <c r="H90" s="47"/>
      <c r="I90" s="3">
        <f>SUMIF('Q1 TB-19'!$A$6:$A$208,'Detail P&amp;L Analytic'!$A90,'Q1 TB-19'!$G$6:$G$208)</f>
        <v>0</v>
      </c>
      <c r="J90" s="3">
        <f>SUMIF('Q2 TB-19'!$A$6:$A$208,'Detail P&amp;L Analytic'!$A90,'Q2 TB-19'!$G$6:$G$208)</f>
        <v>0</v>
      </c>
      <c r="K90" s="3">
        <f>SUMIF('Q3 TB-19'!$A$6:$A$208,'Detail P&amp;L Analytic'!$A90,'Q3 TB-19'!$G$6:$G$208)</f>
        <v>0</v>
      </c>
      <c r="L90" s="3">
        <f>SUMIF('Q4 TB-19'!$A$6:$A$208,'Detail P&amp;L Analytic'!$A90,'Q4 TB-19'!$G$6:$G$208)</f>
        <v>0</v>
      </c>
    </row>
    <row r="91" spans="1:12" hidden="1" x14ac:dyDescent="0.75">
      <c r="A91" s="12" t="s">
        <v>105</v>
      </c>
      <c r="B91" s="13" t="s">
        <v>274</v>
      </c>
      <c r="C91" s="3"/>
      <c r="D91" s="50"/>
      <c r="E91" s="50"/>
      <c r="F91" s="50"/>
      <c r="G91" s="50"/>
      <c r="H91" s="47"/>
      <c r="I91" s="3">
        <f>SUMIF('Q1 TB-19'!$A$6:$A$208,'Detail P&amp;L Analytic'!$A91,'Q1 TB-19'!$G$6:$G$208)</f>
        <v>0</v>
      </c>
      <c r="J91" s="3">
        <f>SUMIF('Q2 TB-19'!$A$6:$A$208,'Detail P&amp;L Analytic'!$A91,'Q2 TB-19'!$G$6:$G$208)</f>
        <v>0</v>
      </c>
      <c r="K91" s="3">
        <f>SUMIF('Q3 TB-19'!$A$6:$A$208,'Detail P&amp;L Analytic'!$A91,'Q3 TB-19'!$G$6:$G$208)</f>
        <v>0</v>
      </c>
      <c r="L91" s="3">
        <f>SUMIF('Q4 TB-19'!$A$6:$A$208,'Detail P&amp;L Analytic'!$A91,'Q4 TB-19'!$G$6:$G$208)</f>
        <v>0</v>
      </c>
    </row>
    <row r="92" spans="1:12" hidden="1" x14ac:dyDescent="0.75">
      <c r="A92" s="12" t="s">
        <v>106</v>
      </c>
      <c r="B92" s="13" t="s">
        <v>275</v>
      </c>
      <c r="C92" s="3"/>
      <c r="D92" s="50"/>
      <c r="E92" s="50"/>
      <c r="F92" s="50"/>
      <c r="G92" s="50"/>
      <c r="H92" s="47"/>
      <c r="I92" s="3">
        <f>SUMIF('Q1 TB-19'!$A$6:$A$208,'Detail P&amp;L Analytic'!$A92,'Q1 TB-19'!$G$6:$G$208)</f>
        <v>0</v>
      </c>
      <c r="J92" s="3">
        <f>SUMIF('Q2 TB-19'!$A$6:$A$208,'Detail P&amp;L Analytic'!$A92,'Q2 TB-19'!$G$6:$G$208)</f>
        <v>0</v>
      </c>
      <c r="K92" s="3">
        <f>SUMIF('Q3 TB-19'!$A$6:$A$208,'Detail P&amp;L Analytic'!$A92,'Q3 TB-19'!$G$6:$G$208)</f>
        <v>0</v>
      </c>
      <c r="L92" s="3">
        <f>SUMIF('Q4 TB-19'!$A$6:$A$208,'Detail P&amp;L Analytic'!$A92,'Q4 TB-19'!$G$6:$G$208)</f>
        <v>0</v>
      </c>
    </row>
    <row r="93" spans="1:12" hidden="1" x14ac:dyDescent="0.75">
      <c r="A93" s="12" t="s">
        <v>94</v>
      </c>
      <c r="B93" s="13" t="s">
        <v>276</v>
      </c>
      <c r="C93" s="3"/>
      <c r="D93" s="50"/>
      <c r="E93" s="50"/>
      <c r="F93" s="50"/>
      <c r="G93" s="50"/>
      <c r="H93" s="47"/>
      <c r="I93" s="3">
        <f>SUMIF('Q1 TB-19'!$A$6:$A$208,'Detail P&amp;L Analytic'!$A93,'Q1 TB-19'!$G$6:$G$208)</f>
        <v>0</v>
      </c>
      <c r="J93" s="3">
        <f>SUMIF('Q2 TB-19'!$A$6:$A$208,'Detail P&amp;L Analytic'!$A93,'Q2 TB-19'!$G$6:$G$208)</f>
        <v>0</v>
      </c>
      <c r="K93" s="3">
        <f>SUMIF('Q3 TB-19'!$A$6:$A$208,'Detail P&amp;L Analytic'!$A93,'Q3 TB-19'!$G$6:$G$208)</f>
        <v>0</v>
      </c>
      <c r="L93" s="3">
        <f>SUMIF('Q4 TB-19'!$A$6:$A$208,'Detail P&amp;L Analytic'!$A93,'Q4 TB-19'!$G$6:$G$208)</f>
        <v>0</v>
      </c>
    </row>
    <row r="94" spans="1:12" hidden="1" x14ac:dyDescent="0.75">
      <c r="A94" s="12" t="s">
        <v>48</v>
      </c>
      <c r="B94" s="13" t="s">
        <v>277</v>
      </c>
      <c r="C94" s="3"/>
      <c r="D94" s="50"/>
      <c r="E94" s="50"/>
      <c r="F94" s="50"/>
      <c r="G94" s="50"/>
      <c r="H94" s="47"/>
      <c r="I94" s="3">
        <f>SUMIF('Q1 TB-19'!$A$6:$A$208,'Detail P&amp;L Analytic'!$A94,'Q1 TB-19'!$G$6:$G$208)</f>
        <v>0</v>
      </c>
      <c r="J94" s="3">
        <f>SUMIF('Q2 TB-19'!$A$6:$A$208,'Detail P&amp;L Analytic'!$A94,'Q2 TB-19'!$G$6:$G$208)</f>
        <v>0</v>
      </c>
      <c r="K94" s="3">
        <f>SUMIF('Q3 TB-19'!$A$6:$A$208,'Detail P&amp;L Analytic'!$A94,'Q3 TB-19'!$G$6:$G$208)</f>
        <v>0</v>
      </c>
      <c r="L94" s="3">
        <f>SUMIF('Q4 TB-19'!$A$6:$A$208,'Detail P&amp;L Analytic'!$A94,'Q4 TB-19'!$G$6:$G$208)</f>
        <v>0</v>
      </c>
    </row>
    <row r="95" spans="1:12" hidden="1" x14ac:dyDescent="0.75">
      <c r="A95" s="12" t="s">
        <v>380</v>
      </c>
      <c r="B95" s="13" t="s">
        <v>381</v>
      </c>
      <c r="C95" s="3"/>
      <c r="D95" s="50"/>
      <c r="E95" s="50"/>
      <c r="F95" s="50"/>
      <c r="G95" s="50"/>
      <c r="H95" s="47"/>
      <c r="I95" s="3">
        <f>SUMIF('Q1 TB-19'!$A$6:$A$208,'Detail P&amp;L Analytic'!$A95,'Q1 TB-19'!$G$6:$G$208)</f>
        <v>0</v>
      </c>
      <c r="J95" s="3">
        <f>SUMIF('Q2 TB-19'!$A$6:$A$208,'Detail P&amp;L Analytic'!$A95,'Q2 TB-19'!$G$6:$G$208)</f>
        <v>0</v>
      </c>
      <c r="K95" s="3">
        <f>SUMIF('Q3 TB-19'!$A$6:$A$208,'Detail P&amp;L Analytic'!$A95,'Q3 TB-19'!$G$6:$G$208)</f>
        <v>0</v>
      </c>
      <c r="L95" s="3">
        <f>SUMIF('Q4 TB-19'!$A$6:$A$208,'Detail P&amp;L Analytic'!$A95,'Q4 TB-19'!$G$6:$G$208)</f>
        <v>0</v>
      </c>
    </row>
    <row r="96" spans="1:12" hidden="1" x14ac:dyDescent="0.75">
      <c r="A96" s="12" t="s">
        <v>109</v>
      </c>
      <c r="B96" s="13" t="s">
        <v>278</v>
      </c>
      <c r="C96" s="3"/>
      <c r="D96" s="50"/>
      <c r="E96" s="50"/>
      <c r="F96" s="50"/>
      <c r="G96" s="50"/>
      <c r="H96" s="47"/>
      <c r="I96" s="3">
        <f>SUMIF('Q1 TB-19'!$A$6:$A$208,'Detail P&amp;L Analytic'!$A96,'Q1 TB-19'!$G$6:$G$208)</f>
        <v>0</v>
      </c>
      <c r="J96" s="3">
        <f>SUMIF('Q2 TB-19'!$A$6:$A$208,'Detail P&amp;L Analytic'!$A96,'Q2 TB-19'!$G$6:$G$208)</f>
        <v>0</v>
      </c>
      <c r="K96" s="3">
        <f>SUMIF('Q3 TB-19'!$A$6:$A$208,'Detail P&amp;L Analytic'!$A96,'Q3 TB-19'!$G$6:$G$208)</f>
        <v>0</v>
      </c>
      <c r="L96" s="3">
        <f>SUMIF('Q4 TB-19'!$A$6:$A$208,'Detail P&amp;L Analytic'!$A96,'Q4 TB-19'!$G$6:$G$208)</f>
        <v>0</v>
      </c>
    </row>
    <row r="97" spans="1:12" hidden="1" x14ac:dyDescent="0.75">
      <c r="A97" s="12" t="s">
        <v>110</v>
      </c>
      <c r="B97" s="13" t="s">
        <v>279</v>
      </c>
      <c r="C97" s="3"/>
      <c r="D97" s="50"/>
      <c r="E97" s="50"/>
      <c r="F97" s="50"/>
      <c r="G97" s="50"/>
      <c r="H97" s="47"/>
      <c r="I97" s="3">
        <f>SUMIF('Q1 TB-19'!$A$6:$A$208,'Detail P&amp;L Analytic'!$A97,'Q1 TB-19'!$G$6:$G$208)</f>
        <v>0</v>
      </c>
      <c r="J97" s="3">
        <f>SUMIF('Q2 TB-19'!$A$6:$A$208,'Detail P&amp;L Analytic'!$A97,'Q2 TB-19'!$G$6:$G$208)</f>
        <v>0</v>
      </c>
      <c r="K97" s="3">
        <f>SUMIF('Q3 TB-19'!$A$6:$A$208,'Detail P&amp;L Analytic'!$A97,'Q3 TB-19'!$G$6:$G$208)</f>
        <v>0</v>
      </c>
      <c r="L97" s="3">
        <f>SUMIF('Q4 TB-19'!$A$6:$A$208,'Detail P&amp;L Analytic'!$A97,'Q4 TB-19'!$G$6:$G$208)</f>
        <v>0</v>
      </c>
    </row>
    <row r="98" spans="1:12" hidden="1" x14ac:dyDescent="0.75">
      <c r="A98" s="12" t="s">
        <v>111</v>
      </c>
      <c r="B98" s="13" t="s">
        <v>280</v>
      </c>
      <c r="C98" s="3"/>
      <c r="D98" s="50"/>
      <c r="E98" s="50"/>
      <c r="F98" s="50"/>
      <c r="G98" s="50"/>
      <c r="H98" s="47"/>
      <c r="I98" s="3">
        <f>SUMIF('Q1 TB-19'!$A$6:$A$208,'Detail P&amp;L Analytic'!$A98,'Q1 TB-19'!$G$6:$G$208)</f>
        <v>0</v>
      </c>
      <c r="J98" s="3">
        <f>SUMIF('Q2 TB-19'!$A$6:$A$208,'Detail P&amp;L Analytic'!$A98,'Q2 TB-19'!$G$6:$G$208)</f>
        <v>0</v>
      </c>
      <c r="K98" s="3">
        <f>SUMIF('Q3 TB-19'!$A$6:$A$208,'Detail P&amp;L Analytic'!$A98,'Q3 TB-19'!$G$6:$G$208)</f>
        <v>0</v>
      </c>
      <c r="L98" s="3">
        <f>SUMIF('Q4 TB-19'!$A$6:$A$208,'Detail P&amp;L Analytic'!$A98,'Q4 TB-19'!$G$6:$G$208)</f>
        <v>0</v>
      </c>
    </row>
    <row r="99" spans="1:12" hidden="1" x14ac:dyDescent="0.75">
      <c r="A99" s="12" t="s">
        <v>112</v>
      </c>
      <c r="B99" s="13" t="s">
        <v>281</v>
      </c>
      <c r="C99" s="3"/>
      <c r="D99" s="50"/>
      <c r="E99" s="50"/>
      <c r="F99" s="50"/>
      <c r="G99" s="50"/>
      <c r="H99" s="47"/>
      <c r="I99" s="3">
        <f>SUMIF('Q1 TB-19'!$A$6:$A$208,'Detail P&amp;L Analytic'!$A99,'Q1 TB-19'!$G$6:$G$208)</f>
        <v>0</v>
      </c>
      <c r="J99" s="3">
        <f>SUMIF('Q2 TB-19'!$A$6:$A$208,'Detail P&amp;L Analytic'!$A99,'Q2 TB-19'!$G$6:$G$208)</f>
        <v>0</v>
      </c>
      <c r="K99" s="3">
        <f>SUMIF('Q3 TB-19'!$A$6:$A$208,'Detail P&amp;L Analytic'!$A99,'Q3 TB-19'!$G$6:$G$208)</f>
        <v>0</v>
      </c>
      <c r="L99" s="3">
        <f>SUMIF('Q4 TB-19'!$A$6:$A$208,'Detail P&amp;L Analytic'!$A99,'Q4 TB-19'!$G$6:$G$208)</f>
        <v>0</v>
      </c>
    </row>
    <row r="100" spans="1:12" hidden="1" x14ac:dyDescent="0.75">
      <c r="A100" s="12" t="s">
        <v>113</v>
      </c>
      <c r="B100" s="13" t="s">
        <v>282</v>
      </c>
      <c r="C100" s="3"/>
      <c r="D100" s="50"/>
      <c r="E100" s="50"/>
      <c r="F100" s="50"/>
      <c r="G100" s="50"/>
      <c r="H100" s="47"/>
      <c r="I100" s="3">
        <f>SUMIF('Q1 TB-19'!$A$6:$A$208,'Detail P&amp;L Analytic'!$A100,'Q1 TB-19'!$G$6:$G$208)</f>
        <v>0</v>
      </c>
      <c r="J100" s="3">
        <f>SUMIF('Q2 TB-19'!$A$6:$A$208,'Detail P&amp;L Analytic'!$A100,'Q2 TB-19'!$G$6:$G$208)</f>
        <v>0</v>
      </c>
      <c r="K100" s="3">
        <f>SUMIF('Q3 TB-19'!$A$6:$A$208,'Detail P&amp;L Analytic'!$A100,'Q3 TB-19'!$G$6:$G$208)</f>
        <v>0</v>
      </c>
      <c r="L100" s="3">
        <f>SUMIF('Q4 TB-19'!$A$6:$A$208,'Detail P&amp;L Analytic'!$A100,'Q4 TB-19'!$G$6:$G$208)</f>
        <v>0</v>
      </c>
    </row>
    <row r="101" spans="1:12" hidden="1" x14ac:dyDescent="0.75">
      <c r="A101" s="12" t="s">
        <v>108</v>
      </c>
      <c r="B101" s="13" t="s">
        <v>283</v>
      </c>
      <c r="C101" s="3"/>
      <c r="D101" s="50"/>
      <c r="E101" s="50"/>
      <c r="F101" s="50"/>
      <c r="G101" s="50"/>
      <c r="H101" s="47"/>
      <c r="I101" s="3">
        <f>SUMIF('Q1 TB-19'!$A$6:$A$208,'Detail P&amp;L Analytic'!$A101,'Q1 TB-19'!$G$6:$G$208)</f>
        <v>0</v>
      </c>
      <c r="J101" s="3">
        <f>SUMIF('Q2 TB-19'!$A$6:$A$208,'Detail P&amp;L Analytic'!$A101,'Q2 TB-19'!$G$6:$G$208)</f>
        <v>0</v>
      </c>
      <c r="K101" s="3">
        <f>SUMIF('Q3 TB-19'!$A$6:$A$208,'Detail P&amp;L Analytic'!$A101,'Q3 TB-19'!$G$6:$G$208)</f>
        <v>0</v>
      </c>
      <c r="L101" s="3">
        <f>SUMIF('Q4 TB-19'!$A$6:$A$208,'Detail P&amp;L Analytic'!$A101,'Q4 TB-19'!$G$6:$G$208)</f>
        <v>0</v>
      </c>
    </row>
    <row r="102" spans="1:12" hidden="1" x14ac:dyDescent="0.75">
      <c r="A102" s="12" t="s">
        <v>82</v>
      </c>
      <c r="B102" s="13" t="s">
        <v>284</v>
      </c>
      <c r="C102" s="3"/>
      <c r="D102" s="50"/>
      <c r="E102" s="50"/>
      <c r="F102" s="50"/>
      <c r="G102" s="50"/>
      <c r="H102" s="47"/>
      <c r="I102" s="3">
        <f>SUMIF('Q1 TB-19'!$A$6:$A$208,'Detail P&amp;L Analytic'!$A102,'Q1 TB-19'!$G$6:$G$208)</f>
        <v>0</v>
      </c>
      <c r="J102" s="3">
        <f>SUMIF('Q2 TB-19'!$A$6:$A$208,'Detail P&amp;L Analytic'!$A102,'Q2 TB-19'!$G$6:$G$208)</f>
        <v>0</v>
      </c>
      <c r="K102" s="3">
        <f>SUMIF('Q3 TB-19'!$A$6:$A$208,'Detail P&amp;L Analytic'!$A102,'Q3 TB-19'!$G$6:$G$208)</f>
        <v>0</v>
      </c>
      <c r="L102" s="3">
        <f>SUMIF('Q4 TB-19'!$A$6:$A$208,'Detail P&amp;L Analytic'!$A102,'Q4 TB-19'!$G$6:$G$208)</f>
        <v>0</v>
      </c>
    </row>
    <row r="103" spans="1:12" hidden="1" x14ac:dyDescent="0.75">
      <c r="A103" s="12" t="s">
        <v>83</v>
      </c>
      <c r="B103" s="13" t="s">
        <v>285</v>
      </c>
      <c r="C103" s="3"/>
      <c r="D103" s="50"/>
      <c r="E103" s="50"/>
      <c r="F103" s="50"/>
      <c r="G103" s="50"/>
      <c r="H103" s="47"/>
      <c r="I103" s="3">
        <f>SUMIF('Q1 TB-19'!$A$6:$A$208,'Detail P&amp;L Analytic'!$A103,'Q1 TB-19'!$G$6:$G$208)</f>
        <v>0</v>
      </c>
      <c r="J103" s="3">
        <f>SUMIF('Q2 TB-19'!$A$6:$A$208,'Detail P&amp;L Analytic'!$A103,'Q2 TB-19'!$G$6:$G$208)</f>
        <v>0</v>
      </c>
      <c r="K103" s="3">
        <f>SUMIF('Q3 TB-19'!$A$6:$A$208,'Detail P&amp;L Analytic'!$A103,'Q3 TB-19'!$G$6:$G$208)</f>
        <v>0</v>
      </c>
      <c r="L103" s="3">
        <f>SUMIF('Q4 TB-19'!$A$6:$A$208,'Detail P&amp;L Analytic'!$A103,'Q4 TB-19'!$G$6:$G$208)</f>
        <v>0</v>
      </c>
    </row>
    <row r="104" spans="1:12" hidden="1" x14ac:dyDescent="0.75">
      <c r="A104" s="12">
        <f>A103+1</f>
        <v>2703</v>
      </c>
      <c r="B104" s="13" t="s">
        <v>286</v>
      </c>
      <c r="C104" s="3"/>
      <c r="D104" s="50"/>
      <c r="E104" s="50"/>
      <c r="F104" s="50"/>
      <c r="G104" s="50"/>
      <c r="H104" s="47"/>
      <c r="I104" s="3">
        <f>SUMIF('Q1 TB-19'!$A$6:$A$208,'Detail P&amp;L Analytic'!$A104,'Q1 TB-19'!$G$6:$G$208)</f>
        <v>0</v>
      </c>
      <c r="J104" s="3">
        <f>SUMIF('Q2 TB-19'!$A$6:$A$208,'Detail P&amp;L Analytic'!$A104,'Q2 TB-19'!$G$6:$G$208)</f>
        <v>0</v>
      </c>
      <c r="K104" s="3">
        <f>SUMIF('Q3 TB-19'!$A$6:$A$208,'Detail P&amp;L Analytic'!$A104,'Q3 TB-19'!$G$6:$G$208)</f>
        <v>0</v>
      </c>
      <c r="L104" s="3">
        <f>SUMIF('Q4 TB-19'!$A$6:$A$208,'Detail P&amp;L Analytic'!$A104,'Q4 TB-19'!$G$6:$G$208)</f>
        <v>0</v>
      </c>
    </row>
    <row r="105" spans="1:12" hidden="1" x14ac:dyDescent="0.75">
      <c r="A105" s="12">
        <f t="shared" ref="A105:A119" si="0">A104+1</f>
        <v>2704</v>
      </c>
      <c r="B105" s="13" t="s">
        <v>287</v>
      </c>
      <c r="C105" s="3"/>
      <c r="D105" s="50"/>
      <c r="E105" s="50"/>
      <c r="F105" s="50"/>
      <c r="G105" s="50"/>
      <c r="H105" s="47"/>
      <c r="I105" s="3">
        <f>SUMIF('Q1 TB-19'!$A$6:$A$208,'Detail P&amp;L Analytic'!$A105,'Q1 TB-19'!$G$6:$G$208)</f>
        <v>0</v>
      </c>
      <c r="J105" s="3">
        <f>SUMIF('Q2 TB-19'!$A$6:$A$208,'Detail P&amp;L Analytic'!$A105,'Q2 TB-19'!$G$6:$G$208)</f>
        <v>0</v>
      </c>
      <c r="K105" s="3">
        <f>SUMIF('Q3 TB-19'!$A$6:$A$208,'Detail P&amp;L Analytic'!$A105,'Q3 TB-19'!$G$6:$G$208)</f>
        <v>0</v>
      </c>
      <c r="L105" s="3">
        <f>SUMIF('Q4 TB-19'!$A$6:$A$208,'Detail P&amp;L Analytic'!$A105,'Q4 TB-19'!$G$6:$G$208)</f>
        <v>0</v>
      </c>
    </row>
    <row r="106" spans="1:12" hidden="1" x14ac:dyDescent="0.75">
      <c r="A106" s="12">
        <f t="shared" si="0"/>
        <v>2705</v>
      </c>
      <c r="B106" s="13" t="s">
        <v>288</v>
      </c>
      <c r="C106" s="3"/>
      <c r="D106" s="50"/>
      <c r="E106" s="50"/>
      <c r="F106" s="50"/>
      <c r="G106" s="50"/>
      <c r="H106" s="47"/>
      <c r="I106" s="3">
        <f>SUMIF('Q1 TB-19'!$A$6:$A$208,'Detail P&amp;L Analytic'!$A106,'Q1 TB-19'!$G$6:$G$208)</f>
        <v>-50000</v>
      </c>
      <c r="J106" s="3">
        <f>SUMIF('Q2 TB-19'!$A$6:$A$208,'Detail P&amp;L Analytic'!$A106,'Q2 TB-19'!$G$6:$G$208)</f>
        <v>-50000</v>
      </c>
      <c r="K106" s="3">
        <f>SUMIF('Q3 TB-19'!$A$6:$A$208,'Detail P&amp;L Analytic'!$A106,'Q3 TB-19'!$G$6:$G$208)</f>
        <v>-50000</v>
      </c>
      <c r="L106" s="3">
        <f>SUMIF('Q4 TB-19'!$A$6:$A$208,'Detail P&amp;L Analytic'!$A106,'Q4 TB-19'!$G$6:$G$208)</f>
        <v>-50000</v>
      </c>
    </row>
    <row r="107" spans="1:12" hidden="1" x14ac:dyDescent="0.75">
      <c r="A107" s="12">
        <f t="shared" si="0"/>
        <v>2706</v>
      </c>
      <c r="B107" s="13" t="s">
        <v>289</v>
      </c>
      <c r="C107" s="3"/>
      <c r="D107" s="50"/>
      <c r="E107" s="50"/>
      <c r="F107" s="50"/>
      <c r="G107" s="50"/>
      <c r="H107" s="47"/>
      <c r="I107" s="3">
        <f>SUMIF('Q1 TB-19'!$A$6:$A$208,'Detail P&amp;L Analytic'!$A107,'Q1 TB-19'!$G$6:$G$208)</f>
        <v>0</v>
      </c>
      <c r="J107" s="3">
        <f>SUMIF('Q2 TB-19'!$A$6:$A$208,'Detail P&amp;L Analytic'!$A107,'Q2 TB-19'!$G$6:$G$208)</f>
        <v>0</v>
      </c>
      <c r="K107" s="3">
        <f>SUMIF('Q3 TB-19'!$A$6:$A$208,'Detail P&amp;L Analytic'!$A107,'Q3 TB-19'!$G$6:$G$208)</f>
        <v>0</v>
      </c>
      <c r="L107" s="3">
        <f>SUMIF('Q4 TB-19'!$A$6:$A$208,'Detail P&amp;L Analytic'!$A107,'Q4 TB-19'!$G$6:$G$208)</f>
        <v>0</v>
      </c>
    </row>
    <row r="108" spans="1:12" hidden="1" x14ac:dyDescent="0.75">
      <c r="A108" s="12">
        <f t="shared" si="0"/>
        <v>2707</v>
      </c>
      <c r="B108" s="13" t="s">
        <v>290</v>
      </c>
      <c r="C108" s="3"/>
      <c r="D108" s="50"/>
      <c r="E108" s="50"/>
      <c r="F108" s="50"/>
      <c r="G108" s="50"/>
      <c r="H108" s="47"/>
      <c r="I108" s="3">
        <f>SUMIF('Q1 TB-19'!$A$6:$A$208,'Detail P&amp;L Analytic'!$A108,'Q1 TB-19'!$G$6:$G$208)</f>
        <v>0</v>
      </c>
      <c r="J108" s="3">
        <f>SUMIF('Q2 TB-19'!$A$6:$A$208,'Detail P&amp;L Analytic'!$A108,'Q2 TB-19'!$G$6:$G$208)</f>
        <v>0</v>
      </c>
      <c r="K108" s="3">
        <f>SUMIF('Q3 TB-19'!$A$6:$A$208,'Detail P&amp;L Analytic'!$A108,'Q3 TB-19'!$G$6:$G$208)</f>
        <v>0</v>
      </c>
      <c r="L108" s="3">
        <f>SUMIF('Q4 TB-19'!$A$6:$A$208,'Detail P&amp;L Analytic'!$A108,'Q4 TB-19'!$G$6:$G$208)</f>
        <v>0</v>
      </c>
    </row>
    <row r="109" spans="1:12" hidden="1" x14ac:dyDescent="0.75">
      <c r="A109" s="12">
        <f t="shared" si="0"/>
        <v>2708</v>
      </c>
      <c r="B109" s="13" t="s">
        <v>291</v>
      </c>
      <c r="C109" s="3"/>
      <c r="D109" s="50"/>
      <c r="E109" s="50"/>
      <c r="F109" s="50"/>
      <c r="G109" s="50"/>
      <c r="H109" s="47"/>
      <c r="I109" s="3">
        <f>SUMIF('Q1 TB-19'!$A$6:$A$208,'Detail P&amp;L Analytic'!$A109,'Q1 TB-19'!$G$6:$G$208)</f>
        <v>0</v>
      </c>
      <c r="J109" s="3">
        <f>SUMIF('Q2 TB-19'!$A$6:$A$208,'Detail P&amp;L Analytic'!$A109,'Q2 TB-19'!$G$6:$G$208)</f>
        <v>0</v>
      </c>
      <c r="K109" s="3">
        <f>SUMIF('Q3 TB-19'!$A$6:$A$208,'Detail P&amp;L Analytic'!$A109,'Q3 TB-19'!$G$6:$G$208)</f>
        <v>0</v>
      </c>
      <c r="L109" s="3">
        <f>SUMIF('Q4 TB-19'!$A$6:$A$208,'Detail P&amp;L Analytic'!$A109,'Q4 TB-19'!$G$6:$G$208)</f>
        <v>0</v>
      </c>
    </row>
    <row r="110" spans="1:12" hidden="1" x14ac:dyDescent="0.75">
      <c r="A110" s="12">
        <f t="shared" si="0"/>
        <v>2709</v>
      </c>
      <c r="B110" s="13" t="s">
        <v>292</v>
      </c>
      <c r="C110" s="3"/>
      <c r="D110" s="50"/>
      <c r="E110" s="50"/>
      <c r="F110" s="50"/>
      <c r="G110" s="50"/>
      <c r="H110" s="47"/>
      <c r="I110" s="3">
        <f>SUMIF('Q1 TB-19'!$A$6:$A$208,'Detail P&amp;L Analytic'!$A110,'Q1 TB-19'!$G$6:$G$208)</f>
        <v>0</v>
      </c>
      <c r="J110" s="3">
        <f>SUMIF('Q2 TB-19'!$A$6:$A$208,'Detail P&amp;L Analytic'!$A110,'Q2 TB-19'!$G$6:$G$208)</f>
        <v>0</v>
      </c>
      <c r="K110" s="3">
        <f>SUMIF('Q3 TB-19'!$A$6:$A$208,'Detail P&amp;L Analytic'!$A110,'Q3 TB-19'!$G$6:$G$208)</f>
        <v>0</v>
      </c>
      <c r="L110" s="3">
        <f>SUMIF('Q4 TB-19'!$A$6:$A$208,'Detail P&amp;L Analytic'!$A110,'Q4 TB-19'!$G$6:$G$208)</f>
        <v>0</v>
      </c>
    </row>
    <row r="111" spans="1:12" hidden="1" x14ac:dyDescent="0.75">
      <c r="A111" s="12">
        <f t="shared" si="0"/>
        <v>2710</v>
      </c>
      <c r="B111" s="13" t="s">
        <v>293</v>
      </c>
      <c r="C111" s="3"/>
      <c r="D111" s="50"/>
      <c r="E111" s="50"/>
      <c r="F111" s="50"/>
      <c r="G111" s="50"/>
      <c r="H111" s="47"/>
      <c r="I111" s="3">
        <f>SUMIF('Q1 TB-19'!$A$6:$A$208,'Detail P&amp;L Analytic'!$A111,'Q1 TB-19'!$G$6:$G$208)</f>
        <v>-15000</v>
      </c>
      <c r="J111" s="3">
        <f>SUMIF('Q2 TB-19'!$A$6:$A$208,'Detail P&amp;L Analytic'!$A111,'Q2 TB-19'!$G$6:$G$208)</f>
        <v>-15000</v>
      </c>
      <c r="K111" s="3">
        <f>SUMIF('Q3 TB-19'!$A$6:$A$208,'Detail P&amp;L Analytic'!$A111,'Q3 TB-19'!$G$6:$G$208)</f>
        <v>-15000</v>
      </c>
      <c r="L111" s="3">
        <f>SUMIF('Q4 TB-19'!$A$6:$A$208,'Detail P&amp;L Analytic'!$A111,'Q4 TB-19'!$G$6:$G$208)</f>
        <v>-15000</v>
      </c>
    </row>
    <row r="112" spans="1:12" hidden="1" x14ac:dyDescent="0.75">
      <c r="A112" s="12">
        <f t="shared" si="0"/>
        <v>2711</v>
      </c>
      <c r="B112" s="13" t="s">
        <v>294</v>
      </c>
      <c r="C112" s="3"/>
      <c r="D112" s="50"/>
      <c r="E112" s="50"/>
      <c r="F112" s="50"/>
      <c r="G112" s="50"/>
      <c r="H112" s="47"/>
      <c r="I112" s="3">
        <f>SUMIF('Q1 TB-19'!$A$6:$A$208,'Detail P&amp;L Analytic'!$A112,'Q1 TB-19'!$G$6:$G$208)</f>
        <v>0</v>
      </c>
      <c r="J112" s="3">
        <f>SUMIF('Q2 TB-19'!$A$6:$A$208,'Detail P&amp;L Analytic'!$A112,'Q2 TB-19'!$G$6:$G$208)</f>
        <v>0</v>
      </c>
      <c r="K112" s="3">
        <f>SUMIF('Q3 TB-19'!$A$6:$A$208,'Detail P&amp;L Analytic'!$A112,'Q3 TB-19'!$G$6:$G$208)</f>
        <v>0</v>
      </c>
      <c r="L112" s="3">
        <f>SUMIF('Q4 TB-19'!$A$6:$A$208,'Detail P&amp;L Analytic'!$A112,'Q4 TB-19'!$G$6:$G$208)</f>
        <v>0</v>
      </c>
    </row>
    <row r="113" spans="1:12" hidden="1" x14ac:dyDescent="0.75">
      <c r="A113" s="12">
        <f t="shared" si="0"/>
        <v>2712</v>
      </c>
      <c r="B113" s="13" t="s">
        <v>295</v>
      </c>
      <c r="C113" s="3"/>
      <c r="D113" s="50"/>
      <c r="E113" s="50"/>
      <c r="F113" s="50"/>
      <c r="G113" s="50"/>
      <c r="H113" s="47"/>
      <c r="I113" s="3">
        <f>SUMIF('Q1 TB-19'!$A$6:$A$208,'Detail P&amp;L Analytic'!$A113,'Q1 TB-19'!$G$6:$G$208)</f>
        <v>0</v>
      </c>
      <c r="J113" s="3">
        <f>SUMIF('Q2 TB-19'!$A$6:$A$208,'Detail P&amp;L Analytic'!$A113,'Q2 TB-19'!$G$6:$G$208)</f>
        <v>0</v>
      </c>
      <c r="K113" s="3">
        <f>SUMIF('Q3 TB-19'!$A$6:$A$208,'Detail P&amp;L Analytic'!$A113,'Q3 TB-19'!$G$6:$G$208)</f>
        <v>0</v>
      </c>
      <c r="L113" s="3">
        <f>SUMIF('Q4 TB-19'!$A$6:$A$208,'Detail P&amp;L Analytic'!$A113,'Q4 TB-19'!$G$6:$G$208)</f>
        <v>0</v>
      </c>
    </row>
    <row r="114" spans="1:12" hidden="1" x14ac:dyDescent="0.75">
      <c r="A114" s="12">
        <f t="shared" si="0"/>
        <v>2713</v>
      </c>
      <c r="B114" s="13" t="s">
        <v>296</v>
      </c>
      <c r="C114" s="3"/>
      <c r="D114" s="50"/>
      <c r="E114" s="50"/>
      <c r="F114" s="50"/>
      <c r="G114" s="50"/>
      <c r="H114" s="47"/>
      <c r="I114" s="3">
        <f>SUMIF('Q1 TB-19'!$A$6:$A$208,'Detail P&amp;L Analytic'!$A114,'Q1 TB-19'!$G$6:$G$208)</f>
        <v>0</v>
      </c>
      <c r="J114" s="3">
        <f>SUMIF('Q2 TB-19'!$A$6:$A$208,'Detail P&amp;L Analytic'!$A114,'Q2 TB-19'!$G$6:$G$208)</f>
        <v>0</v>
      </c>
      <c r="K114" s="3">
        <f>SUMIF('Q3 TB-19'!$A$6:$A$208,'Detail P&amp;L Analytic'!$A114,'Q3 TB-19'!$G$6:$G$208)</f>
        <v>0</v>
      </c>
      <c r="L114" s="3">
        <f>SUMIF('Q4 TB-19'!$A$6:$A$208,'Detail P&amp;L Analytic'!$A114,'Q4 TB-19'!$G$6:$G$208)</f>
        <v>0</v>
      </c>
    </row>
    <row r="115" spans="1:12" hidden="1" x14ac:dyDescent="0.75">
      <c r="A115" s="12">
        <f t="shared" si="0"/>
        <v>2714</v>
      </c>
      <c r="B115" s="13" t="s">
        <v>297</v>
      </c>
      <c r="C115" s="3"/>
      <c r="D115" s="50"/>
      <c r="E115" s="50"/>
      <c r="F115" s="50"/>
      <c r="G115" s="50"/>
      <c r="H115" s="47"/>
      <c r="I115" s="3">
        <f>SUMIF('Q1 TB-19'!$A$6:$A$208,'Detail P&amp;L Analytic'!$A115,'Q1 TB-19'!$G$6:$G$208)</f>
        <v>0</v>
      </c>
      <c r="J115" s="3">
        <f>SUMIF('Q2 TB-19'!$A$6:$A$208,'Detail P&amp;L Analytic'!$A115,'Q2 TB-19'!$G$6:$G$208)</f>
        <v>0</v>
      </c>
      <c r="K115" s="3">
        <f>SUMIF('Q3 TB-19'!$A$6:$A$208,'Detail P&amp;L Analytic'!$A115,'Q3 TB-19'!$G$6:$G$208)</f>
        <v>0</v>
      </c>
      <c r="L115" s="3">
        <f>SUMIF('Q4 TB-19'!$A$6:$A$208,'Detail P&amp;L Analytic'!$A115,'Q4 TB-19'!$G$6:$G$208)</f>
        <v>0</v>
      </c>
    </row>
    <row r="116" spans="1:12" hidden="1" x14ac:dyDescent="0.75">
      <c r="A116" s="12">
        <f t="shared" si="0"/>
        <v>2715</v>
      </c>
      <c r="B116" s="13" t="s">
        <v>298</v>
      </c>
      <c r="C116" s="3"/>
      <c r="D116" s="50"/>
      <c r="E116" s="50"/>
      <c r="F116" s="50"/>
      <c r="G116" s="50"/>
      <c r="H116" s="47"/>
      <c r="I116" s="3">
        <f>SUMIF('Q1 TB-19'!$A$6:$A$208,'Detail P&amp;L Analytic'!$A116,'Q1 TB-19'!$G$6:$G$208)</f>
        <v>-25000</v>
      </c>
      <c r="J116" s="3">
        <f>SUMIF('Q2 TB-19'!$A$6:$A$208,'Detail P&amp;L Analytic'!$A116,'Q2 TB-19'!$G$6:$G$208)</f>
        <v>-25000</v>
      </c>
      <c r="K116" s="3">
        <f>SUMIF('Q3 TB-19'!$A$6:$A$208,'Detail P&amp;L Analytic'!$A116,'Q3 TB-19'!$G$6:$G$208)</f>
        <v>-25000</v>
      </c>
      <c r="L116" s="3">
        <f>SUMIF('Q4 TB-19'!$A$6:$A$208,'Detail P&amp;L Analytic'!$A116,'Q4 TB-19'!$G$6:$G$208)</f>
        <v>-25000</v>
      </c>
    </row>
    <row r="117" spans="1:12" hidden="1" x14ac:dyDescent="0.75">
      <c r="A117" s="12">
        <f t="shared" si="0"/>
        <v>2716</v>
      </c>
      <c r="B117" s="13" t="s">
        <v>299</v>
      </c>
      <c r="C117" s="3"/>
      <c r="D117" s="50"/>
      <c r="E117" s="50"/>
      <c r="F117" s="50"/>
      <c r="G117" s="50"/>
      <c r="H117" s="47"/>
      <c r="I117" s="3">
        <f>SUMIF('Q1 TB-19'!$A$6:$A$208,'Detail P&amp;L Analytic'!$A117,'Q1 TB-19'!$G$6:$G$208)</f>
        <v>0</v>
      </c>
      <c r="J117" s="3">
        <f>SUMIF('Q2 TB-19'!$A$6:$A$208,'Detail P&amp;L Analytic'!$A117,'Q2 TB-19'!$G$6:$G$208)</f>
        <v>0</v>
      </c>
      <c r="K117" s="3">
        <f>SUMIF('Q3 TB-19'!$A$6:$A$208,'Detail P&amp;L Analytic'!$A117,'Q3 TB-19'!$G$6:$G$208)</f>
        <v>0</v>
      </c>
      <c r="L117" s="3">
        <f>SUMIF('Q4 TB-19'!$A$6:$A$208,'Detail P&amp;L Analytic'!$A117,'Q4 TB-19'!$G$6:$G$208)</f>
        <v>0</v>
      </c>
    </row>
    <row r="118" spans="1:12" hidden="1" x14ac:dyDescent="0.75">
      <c r="A118" s="12">
        <f t="shared" si="0"/>
        <v>2717</v>
      </c>
      <c r="B118" s="13" t="s">
        <v>300</v>
      </c>
      <c r="C118" s="3"/>
      <c r="D118" s="50"/>
      <c r="E118" s="50"/>
      <c r="F118" s="50"/>
      <c r="G118" s="50"/>
      <c r="H118" s="47"/>
      <c r="I118" s="3">
        <f>SUMIF('Q1 TB-19'!$A$6:$A$208,'Detail P&amp;L Analytic'!$A118,'Q1 TB-19'!$G$6:$G$208)</f>
        <v>0</v>
      </c>
      <c r="J118" s="3">
        <f>SUMIF('Q2 TB-19'!$A$6:$A$208,'Detail P&amp;L Analytic'!$A118,'Q2 TB-19'!$G$6:$G$208)</f>
        <v>0</v>
      </c>
      <c r="K118" s="3">
        <f>SUMIF('Q3 TB-19'!$A$6:$A$208,'Detail P&amp;L Analytic'!$A118,'Q3 TB-19'!$G$6:$G$208)</f>
        <v>0</v>
      </c>
      <c r="L118" s="3">
        <f>SUMIF('Q4 TB-19'!$A$6:$A$208,'Detail P&amp;L Analytic'!$A118,'Q4 TB-19'!$G$6:$G$208)</f>
        <v>0</v>
      </c>
    </row>
    <row r="119" spans="1:12" hidden="1" x14ac:dyDescent="0.75">
      <c r="A119" s="12">
        <f t="shared" si="0"/>
        <v>2718</v>
      </c>
      <c r="B119" s="13" t="s">
        <v>301</v>
      </c>
      <c r="C119" s="3"/>
      <c r="D119" s="50"/>
      <c r="E119" s="50"/>
      <c r="F119" s="50"/>
      <c r="G119" s="50"/>
      <c r="H119" s="47"/>
      <c r="I119" s="3">
        <f>SUMIF('Q1 TB-19'!$A$6:$A$208,'Detail P&amp;L Analytic'!$A119,'Q1 TB-19'!$G$6:$G$208)</f>
        <v>0</v>
      </c>
      <c r="J119" s="3">
        <f>SUMIF('Q2 TB-19'!$A$6:$A$208,'Detail P&amp;L Analytic'!$A119,'Q2 TB-19'!$G$6:$G$208)</f>
        <v>0</v>
      </c>
      <c r="K119" s="3">
        <f>SUMIF('Q3 TB-19'!$A$6:$A$208,'Detail P&amp;L Analytic'!$A119,'Q3 TB-19'!$G$6:$G$208)</f>
        <v>0</v>
      </c>
      <c r="L119" s="3">
        <f>SUMIF('Q4 TB-19'!$A$6:$A$208,'Detail P&amp;L Analytic'!$A119,'Q4 TB-19'!$G$6:$G$208)</f>
        <v>0</v>
      </c>
    </row>
    <row r="120" spans="1:12" hidden="1" x14ac:dyDescent="0.75">
      <c r="A120" s="12" t="s">
        <v>79</v>
      </c>
      <c r="B120" s="13" t="s">
        <v>302</v>
      </c>
      <c r="C120" s="3"/>
      <c r="D120" s="50"/>
      <c r="E120" s="50"/>
      <c r="F120" s="50"/>
      <c r="G120" s="50"/>
      <c r="H120" s="47"/>
      <c r="I120" s="3">
        <f>SUMIF('Q1 TB-19'!$A$6:$A$208,'Detail P&amp;L Analytic'!$A120,'Q1 TB-19'!$G$6:$G$208)</f>
        <v>0</v>
      </c>
      <c r="J120" s="3">
        <f>SUMIF('Q2 TB-19'!$A$6:$A$208,'Detail P&amp;L Analytic'!$A120,'Q2 TB-19'!$G$6:$G$208)</f>
        <v>0</v>
      </c>
      <c r="K120" s="3">
        <f>SUMIF('Q3 TB-19'!$A$6:$A$208,'Detail P&amp;L Analytic'!$A120,'Q3 TB-19'!$G$6:$G$208)</f>
        <v>0</v>
      </c>
      <c r="L120" s="3">
        <f>SUMIF('Q4 TB-19'!$A$6:$A$208,'Detail P&amp;L Analytic'!$A120,'Q4 TB-19'!$G$6:$G$208)</f>
        <v>0</v>
      </c>
    </row>
    <row r="121" spans="1:12" hidden="1" x14ac:dyDescent="0.75">
      <c r="A121" s="12" t="s">
        <v>80</v>
      </c>
      <c r="B121" s="13" t="s">
        <v>303</v>
      </c>
      <c r="C121" s="3"/>
      <c r="D121" s="50"/>
      <c r="E121" s="50"/>
      <c r="F121" s="50"/>
      <c r="G121" s="50"/>
      <c r="H121" s="47"/>
      <c r="I121" s="3">
        <f>SUMIF('Q1 TB-19'!$A$6:$A$208,'Detail P&amp;L Analytic'!$A121,'Q1 TB-19'!$G$6:$G$208)</f>
        <v>0</v>
      </c>
      <c r="J121" s="3">
        <f>SUMIF('Q2 TB-19'!$A$6:$A$208,'Detail P&amp;L Analytic'!$A121,'Q2 TB-19'!$G$6:$G$208)</f>
        <v>0</v>
      </c>
      <c r="K121" s="3">
        <f>SUMIF('Q3 TB-19'!$A$6:$A$208,'Detail P&amp;L Analytic'!$A121,'Q3 TB-19'!$G$6:$G$208)</f>
        <v>0</v>
      </c>
      <c r="L121" s="3">
        <f>SUMIF('Q4 TB-19'!$A$6:$A$208,'Detail P&amp;L Analytic'!$A121,'Q4 TB-19'!$G$6:$G$208)</f>
        <v>0</v>
      </c>
    </row>
    <row r="122" spans="1:12" hidden="1" x14ac:dyDescent="0.75">
      <c r="A122" s="12" t="s">
        <v>81</v>
      </c>
      <c r="B122" s="13" t="s">
        <v>304</v>
      </c>
      <c r="C122" s="3"/>
      <c r="D122" s="50"/>
      <c r="E122" s="50"/>
      <c r="F122" s="50"/>
      <c r="G122" s="50"/>
      <c r="H122" s="47"/>
      <c r="I122" s="3">
        <f>SUMIF('Q1 TB-19'!$A$6:$A$208,'Detail P&amp;L Analytic'!$A122,'Q1 TB-19'!$G$6:$G$208)</f>
        <v>0</v>
      </c>
      <c r="J122" s="3">
        <f>SUMIF('Q2 TB-19'!$A$6:$A$208,'Detail P&amp;L Analytic'!$A122,'Q2 TB-19'!$G$6:$G$208)</f>
        <v>0</v>
      </c>
      <c r="K122" s="3">
        <f>SUMIF('Q3 TB-19'!$A$6:$A$208,'Detail P&amp;L Analytic'!$A122,'Q3 TB-19'!$G$6:$G$208)</f>
        <v>0</v>
      </c>
      <c r="L122" s="3">
        <f>SUMIF('Q4 TB-19'!$A$6:$A$208,'Detail P&amp;L Analytic'!$A122,'Q4 TB-19'!$G$6:$G$208)</f>
        <v>0</v>
      </c>
    </row>
    <row r="123" spans="1:12" hidden="1" x14ac:dyDescent="0.75">
      <c r="A123" s="12" t="s">
        <v>75</v>
      </c>
      <c r="B123" s="13" t="s">
        <v>305</v>
      </c>
      <c r="C123" s="3"/>
      <c r="D123" s="50"/>
      <c r="E123" s="50"/>
      <c r="F123" s="50"/>
      <c r="G123" s="50"/>
      <c r="H123" s="47"/>
      <c r="I123" s="3">
        <f>SUMIF('Q1 TB-19'!$A$6:$A$208,'Detail P&amp;L Analytic'!$A123,'Q1 TB-19'!$G$6:$G$208)</f>
        <v>0</v>
      </c>
      <c r="J123" s="3">
        <f>SUMIF('Q2 TB-19'!$A$6:$A$208,'Detail P&amp;L Analytic'!$A123,'Q2 TB-19'!$G$6:$G$208)</f>
        <v>0</v>
      </c>
      <c r="K123" s="3">
        <f>SUMIF('Q3 TB-19'!$A$6:$A$208,'Detail P&amp;L Analytic'!$A123,'Q3 TB-19'!$G$6:$G$208)</f>
        <v>0</v>
      </c>
      <c r="L123" s="3">
        <f>SUMIF('Q4 TB-19'!$A$6:$A$208,'Detail P&amp;L Analytic'!$A123,'Q4 TB-19'!$G$6:$G$208)</f>
        <v>0</v>
      </c>
    </row>
    <row r="124" spans="1:12" hidden="1" x14ac:dyDescent="0.75">
      <c r="A124" s="12" t="s">
        <v>78</v>
      </c>
      <c r="B124" s="13" t="s">
        <v>306</v>
      </c>
      <c r="C124" s="3"/>
      <c r="D124" s="50"/>
      <c r="E124" s="50"/>
      <c r="F124" s="50"/>
      <c r="G124" s="50"/>
      <c r="H124" s="47"/>
      <c r="I124" s="3">
        <f>SUMIF('Q1 TB-19'!$A$6:$A$208,'Detail P&amp;L Analytic'!$A124,'Q1 TB-19'!$G$6:$G$208)</f>
        <v>0</v>
      </c>
      <c r="J124" s="3">
        <f>SUMIF('Q2 TB-19'!$A$6:$A$208,'Detail P&amp;L Analytic'!$A124,'Q2 TB-19'!$G$6:$G$208)</f>
        <v>0</v>
      </c>
      <c r="K124" s="3">
        <f>SUMIF('Q3 TB-19'!$A$6:$A$208,'Detail P&amp;L Analytic'!$A124,'Q3 TB-19'!$G$6:$G$208)</f>
        <v>0</v>
      </c>
      <c r="L124" s="3">
        <f>SUMIF('Q4 TB-19'!$A$6:$A$208,'Detail P&amp;L Analytic'!$A124,'Q4 TB-19'!$G$6:$G$208)</f>
        <v>0</v>
      </c>
    </row>
    <row r="125" spans="1:12" hidden="1" x14ac:dyDescent="0.75">
      <c r="A125" s="12" t="s">
        <v>72</v>
      </c>
      <c r="B125" s="13" t="s">
        <v>307</v>
      </c>
      <c r="C125" s="3"/>
      <c r="D125" s="50"/>
      <c r="E125" s="50"/>
      <c r="F125" s="50"/>
      <c r="G125" s="50"/>
      <c r="H125" s="47"/>
      <c r="I125" s="3">
        <f>SUMIF('Q1 TB-19'!$A$6:$A$208,'Detail P&amp;L Analytic'!$A125,'Q1 TB-19'!$G$6:$G$208)</f>
        <v>-46184.14</v>
      </c>
      <c r="J125" s="3">
        <f>SUMIF('Q2 TB-19'!$A$6:$A$208,'Detail P&amp;L Analytic'!$A125,'Q2 TB-19'!$G$6:$G$208)</f>
        <v>-46184.14</v>
      </c>
      <c r="K125" s="3">
        <f>SUMIF('Q3 TB-19'!$A$6:$A$208,'Detail P&amp;L Analytic'!$A125,'Q3 TB-19'!$G$6:$G$208)</f>
        <v>-46184.14</v>
      </c>
      <c r="L125" s="3">
        <f>SUMIF('Q4 TB-19'!$A$6:$A$208,'Detail P&amp;L Analytic'!$A125,'Q4 TB-19'!$G$6:$G$208)</f>
        <v>-46290.14</v>
      </c>
    </row>
    <row r="126" spans="1:12" hidden="1" x14ac:dyDescent="0.75">
      <c r="A126" s="12" t="s">
        <v>73</v>
      </c>
      <c r="B126" s="13" t="s">
        <v>308</v>
      </c>
      <c r="C126" s="3"/>
      <c r="D126" s="50"/>
      <c r="E126" s="50"/>
      <c r="F126" s="50"/>
      <c r="G126" s="50"/>
      <c r="H126" s="47"/>
      <c r="I126" s="3">
        <f>SUMIF('Q1 TB-19'!$A$6:$A$208,'Detail P&amp;L Analytic'!$A126,'Q1 TB-19'!$G$6:$G$208)</f>
        <v>-7260317.1500000004</v>
      </c>
      <c r="J126" s="3">
        <f>SUMIF('Q2 TB-19'!$A$6:$A$208,'Detail P&amp;L Analytic'!$A126,'Q2 TB-19'!$G$6:$G$208)</f>
        <v>-7277686.9199999999</v>
      </c>
      <c r="K126" s="3">
        <f>SUMIF('Q3 TB-19'!$A$6:$A$208,'Detail P&amp;L Analytic'!$A126,'Q3 TB-19'!$G$6:$G$208)</f>
        <v>-7367556.6900000004</v>
      </c>
      <c r="L126" s="3">
        <f>SUMIF('Q4 TB-19'!$A$6:$A$208,'Detail P&amp;L Analytic'!$A126,'Q4 TB-19'!$G$6:$G$208)</f>
        <v>-7407220.46</v>
      </c>
    </row>
    <row r="127" spans="1:12" hidden="1" x14ac:dyDescent="0.75">
      <c r="A127" s="12" t="s">
        <v>74</v>
      </c>
      <c r="B127" s="13" t="s">
        <v>309</v>
      </c>
      <c r="C127" s="3"/>
      <c r="D127" s="50"/>
      <c r="E127" s="50"/>
      <c r="F127" s="50"/>
      <c r="G127" s="50"/>
      <c r="H127" s="47"/>
      <c r="I127" s="3">
        <f>SUMIF('Q1 TB-19'!$A$6:$A$208,'Detail P&amp;L Analytic'!$A127,'Q1 TB-19'!$G$6:$G$208)</f>
        <v>0</v>
      </c>
      <c r="J127" s="3">
        <f>SUMIF('Q2 TB-19'!$A$6:$A$208,'Detail P&amp;L Analytic'!$A127,'Q2 TB-19'!$G$6:$G$208)</f>
        <v>0</v>
      </c>
      <c r="K127" s="3">
        <f>SUMIF('Q3 TB-19'!$A$6:$A$208,'Detail P&amp;L Analytic'!$A127,'Q3 TB-19'!$G$6:$G$208)</f>
        <v>0</v>
      </c>
      <c r="L127" s="3">
        <f>SUMIF('Q4 TB-19'!$A$6:$A$208,'Detail P&amp;L Analytic'!$A127,'Q4 TB-19'!$G$6:$G$208)</f>
        <v>0</v>
      </c>
    </row>
    <row r="128" spans="1:12" hidden="1" x14ac:dyDescent="0.75">
      <c r="A128" s="12" t="s">
        <v>76</v>
      </c>
      <c r="B128" s="13" t="s">
        <v>310</v>
      </c>
      <c r="C128" s="3"/>
      <c r="D128" s="50"/>
      <c r="E128" s="50"/>
      <c r="F128" s="50"/>
      <c r="G128" s="50"/>
      <c r="H128" s="47"/>
      <c r="I128" s="3">
        <f>SUMIF('Q1 TB-19'!$A$6:$A$208,'Detail P&amp;L Analytic'!$A128,'Q1 TB-19'!$G$6:$G$208)</f>
        <v>0</v>
      </c>
      <c r="J128" s="3">
        <f>SUMIF('Q2 TB-19'!$A$6:$A$208,'Detail P&amp;L Analytic'!$A128,'Q2 TB-19'!$G$6:$G$208)</f>
        <v>0</v>
      </c>
      <c r="K128" s="3">
        <f>SUMIF('Q3 TB-19'!$A$6:$A$208,'Detail P&amp;L Analytic'!$A128,'Q3 TB-19'!$G$6:$G$208)</f>
        <v>0</v>
      </c>
      <c r="L128" s="3">
        <f>SUMIF('Q4 TB-19'!$A$6:$A$208,'Detail P&amp;L Analytic'!$A128,'Q4 TB-19'!$G$6:$G$208)</f>
        <v>0</v>
      </c>
    </row>
    <row r="129" spans="1:12" hidden="1" x14ac:dyDescent="0.75">
      <c r="A129" s="12" t="s">
        <v>382</v>
      </c>
      <c r="B129" s="13" t="s">
        <v>383</v>
      </c>
      <c r="C129" s="3"/>
      <c r="D129" s="50"/>
      <c r="E129" s="50"/>
      <c r="F129" s="50"/>
      <c r="G129" s="50"/>
      <c r="H129" s="47"/>
      <c r="I129" s="3">
        <f>SUMIF('Q1 TB-19'!$A$6:$A$208,'Detail P&amp;L Analytic'!$A129,'Q1 TB-19'!$G$6:$G$208)</f>
        <v>94000</v>
      </c>
      <c r="J129" s="3">
        <f>SUMIF('Q2 TB-19'!$A$6:$A$208,'Detail P&amp;L Analytic'!$A129,'Q2 TB-19'!$G$6:$G$208)</f>
        <v>94000</v>
      </c>
      <c r="K129" s="3">
        <f>SUMIF('Q3 TB-19'!$A$6:$A$208,'Detail P&amp;L Analytic'!$A129,'Q3 TB-19'!$G$6:$G$208)</f>
        <v>94000</v>
      </c>
      <c r="L129" s="3">
        <f>SUMIF('Q4 TB-19'!$A$6:$A$208,'Detail P&amp;L Analytic'!$A129,'Q4 TB-19'!$G$6:$G$208)</f>
        <v>84000</v>
      </c>
    </row>
    <row r="130" spans="1:12" hidden="1" x14ac:dyDescent="0.75">
      <c r="A130" s="12" t="s">
        <v>77</v>
      </c>
      <c r="B130" s="13" t="s">
        <v>311</v>
      </c>
      <c r="C130" s="3"/>
      <c r="D130" s="50"/>
      <c r="E130" s="50"/>
      <c r="F130" s="50"/>
      <c r="G130" s="50"/>
      <c r="H130" s="47"/>
      <c r="I130" s="3">
        <f>SUMIF('Q1 TB-19'!$A$6:$A$208,'Detail P&amp;L Analytic'!$A130,'Q1 TB-19'!$G$6:$G$208)</f>
        <v>9062703.3699999992</v>
      </c>
      <c r="J130" s="3">
        <f>SUMIF('Q2 TB-19'!$A$6:$A$208,'Detail P&amp;L Analytic'!$A130,'Q2 TB-19'!$G$6:$G$208)</f>
        <v>9072443.3699999992</v>
      </c>
      <c r="K130" s="3">
        <f>SUMIF('Q3 TB-19'!$A$6:$A$208,'Detail P&amp;L Analytic'!$A130,'Q3 TB-19'!$G$6:$G$208)</f>
        <v>9072443.3699999992</v>
      </c>
      <c r="L130" s="3">
        <f>SUMIF('Q4 TB-19'!$A$6:$A$208,'Detail P&amp;L Analytic'!$A130,'Q4 TB-19'!$G$6:$G$208)</f>
        <v>9165351.9899999984</v>
      </c>
    </row>
    <row r="131" spans="1:12" x14ac:dyDescent="0.75">
      <c r="A131" s="12" t="s">
        <v>116</v>
      </c>
      <c r="B131" s="13" t="s">
        <v>312</v>
      </c>
      <c r="C131" s="3"/>
      <c r="D131" s="47">
        <f>I131</f>
        <v>0</v>
      </c>
      <c r="E131" s="47">
        <f>J131-I131</f>
        <v>0</v>
      </c>
      <c r="F131" s="47">
        <f t="shared" ref="F131:G131" si="1">K131-J131</f>
        <v>0</v>
      </c>
      <c r="G131" s="47">
        <f t="shared" si="1"/>
        <v>0</v>
      </c>
      <c r="H131" s="47"/>
      <c r="I131" s="3">
        <f>SUMIF('Q1 TB-19'!$A$6:$A$208,'Detail P&amp;L Analytic'!$A131,'Q1 TB-19'!$G$6:$G$208)</f>
        <v>0</v>
      </c>
      <c r="J131" s="3">
        <f>SUMIF('Q2 TB-19'!$A$6:$A$208,'Detail P&amp;L Analytic'!$A131,'Q2 TB-19'!$G$6:$G$208)</f>
        <v>0</v>
      </c>
      <c r="K131" s="3">
        <f>SUMIF('Q3 TB-19'!$A$6:$A$208,'Detail P&amp;L Analytic'!$A131,'Q3 TB-19'!$G$6:$G$208)</f>
        <v>0</v>
      </c>
      <c r="L131" s="3">
        <f>SUMIF('Q4 TB-19'!$A$6:$A$208,'Detail P&amp;L Analytic'!$A131,'Q4 TB-19'!$G$6:$G$208)</f>
        <v>0</v>
      </c>
    </row>
    <row r="132" spans="1:12" x14ac:dyDescent="0.75">
      <c r="A132" s="12" t="s">
        <v>114</v>
      </c>
      <c r="B132" s="13" t="s">
        <v>313</v>
      </c>
      <c r="C132" s="3"/>
      <c r="D132" s="47">
        <f t="shared" ref="D132:D195" si="2">I132</f>
        <v>-180129.42</v>
      </c>
      <c r="E132" s="47">
        <f t="shared" ref="E132:E195" si="3">J132-I132</f>
        <v>-204269.54999999996</v>
      </c>
      <c r="F132" s="47">
        <f t="shared" ref="F132:F195" si="4">K132-J132</f>
        <v>-214520.44000000006</v>
      </c>
      <c r="G132" s="47">
        <f t="shared" ref="G132:G195" si="5">L132-K132</f>
        <v>-243461.34999999998</v>
      </c>
      <c r="H132" s="47"/>
      <c r="I132" s="3">
        <f>SUMIF('Q1 TB-19'!$A$6:$A$208,'Detail P&amp;L Analytic'!$A132,'Q1 TB-19'!$G$6:$G$208)</f>
        <v>-180129.42</v>
      </c>
      <c r="J132" s="3">
        <f>SUMIF('Q2 TB-19'!$A$6:$A$208,'Detail P&amp;L Analytic'!$A132,'Q2 TB-19'!$G$6:$G$208)</f>
        <v>-384398.97</v>
      </c>
      <c r="K132" s="3">
        <f>SUMIF('Q3 TB-19'!$A$6:$A$208,'Detail P&amp;L Analytic'!$A132,'Q3 TB-19'!$G$6:$G$208)</f>
        <v>-598919.41</v>
      </c>
      <c r="L132" s="3">
        <f>SUMIF('Q4 TB-19'!$A$6:$A$208,'Detail P&amp;L Analytic'!$A132,'Q4 TB-19'!$G$6:$G$208)</f>
        <v>-842380.76</v>
      </c>
    </row>
    <row r="133" spans="1:12" x14ac:dyDescent="0.75">
      <c r="A133" s="12" t="s">
        <v>115</v>
      </c>
      <c r="B133" s="13" t="s">
        <v>314</v>
      </c>
      <c r="C133" s="3"/>
      <c r="D133" s="47">
        <f t="shared" si="2"/>
        <v>0</v>
      </c>
      <c r="E133" s="47">
        <f t="shared" si="3"/>
        <v>0</v>
      </c>
      <c r="F133" s="47">
        <f t="shared" si="4"/>
        <v>0</v>
      </c>
      <c r="G133" s="47">
        <f t="shared" si="5"/>
        <v>0</v>
      </c>
      <c r="H133" s="47"/>
      <c r="I133" s="3">
        <f>SUMIF('Q1 TB-19'!$A$6:$A$208,'Detail P&amp;L Analytic'!$A133,'Q1 TB-19'!$G$6:$G$208)</f>
        <v>0</v>
      </c>
      <c r="J133" s="3">
        <f>SUMIF('Q2 TB-19'!$A$6:$A$208,'Detail P&amp;L Analytic'!$A133,'Q2 TB-19'!$G$6:$G$208)</f>
        <v>0</v>
      </c>
      <c r="K133" s="3">
        <f>SUMIF('Q3 TB-19'!$A$6:$A$208,'Detail P&amp;L Analytic'!$A133,'Q3 TB-19'!$G$6:$G$208)</f>
        <v>0</v>
      </c>
      <c r="L133" s="3">
        <f>SUMIF('Q4 TB-19'!$A$6:$A$208,'Detail P&amp;L Analytic'!$A133,'Q4 TB-19'!$G$6:$G$208)</f>
        <v>0</v>
      </c>
    </row>
    <row r="134" spans="1:12" x14ac:dyDescent="0.75">
      <c r="A134" s="12" t="s">
        <v>117</v>
      </c>
      <c r="B134" s="13" t="s">
        <v>315</v>
      </c>
      <c r="C134" s="3"/>
      <c r="D134" s="47">
        <f t="shared" si="2"/>
        <v>0</v>
      </c>
      <c r="E134" s="47">
        <f t="shared" si="3"/>
        <v>0</v>
      </c>
      <c r="F134" s="47">
        <f t="shared" si="4"/>
        <v>0</v>
      </c>
      <c r="G134" s="47">
        <f t="shared" si="5"/>
        <v>0</v>
      </c>
      <c r="H134" s="47"/>
      <c r="I134" s="3">
        <f>SUMIF('Q1 TB-19'!$A$6:$A$208,'Detail P&amp;L Analytic'!$A134,'Q1 TB-19'!$G$6:$G$208)</f>
        <v>0</v>
      </c>
      <c r="J134" s="3">
        <f>SUMIF('Q2 TB-19'!$A$6:$A$208,'Detail P&amp;L Analytic'!$A134,'Q2 TB-19'!$G$6:$G$208)</f>
        <v>0</v>
      </c>
      <c r="K134" s="3">
        <f>SUMIF('Q3 TB-19'!$A$6:$A$208,'Detail P&amp;L Analytic'!$A134,'Q3 TB-19'!$G$6:$G$208)</f>
        <v>0</v>
      </c>
      <c r="L134" s="3">
        <f>SUMIF('Q4 TB-19'!$A$6:$A$208,'Detail P&amp;L Analytic'!$A134,'Q4 TB-19'!$G$6:$G$208)</f>
        <v>0</v>
      </c>
    </row>
    <row r="135" spans="1:12" x14ac:dyDescent="0.75">
      <c r="A135" s="12" t="s">
        <v>384</v>
      </c>
      <c r="B135" s="13" t="s">
        <v>385</v>
      </c>
      <c r="C135" s="3"/>
      <c r="D135" s="47">
        <f t="shared" si="2"/>
        <v>-9948.35</v>
      </c>
      <c r="E135" s="47">
        <f t="shared" si="3"/>
        <v>-7630.2499999999982</v>
      </c>
      <c r="F135" s="47">
        <f t="shared" si="4"/>
        <v>-10315.27</v>
      </c>
      <c r="G135" s="47">
        <f t="shared" si="5"/>
        <v>-5307.5300000000025</v>
      </c>
      <c r="H135" s="47"/>
      <c r="I135" s="3">
        <f>SUMIF('Q1 TB-19'!$A$6:$A$208,'Detail P&amp;L Analytic'!$A135,'Q1 TB-19'!$G$6:$G$208)</f>
        <v>-9948.35</v>
      </c>
      <c r="J135" s="3">
        <f>SUMIF('Q2 TB-19'!$A$6:$A$208,'Detail P&amp;L Analytic'!$A135,'Q2 TB-19'!$G$6:$G$208)</f>
        <v>-17578.599999999999</v>
      </c>
      <c r="K135" s="3">
        <f>SUMIF('Q3 TB-19'!$A$6:$A$208,'Detail P&amp;L Analytic'!$A135,'Q3 TB-19'!$G$6:$G$208)</f>
        <v>-27893.87</v>
      </c>
      <c r="L135" s="3">
        <f>SUMIF('Q4 TB-19'!$A$6:$A$208,'Detail P&amp;L Analytic'!$A135,'Q4 TB-19'!$G$6:$G$208)</f>
        <v>-33201.4</v>
      </c>
    </row>
    <row r="136" spans="1:12" x14ac:dyDescent="0.75">
      <c r="A136" s="12" t="s">
        <v>118</v>
      </c>
      <c r="B136" s="13" t="s">
        <v>316</v>
      </c>
      <c r="C136" s="3"/>
      <c r="D136" s="47">
        <f t="shared" si="2"/>
        <v>0</v>
      </c>
      <c r="E136" s="47">
        <f t="shared" si="3"/>
        <v>0</v>
      </c>
      <c r="F136" s="47">
        <f t="shared" si="4"/>
        <v>0</v>
      </c>
      <c r="G136" s="47">
        <f t="shared" si="5"/>
        <v>0</v>
      </c>
      <c r="H136" s="47"/>
      <c r="I136" s="3">
        <f>SUMIF('Q1 TB-19'!$A$6:$A$208,'Detail P&amp;L Analytic'!$A136,'Q1 TB-19'!$G$6:$G$208)</f>
        <v>0</v>
      </c>
      <c r="J136" s="3">
        <f>SUMIF('Q2 TB-19'!$A$6:$A$208,'Detail P&amp;L Analytic'!$A136,'Q2 TB-19'!$G$6:$G$208)</f>
        <v>0</v>
      </c>
      <c r="K136" s="3">
        <f>SUMIF('Q3 TB-19'!$A$6:$A$208,'Detail P&amp;L Analytic'!$A136,'Q3 TB-19'!$G$6:$G$208)</f>
        <v>0</v>
      </c>
      <c r="L136" s="3">
        <f>SUMIF('Q4 TB-19'!$A$6:$A$208,'Detail P&amp;L Analytic'!$A136,'Q4 TB-19'!$G$6:$G$208)</f>
        <v>0</v>
      </c>
    </row>
    <row r="137" spans="1:12" x14ac:dyDescent="0.75">
      <c r="A137" s="12" t="s">
        <v>119</v>
      </c>
      <c r="B137" s="13" t="s">
        <v>317</v>
      </c>
      <c r="C137" s="3"/>
      <c r="D137" s="47">
        <f t="shared" si="2"/>
        <v>0</v>
      </c>
      <c r="E137" s="47">
        <f t="shared" si="3"/>
        <v>0</v>
      </c>
      <c r="F137" s="47">
        <f t="shared" si="4"/>
        <v>0</v>
      </c>
      <c r="G137" s="47">
        <f t="shared" si="5"/>
        <v>0</v>
      </c>
      <c r="H137" s="47"/>
      <c r="I137" s="3">
        <f>SUMIF('Q1 TB-19'!$A$6:$A$208,'Detail P&amp;L Analytic'!$A137,'Q1 TB-19'!$G$6:$G$208)</f>
        <v>0</v>
      </c>
      <c r="J137" s="3">
        <f>SUMIF('Q2 TB-19'!$A$6:$A$208,'Detail P&amp;L Analytic'!$A137,'Q2 TB-19'!$G$6:$G$208)</f>
        <v>0</v>
      </c>
      <c r="K137" s="3">
        <f>SUMIF('Q3 TB-19'!$A$6:$A$208,'Detail P&amp;L Analytic'!$A137,'Q3 TB-19'!$G$6:$G$208)</f>
        <v>0</v>
      </c>
      <c r="L137" s="3">
        <f>SUMIF('Q4 TB-19'!$A$6:$A$208,'Detail P&amp;L Analytic'!$A137,'Q4 TB-19'!$G$6:$G$208)</f>
        <v>0</v>
      </c>
    </row>
    <row r="138" spans="1:12" x14ac:dyDescent="0.75">
      <c r="A138" s="12" t="s">
        <v>120</v>
      </c>
      <c r="B138" s="13" t="s">
        <v>318</v>
      </c>
      <c r="C138" s="3"/>
      <c r="D138" s="47">
        <f t="shared" si="2"/>
        <v>0</v>
      </c>
      <c r="E138" s="47">
        <f t="shared" si="3"/>
        <v>0</v>
      </c>
      <c r="F138" s="47">
        <f t="shared" si="4"/>
        <v>0</v>
      </c>
      <c r="G138" s="47">
        <f t="shared" si="5"/>
        <v>0</v>
      </c>
      <c r="H138" s="47"/>
      <c r="I138" s="3">
        <f>SUMIF('Q1 TB-19'!$A$6:$A$208,'Detail P&amp;L Analytic'!$A138,'Q1 TB-19'!$G$6:$G$208)</f>
        <v>0</v>
      </c>
      <c r="J138" s="3">
        <f>SUMIF('Q2 TB-19'!$A$6:$A$208,'Detail P&amp;L Analytic'!$A138,'Q2 TB-19'!$G$6:$G$208)</f>
        <v>0</v>
      </c>
      <c r="K138" s="3">
        <f>SUMIF('Q3 TB-19'!$A$6:$A$208,'Detail P&amp;L Analytic'!$A138,'Q3 TB-19'!$G$6:$G$208)</f>
        <v>0</v>
      </c>
      <c r="L138" s="3">
        <f>SUMIF('Q4 TB-19'!$A$6:$A$208,'Detail P&amp;L Analytic'!$A138,'Q4 TB-19'!$G$6:$G$208)</f>
        <v>0</v>
      </c>
    </row>
    <row r="139" spans="1:12" x14ac:dyDescent="0.75">
      <c r="A139" s="12" t="s">
        <v>121</v>
      </c>
      <c r="B139" s="13" t="s">
        <v>319</v>
      </c>
      <c r="C139" s="3"/>
      <c r="D139" s="47">
        <f t="shared" si="2"/>
        <v>0</v>
      </c>
      <c r="E139" s="47">
        <f t="shared" si="3"/>
        <v>0</v>
      </c>
      <c r="F139" s="47">
        <f t="shared" si="4"/>
        <v>0</v>
      </c>
      <c r="G139" s="47">
        <f t="shared" si="5"/>
        <v>0</v>
      </c>
      <c r="H139" s="47"/>
      <c r="I139" s="3">
        <f>SUMIF('Q1 TB-19'!$A$6:$A$208,'Detail P&amp;L Analytic'!$A139,'Q1 TB-19'!$G$6:$G$208)</f>
        <v>0</v>
      </c>
      <c r="J139" s="3">
        <f>SUMIF('Q2 TB-19'!$A$6:$A$208,'Detail P&amp;L Analytic'!$A139,'Q2 TB-19'!$G$6:$G$208)</f>
        <v>0</v>
      </c>
      <c r="K139" s="3">
        <f>SUMIF('Q3 TB-19'!$A$6:$A$208,'Detail P&amp;L Analytic'!$A139,'Q3 TB-19'!$G$6:$G$208)</f>
        <v>0</v>
      </c>
      <c r="L139" s="3">
        <f>SUMIF('Q4 TB-19'!$A$6:$A$208,'Detail P&amp;L Analytic'!$A139,'Q4 TB-19'!$G$6:$G$208)</f>
        <v>0</v>
      </c>
    </row>
    <row r="140" spans="1:12" x14ac:dyDescent="0.75">
      <c r="A140" s="12" t="s">
        <v>122</v>
      </c>
      <c r="B140" s="13" t="s">
        <v>320</v>
      </c>
      <c r="C140" s="3"/>
      <c r="D140" s="47">
        <f t="shared" si="2"/>
        <v>0</v>
      </c>
      <c r="E140" s="47">
        <f t="shared" si="3"/>
        <v>0</v>
      </c>
      <c r="F140" s="47">
        <f t="shared" si="4"/>
        <v>0</v>
      </c>
      <c r="G140" s="47">
        <f t="shared" si="5"/>
        <v>0</v>
      </c>
      <c r="H140" s="47"/>
      <c r="I140" s="3">
        <f>SUMIF('Q1 TB-19'!$A$6:$A$208,'Detail P&amp;L Analytic'!$A140,'Q1 TB-19'!$G$6:$G$208)</f>
        <v>0</v>
      </c>
      <c r="J140" s="3">
        <f>SUMIF('Q2 TB-19'!$A$6:$A$208,'Detail P&amp;L Analytic'!$A140,'Q2 TB-19'!$G$6:$G$208)</f>
        <v>0</v>
      </c>
      <c r="K140" s="3">
        <f>SUMIF('Q3 TB-19'!$A$6:$A$208,'Detail P&amp;L Analytic'!$A140,'Q3 TB-19'!$G$6:$G$208)</f>
        <v>0</v>
      </c>
      <c r="L140" s="3">
        <f>SUMIF('Q4 TB-19'!$A$6:$A$208,'Detail P&amp;L Analytic'!$A140,'Q4 TB-19'!$G$6:$G$208)</f>
        <v>0</v>
      </c>
    </row>
    <row r="141" spans="1:12" x14ac:dyDescent="0.75">
      <c r="A141" s="12" t="s">
        <v>123</v>
      </c>
      <c r="B141" s="13" t="s">
        <v>321</v>
      </c>
      <c r="C141" s="3"/>
      <c r="D141" s="47">
        <f t="shared" si="2"/>
        <v>0</v>
      </c>
      <c r="E141" s="47">
        <f t="shared" si="3"/>
        <v>0</v>
      </c>
      <c r="F141" s="47">
        <f t="shared" si="4"/>
        <v>0</v>
      </c>
      <c r="G141" s="47">
        <f t="shared" si="5"/>
        <v>0</v>
      </c>
      <c r="H141" s="47"/>
      <c r="I141" s="3">
        <f>SUMIF('Q1 TB-19'!$A$6:$A$208,'Detail P&amp;L Analytic'!$A141,'Q1 TB-19'!$G$6:$G$208)</f>
        <v>0</v>
      </c>
      <c r="J141" s="3">
        <f>SUMIF('Q2 TB-19'!$A$6:$A$208,'Detail P&amp;L Analytic'!$A141,'Q2 TB-19'!$G$6:$G$208)</f>
        <v>0</v>
      </c>
      <c r="K141" s="3">
        <f>SUMIF('Q3 TB-19'!$A$6:$A$208,'Detail P&amp;L Analytic'!$A141,'Q3 TB-19'!$G$6:$G$208)</f>
        <v>0</v>
      </c>
      <c r="L141" s="3">
        <f>SUMIF('Q4 TB-19'!$A$6:$A$208,'Detail P&amp;L Analytic'!$A141,'Q4 TB-19'!$G$6:$G$208)</f>
        <v>0</v>
      </c>
    </row>
    <row r="142" spans="1:12" x14ac:dyDescent="0.75">
      <c r="A142" s="12" t="s">
        <v>125</v>
      </c>
      <c r="B142" s="13" t="s">
        <v>322</v>
      </c>
      <c r="C142" s="3"/>
      <c r="D142" s="47">
        <f t="shared" si="2"/>
        <v>-2323.7399999999998</v>
      </c>
      <c r="E142" s="47">
        <f t="shared" si="3"/>
        <v>1922.1099999999997</v>
      </c>
      <c r="F142" s="47">
        <f t="shared" si="4"/>
        <v>0</v>
      </c>
      <c r="G142" s="47">
        <f t="shared" si="5"/>
        <v>1077.76</v>
      </c>
      <c r="H142" s="47"/>
      <c r="I142" s="3">
        <f>SUMIF('Q1 TB-19'!$A$6:$A$208,'Detail P&amp;L Analytic'!$A142,'Q1 TB-19'!$G$6:$G$208)</f>
        <v>-2323.7399999999998</v>
      </c>
      <c r="J142" s="3">
        <f>SUMIF('Q2 TB-19'!$A$6:$A$208,'Detail P&amp;L Analytic'!$A142,'Q2 TB-19'!$G$6:$G$208)</f>
        <v>-401.63</v>
      </c>
      <c r="K142" s="3">
        <f>SUMIF('Q3 TB-19'!$A$6:$A$208,'Detail P&amp;L Analytic'!$A142,'Q3 TB-19'!$G$6:$G$208)</f>
        <v>-401.63</v>
      </c>
      <c r="L142" s="3">
        <f>SUMIF('Q4 TB-19'!$A$6:$A$208,'Detail P&amp;L Analytic'!$A142,'Q4 TB-19'!$G$6:$G$208)</f>
        <v>676.13</v>
      </c>
    </row>
    <row r="143" spans="1:12" x14ac:dyDescent="0.75">
      <c r="A143" s="12" t="s">
        <v>126</v>
      </c>
      <c r="B143" s="13" t="s">
        <v>323</v>
      </c>
      <c r="C143" s="3"/>
      <c r="D143" s="47">
        <f t="shared" si="2"/>
        <v>0</v>
      </c>
      <c r="E143" s="47">
        <f t="shared" si="3"/>
        <v>0</v>
      </c>
      <c r="F143" s="47">
        <f t="shared" si="4"/>
        <v>0</v>
      </c>
      <c r="G143" s="47">
        <f t="shared" si="5"/>
        <v>0</v>
      </c>
      <c r="H143" s="47"/>
      <c r="I143" s="3">
        <f>SUMIF('Q1 TB-19'!$A$6:$A$208,'Detail P&amp;L Analytic'!$A143,'Q1 TB-19'!$G$6:$G$208)</f>
        <v>0</v>
      </c>
      <c r="J143" s="3">
        <f>SUMIF('Q2 TB-19'!$A$6:$A$208,'Detail P&amp;L Analytic'!$A143,'Q2 TB-19'!$G$6:$G$208)</f>
        <v>0</v>
      </c>
      <c r="K143" s="3">
        <f>SUMIF('Q3 TB-19'!$A$6:$A$208,'Detail P&amp;L Analytic'!$A143,'Q3 TB-19'!$G$6:$G$208)</f>
        <v>0</v>
      </c>
      <c r="L143" s="3">
        <f>SUMIF('Q4 TB-19'!$A$6:$A$208,'Detail P&amp;L Analytic'!$A143,'Q4 TB-19'!$G$6:$G$208)</f>
        <v>0</v>
      </c>
    </row>
    <row r="144" spans="1:12" x14ac:dyDescent="0.75">
      <c r="A144" s="12" t="s">
        <v>127</v>
      </c>
      <c r="B144" s="13" t="s">
        <v>324</v>
      </c>
      <c r="C144" s="3"/>
      <c r="D144" s="47">
        <f t="shared" si="2"/>
        <v>0</v>
      </c>
      <c r="E144" s="47">
        <f t="shared" si="3"/>
        <v>0</v>
      </c>
      <c r="F144" s="47">
        <f t="shared" si="4"/>
        <v>0</v>
      </c>
      <c r="G144" s="47">
        <f t="shared" si="5"/>
        <v>0</v>
      </c>
      <c r="H144" s="47"/>
      <c r="I144" s="3">
        <f>SUMIF('Q1 TB-19'!$A$6:$A$208,'Detail P&amp;L Analytic'!$A144,'Q1 TB-19'!$G$6:$G$208)</f>
        <v>0</v>
      </c>
      <c r="J144" s="3">
        <f>SUMIF('Q2 TB-19'!$A$6:$A$208,'Detail P&amp;L Analytic'!$A144,'Q2 TB-19'!$G$6:$G$208)</f>
        <v>0</v>
      </c>
      <c r="K144" s="3">
        <f>SUMIF('Q3 TB-19'!$A$6:$A$208,'Detail P&amp;L Analytic'!$A144,'Q3 TB-19'!$G$6:$G$208)</f>
        <v>0</v>
      </c>
      <c r="L144" s="3">
        <f>SUMIF('Q4 TB-19'!$A$6:$A$208,'Detail P&amp;L Analytic'!$A144,'Q4 TB-19'!$G$6:$G$208)</f>
        <v>0</v>
      </c>
    </row>
    <row r="145" spans="1:12" x14ac:dyDescent="0.75">
      <c r="A145" s="12" t="s">
        <v>128</v>
      </c>
      <c r="B145" s="13" t="s">
        <v>325</v>
      </c>
      <c r="C145" s="3"/>
      <c r="D145" s="47">
        <f t="shared" si="2"/>
        <v>0</v>
      </c>
      <c r="E145" s="47">
        <f t="shared" si="3"/>
        <v>0</v>
      </c>
      <c r="F145" s="47">
        <f t="shared" si="4"/>
        <v>0</v>
      </c>
      <c r="G145" s="47">
        <f t="shared" si="5"/>
        <v>0</v>
      </c>
      <c r="H145" s="47"/>
      <c r="I145" s="3">
        <f>SUMIF('Q1 TB-19'!$A$6:$A$208,'Detail P&amp;L Analytic'!$A145,'Q1 TB-19'!$G$6:$G$208)</f>
        <v>0</v>
      </c>
      <c r="J145" s="3">
        <f>SUMIF('Q2 TB-19'!$A$6:$A$208,'Detail P&amp;L Analytic'!$A145,'Q2 TB-19'!$G$6:$G$208)</f>
        <v>0</v>
      </c>
      <c r="K145" s="3">
        <f>SUMIF('Q3 TB-19'!$A$6:$A$208,'Detail P&amp;L Analytic'!$A145,'Q3 TB-19'!$G$6:$G$208)</f>
        <v>0</v>
      </c>
      <c r="L145" s="3">
        <f>SUMIF('Q4 TB-19'!$A$6:$A$208,'Detail P&amp;L Analytic'!$A145,'Q4 TB-19'!$G$6:$G$208)</f>
        <v>0</v>
      </c>
    </row>
    <row r="146" spans="1:12" x14ac:dyDescent="0.75">
      <c r="A146" s="12" t="s">
        <v>129</v>
      </c>
      <c r="B146" s="13" t="s">
        <v>326</v>
      </c>
      <c r="C146" s="3"/>
      <c r="D146" s="47">
        <f t="shared" si="2"/>
        <v>0</v>
      </c>
      <c r="E146" s="47">
        <f t="shared" si="3"/>
        <v>0</v>
      </c>
      <c r="F146" s="47">
        <f t="shared" si="4"/>
        <v>0</v>
      </c>
      <c r="G146" s="47">
        <f t="shared" si="5"/>
        <v>0</v>
      </c>
      <c r="H146" s="47"/>
      <c r="I146" s="3">
        <f>SUMIF('Q1 TB-19'!$A$6:$A$208,'Detail P&amp;L Analytic'!$A146,'Q1 TB-19'!$G$6:$G$208)</f>
        <v>0</v>
      </c>
      <c r="J146" s="3">
        <f>SUMIF('Q2 TB-19'!$A$6:$A$208,'Detail P&amp;L Analytic'!$A146,'Q2 TB-19'!$G$6:$G$208)</f>
        <v>0</v>
      </c>
      <c r="K146" s="3">
        <f>SUMIF('Q3 TB-19'!$A$6:$A$208,'Detail P&amp;L Analytic'!$A146,'Q3 TB-19'!$G$6:$G$208)</f>
        <v>0</v>
      </c>
      <c r="L146" s="3">
        <f>SUMIF('Q4 TB-19'!$A$6:$A$208,'Detail P&amp;L Analytic'!$A146,'Q4 TB-19'!$G$6:$G$208)</f>
        <v>0</v>
      </c>
    </row>
    <row r="147" spans="1:12" x14ac:dyDescent="0.75">
      <c r="A147" s="12" t="s">
        <v>138</v>
      </c>
      <c r="B147" s="13" t="s">
        <v>327</v>
      </c>
      <c r="C147" s="3"/>
      <c r="D147" s="47">
        <f t="shared" si="2"/>
        <v>0</v>
      </c>
      <c r="E147" s="47">
        <f t="shared" si="3"/>
        <v>0</v>
      </c>
      <c r="F147" s="47">
        <f t="shared" si="4"/>
        <v>0</v>
      </c>
      <c r="G147" s="47">
        <f t="shared" si="5"/>
        <v>0</v>
      </c>
      <c r="H147" s="47"/>
      <c r="I147" s="3">
        <f>SUMIF('Q1 TB-19'!$A$6:$A$208,'Detail P&amp;L Analytic'!$A147,'Q1 TB-19'!$G$6:$G$208)</f>
        <v>0</v>
      </c>
      <c r="J147" s="3">
        <f>SUMIF('Q2 TB-19'!$A$6:$A$208,'Detail P&amp;L Analytic'!$A147,'Q2 TB-19'!$G$6:$G$208)</f>
        <v>0</v>
      </c>
      <c r="K147" s="3">
        <f>SUMIF('Q3 TB-19'!$A$6:$A$208,'Detail P&amp;L Analytic'!$A147,'Q3 TB-19'!$G$6:$G$208)</f>
        <v>0</v>
      </c>
      <c r="L147" s="3">
        <f>SUMIF('Q4 TB-19'!$A$6:$A$208,'Detail P&amp;L Analytic'!$A147,'Q4 TB-19'!$G$6:$G$208)</f>
        <v>0</v>
      </c>
    </row>
    <row r="148" spans="1:12" x14ac:dyDescent="0.75">
      <c r="A148" s="12" t="s">
        <v>151</v>
      </c>
      <c r="B148" s="13" t="s">
        <v>328</v>
      </c>
      <c r="C148" s="3"/>
      <c r="D148" s="47">
        <f t="shared" si="2"/>
        <v>0</v>
      </c>
      <c r="E148" s="47">
        <f t="shared" si="3"/>
        <v>0</v>
      </c>
      <c r="F148" s="47">
        <f t="shared" si="4"/>
        <v>0</v>
      </c>
      <c r="G148" s="47">
        <f t="shared" si="5"/>
        <v>0</v>
      </c>
      <c r="H148" s="47"/>
      <c r="I148" s="3">
        <f>SUMIF('Q1 TB-19'!$A$6:$A$208,'Detail P&amp;L Analytic'!$A148,'Q1 TB-19'!$G$6:$G$208)</f>
        <v>0</v>
      </c>
      <c r="J148" s="3">
        <f>SUMIF('Q2 TB-19'!$A$6:$A$208,'Detail P&amp;L Analytic'!$A148,'Q2 TB-19'!$G$6:$G$208)</f>
        <v>0</v>
      </c>
      <c r="K148" s="3">
        <f>SUMIF('Q3 TB-19'!$A$6:$A$208,'Detail P&amp;L Analytic'!$A148,'Q3 TB-19'!$G$6:$G$208)</f>
        <v>0</v>
      </c>
      <c r="L148" s="3">
        <f>SUMIF('Q4 TB-19'!$A$6:$A$208,'Detail P&amp;L Analytic'!$A148,'Q4 TB-19'!$G$6:$G$208)</f>
        <v>0</v>
      </c>
    </row>
    <row r="149" spans="1:12" x14ac:dyDescent="0.75">
      <c r="A149" s="12" t="s">
        <v>136</v>
      </c>
      <c r="B149" s="13" t="s">
        <v>329</v>
      </c>
      <c r="C149" s="3"/>
      <c r="D149" s="47">
        <f t="shared" si="2"/>
        <v>0</v>
      </c>
      <c r="E149" s="47">
        <f t="shared" si="3"/>
        <v>0</v>
      </c>
      <c r="F149" s="47">
        <f t="shared" si="4"/>
        <v>0</v>
      </c>
      <c r="G149" s="47">
        <f t="shared" si="5"/>
        <v>0</v>
      </c>
      <c r="H149" s="47"/>
      <c r="I149" s="3">
        <f>SUMIF('Q1 TB-19'!$A$6:$A$208,'Detail P&amp;L Analytic'!$A149,'Q1 TB-19'!$G$6:$G$208)</f>
        <v>0</v>
      </c>
      <c r="J149" s="3">
        <f>SUMIF('Q2 TB-19'!$A$6:$A$208,'Detail P&amp;L Analytic'!$A149,'Q2 TB-19'!$G$6:$G$208)</f>
        <v>0</v>
      </c>
      <c r="K149" s="3">
        <f>SUMIF('Q3 TB-19'!$A$6:$A$208,'Detail P&amp;L Analytic'!$A149,'Q3 TB-19'!$G$6:$G$208)</f>
        <v>0</v>
      </c>
      <c r="L149" s="3">
        <f>SUMIF('Q4 TB-19'!$A$6:$A$208,'Detail P&amp;L Analytic'!$A149,'Q4 TB-19'!$G$6:$G$208)</f>
        <v>0</v>
      </c>
    </row>
    <row r="150" spans="1:12" x14ac:dyDescent="0.75">
      <c r="A150" s="12" t="s">
        <v>164</v>
      </c>
      <c r="B150" s="13" t="s">
        <v>330</v>
      </c>
      <c r="C150" s="3"/>
      <c r="D150" s="47">
        <f t="shared" si="2"/>
        <v>0</v>
      </c>
      <c r="E150" s="47">
        <f t="shared" si="3"/>
        <v>473.95</v>
      </c>
      <c r="F150" s="47">
        <f t="shared" si="4"/>
        <v>3592.6800000000003</v>
      </c>
      <c r="G150" s="47">
        <f t="shared" si="5"/>
        <v>675</v>
      </c>
      <c r="H150" s="47"/>
      <c r="I150" s="3">
        <f>SUMIF('Q1 TB-19'!$A$6:$A$208,'Detail P&amp;L Analytic'!$A150,'Q1 TB-19'!$G$6:$G$208)</f>
        <v>0</v>
      </c>
      <c r="J150" s="3">
        <f>SUMIF('Q2 TB-19'!$A$6:$A$208,'Detail P&amp;L Analytic'!$A150,'Q2 TB-19'!$G$6:$G$208)</f>
        <v>473.95</v>
      </c>
      <c r="K150" s="3">
        <f>SUMIF('Q3 TB-19'!$A$6:$A$208,'Detail P&amp;L Analytic'!$A150,'Q3 TB-19'!$G$6:$G$208)</f>
        <v>4066.63</v>
      </c>
      <c r="L150" s="3">
        <f>SUMIF('Q4 TB-19'!$A$6:$A$208,'Detail P&amp;L Analytic'!$A150,'Q4 TB-19'!$G$6:$G$208)</f>
        <v>4741.63</v>
      </c>
    </row>
    <row r="151" spans="1:12" x14ac:dyDescent="0.75">
      <c r="A151" s="12" t="s">
        <v>124</v>
      </c>
      <c r="B151" s="13" t="s">
        <v>331</v>
      </c>
      <c r="C151" s="3"/>
      <c r="D151" s="47">
        <f t="shared" si="2"/>
        <v>0</v>
      </c>
      <c r="E151" s="47">
        <f t="shared" si="3"/>
        <v>0</v>
      </c>
      <c r="F151" s="47">
        <f t="shared" si="4"/>
        <v>0</v>
      </c>
      <c r="G151" s="47">
        <f t="shared" si="5"/>
        <v>0</v>
      </c>
      <c r="H151" s="47"/>
      <c r="I151" s="3">
        <f>SUMIF('Q1 TB-19'!$A$6:$A$208,'Detail P&amp;L Analytic'!$A151,'Q1 TB-19'!$G$6:$G$208)</f>
        <v>0</v>
      </c>
      <c r="J151" s="3">
        <f>SUMIF('Q2 TB-19'!$A$6:$A$208,'Detail P&amp;L Analytic'!$A151,'Q2 TB-19'!$G$6:$G$208)</f>
        <v>0</v>
      </c>
      <c r="K151" s="3">
        <f>SUMIF('Q3 TB-19'!$A$6:$A$208,'Detail P&amp;L Analytic'!$A151,'Q3 TB-19'!$G$6:$G$208)</f>
        <v>0</v>
      </c>
      <c r="L151" s="3">
        <f>SUMIF('Q4 TB-19'!$A$6:$A$208,'Detail P&amp;L Analytic'!$A151,'Q4 TB-19'!$G$6:$G$208)</f>
        <v>0</v>
      </c>
    </row>
    <row r="152" spans="1:12" x14ac:dyDescent="0.75">
      <c r="A152" s="12" t="s">
        <v>378</v>
      </c>
      <c r="B152" s="13" t="s">
        <v>379</v>
      </c>
      <c r="C152" s="3"/>
      <c r="D152" s="47">
        <f t="shared" si="2"/>
        <v>0</v>
      </c>
      <c r="E152" s="47">
        <f t="shared" si="3"/>
        <v>0</v>
      </c>
      <c r="F152" s="47">
        <f t="shared" si="4"/>
        <v>0</v>
      </c>
      <c r="G152" s="47">
        <f t="shared" si="5"/>
        <v>0</v>
      </c>
      <c r="H152" s="47"/>
      <c r="I152" s="3">
        <f>SUMIF('Q1 TB-19'!$A$6:$A$208,'Detail P&amp;L Analytic'!$A152,'Q1 TB-19'!$G$6:$G$208)</f>
        <v>0</v>
      </c>
      <c r="J152" s="3">
        <f>SUMIF('Q2 TB-19'!$A$6:$A$208,'Detail P&amp;L Analytic'!$A152,'Q2 TB-19'!$G$6:$G$208)</f>
        <v>0</v>
      </c>
      <c r="K152" s="3">
        <f>SUMIF('Q3 TB-19'!$A$6:$A$208,'Detail P&amp;L Analytic'!$A152,'Q3 TB-19'!$G$6:$G$208)</f>
        <v>0</v>
      </c>
      <c r="L152" s="3">
        <f>SUMIF('Q4 TB-19'!$A$6:$A$208,'Detail P&amp;L Analytic'!$A152,'Q4 TB-19'!$G$6:$G$208)</f>
        <v>0</v>
      </c>
    </row>
    <row r="153" spans="1:12" x14ac:dyDescent="0.75">
      <c r="A153" s="12" t="s">
        <v>131</v>
      </c>
      <c r="B153" s="13" t="s">
        <v>332</v>
      </c>
      <c r="C153" s="3"/>
      <c r="D153" s="47">
        <f t="shared" si="2"/>
        <v>0</v>
      </c>
      <c r="E153" s="47">
        <f t="shared" si="3"/>
        <v>0</v>
      </c>
      <c r="F153" s="47">
        <f t="shared" si="4"/>
        <v>0</v>
      </c>
      <c r="G153" s="47">
        <f t="shared" si="5"/>
        <v>0</v>
      </c>
      <c r="H153" s="47"/>
      <c r="I153" s="3">
        <f>SUMIF('Q1 TB-19'!$A$6:$A$208,'Detail P&amp;L Analytic'!$A153,'Q1 TB-19'!$G$6:$G$208)</f>
        <v>0</v>
      </c>
      <c r="J153" s="3">
        <f>SUMIF('Q2 TB-19'!$A$6:$A$208,'Detail P&amp;L Analytic'!$A153,'Q2 TB-19'!$G$6:$G$208)</f>
        <v>0</v>
      </c>
      <c r="K153" s="3">
        <f>SUMIF('Q3 TB-19'!$A$6:$A$208,'Detail P&amp;L Analytic'!$A153,'Q3 TB-19'!$G$6:$G$208)</f>
        <v>0</v>
      </c>
      <c r="L153" s="3">
        <f>SUMIF('Q4 TB-19'!$A$6:$A$208,'Detail P&amp;L Analytic'!$A153,'Q4 TB-19'!$G$6:$G$208)</f>
        <v>0</v>
      </c>
    </row>
    <row r="154" spans="1:12" x14ac:dyDescent="0.75">
      <c r="A154" s="12" t="s">
        <v>130</v>
      </c>
      <c r="B154" s="13" t="s">
        <v>333</v>
      </c>
      <c r="C154" s="3"/>
      <c r="D154" s="47">
        <f t="shared" si="2"/>
        <v>0</v>
      </c>
      <c r="E154" s="47">
        <f t="shared" si="3"/>
        <v>0</v>
      </c>
      <c r="F154" s="47">
        <f t="shared" si="4"/>
        <v>0</v>
      </c>
      <c r="G154" s="47">
        <f t="shared" si="5"/>
        <v>0</v>
      </c>
      <c r="H154" s="47"/>
      <c r="I154" s="3">
        <f>SUMIF('Q1 TB-19'!$A$6:$A$208,'Detail P&amp;L Analytic'!$A154,'Q1 TB-19'!$G$6:$G$208)</f>
        <v>0</v>
      </c>
      <c r="J154" s="3">
        <f>SUMIF('Q2 TB-19'!$A$6:$A$208,'Detail P&amp;L Analytic'!$A154,'Q2 TB-19'!$G$6:$G$208)</f>
        <v>0</v>
      </c>
      <c r="K154" s="3">
        <f>SUMIF('Q3 TB-19'!$A$6:$A$208,'Detail P&amp;L Analytic'!$A154,'Q3 TB-19'!$G$6:$G$208)</f>
        <v>0</v>
      </c>
      <c r="L154" s="3">
        <f>SUMIF('Q4 TB-19'!$A$6:$A$208,'Detail P&amp;L Analytic'!$A154,'Q4 TB-19'!$G$6:$G$208)</f>
        <v>0</v>
      </c>
    </row>
    <row r="155" spans="1:12" x14ac:dyDescent="0.75">
      <c r="A155" s="12" t="s">
        <v>132</v>
      </c>
      <c r="B155" s="13" t="s">
        <v>334</v>
      </c>
      <c r="C155" s="3"/>
      <c r="D155" s="47">
        <f t="shared" si="2"/>
        <v>0</v>
      </c>
      <c r="E155" s="47">
        <f t="shared" si="3"/>
        <v>0</v>
      </c>
      <c r="F155" s="47">
        <f t="shared" si="4"/>
        <v>0</v>
      </c>
      <c r="G155" s="47">
        <f t="shared" si="5"/>
        <v>0</v>
      </c>
      <c r="H155" s="47"/>
      <c r="I155" s="3">
        <f>SUMIF('Q1 TB-19'!$A$6:$A$208,'Detail P&amp;L Analytic'!$A155,'Q1 TB-19'!$G$6:$G$208)</f>
        <v>0</v>
      </c>
      <c r="J155" s="3">
        <f>SUMIF('Q2 TB-19'!$A$6:$A$208,'Detail P&amp;L Analytic'!$A155,'Q2 TB-19'!$G$6:$G$208)</f>
        <v>0</v>
      </c>
      <c r="K155" s="3">
        <f>SUMIF('Q3 TB-19'!$A$6:$A$208,'Detail P&amp;L Analytic'!$A155,'Q3 TB-19'!$G$6:$G$208)</f>
        <v>0</v>
      </c>
      <c r="L155" s="3">
        <f>SUMIF('Q4 TB-19'!$A$6:$A$208,'Detail P&amp;L Analytic'!$A155,'Q4 TB-19'!$G$6:$G$208)</f>
        <v>0</v>
      </c>
    </row>
    <row r="156" spans="1:12" x14ac:dyDescent="0.75">
      <c r="A156" s="12" t="s">
        <v>133</v>
      </c>
      <c r="B156" s="13" t="s">
        <v>335</v>
      </c>
      <c r="C156" s="3"/>
      <c r="D156" s="47">
        <f t="shared" si="2"/>
        <v>1794</v>
      </c>
      <c r="E156" s="47">
        <f t="shared" si="3"/>
        <v>830</v>
      </c>
      <c r="F156" s="47">
        <f t="shared" si="4"/>
        <v>2853</v>
      </c>
      <c r="G156" s="47">
        <f t="shared" si="5"/>
        <v>-2290</v>
      </c>
      <c r="H156" s="47"/>
      <c r="I156" s="3">
        <f>SUMIF('Q1 TB-19'!$A$6:$A$208,'Detail P&amp;L Analytic'!$A156,'Q1 TB-19'!$G$6:$G$208)</f>
        <v>1794</v>
      </c>
      <c r="J156" s="3">
        <f>SUMIF('Q2 TB-19'!$A$6:$A$208,'Detail P&amp;L Analytic'!$A156,'Q2 TB-19'!$G$6:$G$208)</f>
        <v>2624</v>
      </c>
      <c r="K156" s="3">
        <f>SUMIF('Q3 TB-19'!$A$6:$A$208,'Detail P&amp;L Analytic'!$A156,'Q3 TB-19'!$G$6:$G$208)</f>
        <v>5477</v>
      </c>
      <c r="L156" s="3">
        <f>SUMIF('Q4 TB-19'!$A$6:$A$208,'Detail P&amp;L Analytic'!$A156,'Q4 TB-19'!$G$6:$G$208)</f>
        <v>3187</v>
      </c>
    </row>
    <row r="157" spans="1:12" x14ac:dyDescent="0.75">
      <c r="A157" s="12" t="s">
        <v>134</v>
      </c>
      <c r="B157" s="13" t="s">
        <v>336</v>
      </c>
      <c r="C157" s="3"/>
      <c r="D157" s="47">
        <f t="shared" si="2"/>
        <v>0</v>
      </c>
      <c r="E157" s="47">
        <f t="shared" si="3"/>
        <v>0</v>
      </c>
      <c r="F157" s="47">
        <f t="shared" si="4"/>
        <v>0</v>
      </c>
      <c r="G157" s="47">
        <f t="shared" si="5"/>
        <v>0</v>
      </c>
      <c r="H157" s="47"/>
      <c r="I157" s="3">
        <f>SUMIF('Q1 TB-19'!$A$6:$A$208,'Detail P&amp;L Analytic'!$A157,'Q1 TB-19'!$G$6:$G$208)</f>
        <v>0</v>
      </c>
      <c r="J157" s="3">
        <f>SUMIF('Q2 TB-19'!$A$6:$A$208,'Detail P&amp;L Analytic'!$A157,'Q2 TB-19'!$G$6:$G$208)</f>
        <v>0</v>
      </c>
      <c r="K157" s="3">
        <f>SUMIF('Q3 TB-19'!$A$6:$A$208,'Detail P&amp;L Analytic'!$A157,'Q3 TB-19'!$G$6:$G$208)</f>
        <v>0</v>
      </c>
      <c r="L157" s="3">
        <f>SUMIF('Q4 TB-19'!$A$6:$A$208,'Detail P&amp;L Analytic'!$A157,'Q4 TB-19'!$G$6:$G$208)</f>
        <v>0</v>
      </c>
    </row>
    <row r="158" spans="1:12" x14ac:dyDescent="0.75">
      <c r="A158" s="12" t="s">
        <v>135</v>
      </c>
      <c r="B158" s="13" t="s">
        <v>337</v>
      </c>
      <c r="C158" s="3"/>
      <c r="D158" s="47">
        <f t="shared" si="2"/>
        <v>0</v>
      </c>
      <c r="E158" s="47">
        <f t="shared" si="3"/>
        <v>0</v>
      </c>
      <c r="F158" s="47">
        <f t="shared" si="4"/>
        <v>0</v>
      </c>
      <c r="G158" s="47">
        <f t="shared" si="5"/>
        <v>0</v>
      </c>
      <c r="H158" s="47"/>
      <c r="I158" s="3">
        <f>SUMIF('Q1 TB-19'!$A$6:$A$208,'Detail P&amp;L Analytic'!$A158,'Q1 TB-19'!$G$6:$G$208)</f>
        <v>0</v>
      </c>
      <c r="J158" s="3">
        <f>SUMIF('Q2 TB-19'!$A$6:$A$208,'Detail P&amp;L Analytic'!$A158,'Q2 TB-19'!$G$6:$G$208)</f>
        <v>0</v>
      </c>
      <c r="K158" s="3">
        <f>SUMIF('Q3 TB-19'!$A$6:$A$208,'Detail P&amp;L Analytic'!$A158,'Q3 TB-19'!$G$6:$G$208)</f>
        <v>0</v>
      </c>
      <c r="L158" s="3">
        <f>SUMIF('Q4 TB-19'!$A$6:$A$208,'Detail P&amp;L Analytic'!$A158,'Q4 TB-19'!$G$6:$G$208)</f>
        <v>0</v>
      </c>
    </row>
    <row r="159" spans="1:12" x14ac:dyDescent="0.75">
      <c r="A159" s="12" t="s">
        <v>137</v>
      </c>
      <c r="B159" s="13" t="s">
        <v>338</v>
      </c>
      <c r="C159" s="3"/>
      <c r="D159" s="47">
        <f t="shared" si="2"/>
        <v>0</v>
      </c>
      <c r="E159" s="47">
        <f t="shared" si="3"/>
        <v>0</v>
      </c>
      <c r="F159" s="47">
        <f t="shared" si="4"/>
        <v>0</v>
      </c>
      <c r="G159" s="47">
        <f t="shared" si="5"/>
        <v>0</v>
      </c>
      <c r="H159" s="47"/>
      <c r="I159" s="3">
        <f>SUMIF('Q1 TB-19'!$A$6:$A$208,'Detail P&amp;L Analytic'!$A159,'Q1 TB-19'!$G$6:$G$208)</f>
        <v>0</v>
      </c>
      <c r="J159" s="3">
        <f>SUMIF('Q2 TB-19'!$A$6:$A$208,'Detail P&amp;L Analytic'!$A159,'Q2 TB-19'!$G$6:$G$208)</f>
        <v>0</v>
      </c>
      <c r="K159" s="3">
        <f>SUMIF('Q3 TB-19'!$A$6:$A$208,'Detail P&amp;L Analytic'!$A159,'Q3 TB-19'!$G$6:$G$208)</f>
        <v>0</v>
      </c>
      <c r="L159" s="3">
        <f>SUMIF('Q4 TB-19'!$A$6:$A$208,'Detail P&amp;L Analytic'!$A159,'Q4 TB-19'!$G$6:$G$208)</f>
        <v>0</v>
      </c>
    </row>
    <row r="160" spans="1:12" x14ac:dyDescent="0.75">
      <c r="A160" s="12" t="s">
        <v>139</v>
      </c>
      <c r="B160" s="13" t="s">
        <v>339</v>
      </c>
      <c r="C160" s="3"/>
      <c r="D160" s="47">
        <f t="shared" si="2"/>
        <v>0</v>
      </c>
      <c r="E160" s="47">
        <f t="shared" si="3"/>
        <v>0</v>
      </c>
      <c r="F160" s="47">
        <f t="shared" si="4"/>
        <v>0</v>
      </c>
      <c r="G160" s="47">
        <f t="shared" si="5"/>
        <v>0</v>
      </c>
      <c r="H160" s="47"/>
      <c r="I160" s="3">
        <f>SUMIF('Q1 TB-19'!$A$6:$A$208,'Detail P&amp;L Analytic'!$A160,'Q1 TB-19'!$G$6:$G$208)</f>
        <v>0</v>
      </c>
      <c r="J160" s="3">
        <f>SUMIF('Q2 TB-19'!$A$6:$A$208,'Detail P&amp;L Analytic'!$A160,'Q2 TB-19'!$G$6:$G$208)</f>
        <v>0</v>
      </c>
      <c r="K160" s="3">
        <f>SUMIF('Q3 TB-19'!$A$6:$A$208,'Detail P&amp;L Analytic'!$A160,'Q3 TB-19'!$G$6:$G$208)</f>
        <v>0</v>
      </c>
      <c r="L160" s="3">
        <f>SUMIF('Q4 TB-19'!$A$6:$A$208,'Detail P&amp;L Analytic'!$A160,'Q4 TB-19'!$G$6:$G$208)</f>
        <v>0</v>
      </c>
    </row>
    <row r="161" spans="1:12" x14ac:dyDescent="0.75">
      <c r="A161" s="12" t="s">
        <v>140</v>
      </c>
      <c r="B161" s="13" t="s">
        <v>340</v>
      </c>
      <c r="C161" s="3"/>
      <c r="D161" s="47">
        <f t="shared" si="2"/>
        <v>0</v>
      </c>
      <c r="E161" s="47">
        <f t="shared" si="3"/>
        <v>0</v>
      </c>
      <c r="F161" s="47">
        <f t="shared" si="4"/>
        <v>0</v>
      </c>
      <c r="G161" s="47">
        <f t="shared" si="5"/>
        <v>0</v>
      </c>
      <c r="H161" s="47"/>
      <c r="I161" s="3">
        <f>SUMIF('Q1 TB-19'!$A$6:$A$208,'Detail P&amp;L Analytic'!$A161,'Q1 TB-19'!$G$6:$G$208)</f>
        <v>0</v>
      </c>
      <c r="J161" s="3">
        <f>SUMIF('Q2 TB-19'!$A$6:$A$208,'Detail P&amp;L Analytic'!$A161,'Q2 TB-19'!$G$6:$G$208)</f>
        <v>0</v>
      </c>
      <c r="K161" s="3">
        <f>SUMIF('Q3 TB-19'!$A$6:$A$208,'Detail P&amp;L Analytic'!$A161,'Q3 TB-19'!$G$6:$G$208)</f>
        <v>0</v>
      </c>
      <c r="L161" s="3">
        <f>SUMIF('Q4 TB-19'!$A$6:$A$208,'Detail P&amp;L Analytic'!$A161,'Q4 TB-19'!$G$6:$G$208)</f>
        <v>0</v>
      </c>
    </row>
    <row r="162" spans="1:12" x14ac:dyDescent="0.75">
      <c r="A162" s="12" t="s">
        <v>141</v>
      </c>
      <c r="B162" s="13" t="s">
        <v>341</v>
      </c>
      <c r="C162" s="3"/>
      <c r="D162" s="47">
        <f t="shared" si="2"/>
        <v>0</v>
      </c>
      <c r="E162" s="47">
        <f t="shared" si="3"/>
        <v>0</v>
      </c>
      <c r="F162" s="47">
        <f t="shared" si="4"/>
        <v>0</v>
      </c>
      <c r="G162" s="47">
        <f t="shared" si="5"/>
        <v>0</v>
      </c>
      <c r="H162" s="47"/>
      <c r="I162" s="3">
        <f>SUMIF('Q1 TB-19'!$A$6:$A$208,'Detail P&amp;L Analytic'!$A162,'Q1 TB-19'!$G$6:$G$208)</f>
        <v>0</v>
      </c>
      <c r="J162" s="3">
        <f>SUMIF('Q2 TB-19'!$A$6:$A$208,'Detail P&amp;L Analytic'!$A162,'Q2 TB-19'!$G$6:$G$208)</f>
        <v>0</v>
      </c>
      <c r="K162" s="3">
        <f>SUMIF('Q3 TB-19'!$A$6:$A$208,'Detail P&amp;L Analytic'!$A162,'Q3 TB-19'!$G$6:$G$208)</f>
        <v>0</v>
      </c>
      <c r="L162" s="3">
        <f>SUMIF('Q4 TB-19'!$A$6:$A$208,'Detail P&amp;L Analytic'!$A162,'Q4 TB-19'!$G$6:$G$208)</f>
        <v>0</v>
      </c>
    </row>
    <row r="163" spans="1:12" x14ac:dyDescent="0.75">
      <c r="A163" s="12" t="s">
        <v>142</v>
      </c>
      <c r="B163" s="13" t="s">
        <v>342</v>
      </c>
      <c r="C163" s="3"/>
      <c r="D163" s="47">
        <f t="shared" si="2"/>
        <v>10</v>
      </c>
      <c r="E163" s="47">
        <f t="shared" si="3"/>
        <v>825</v>
      </c>
      <c r="F163" s="47">
        <f t="shared" si="4"/>
        <v>0</v>
      </c>
      <c r="G163" s="47">
        <f t="shared" si="5"/>
        <v>60</v>
      </c>
      <c r="H163" s="47"/>
      <c r="I163" s="3">
        <f>SUMIF('Q1 TB-19'!$A$6:$A$208,'Detail P&amp;L Analytic'!$A163,'Q1 TB-19'!$G$6:$G$208)</f>
        <v>10</v>
      </c>
      <c r="J163" s="3">
        <f>SUMIF('Q2 TB-19'!$A$6:$A$208,'Detail P&amp;L Analytic'!$A163,'Q2 TB-19'!$G$6:$G$208)</f>
        <v>835</v>
      </c>
      <c r="K163" s="3">
        <f>SUMIF('Q3 TB-19'!$A$6:$A$208,'Detail P&amp;L Analytic'!$A163,'Q3 TB-19'!$G$6:$G$208)</f>
        <v>835</v>
      </c>
      <c r="L163" s="3">
        <f>SUMIF('Q4 TB-19'!$A$6:$A$208,'Detail P&amp;L Analytic'!$A163,'Q4 TB-19'!$G$6:$G$208)</f>
        <v>895</v>
      </c>
    </row>
    <row r="164" spans="1:12" x14ac:dyDescent="0.75">
      <c r="A164" s="12" t="s">
        <v>143</v>
      </c>
      <c r="B164" s="13" t="s">
        <v>343</v>
      </c>
      <c r="C164" s="3"/>
      <c r="D164" s="47">
        <f t="shared" si="2"/>
        <v>0</v>
      </c>
      <c r="E164" s="47">
        <f t="shared" si="3"/>
        <v>0</v>
      </c>
      <c r="F164" s="47">
        <f t="shared" si="4"/>
        <v>0</v>
      </c>
      <c r="G164" s="47">
        <f t="shared" si="5"/>
        <v>0</v>
      </c>
      <c r="H164" s="47"/>
      <c r="I164" s="3">
        <f>SUMIF('Q1 TB-19'!$A$6:$A$208,'Detail P&amp;L Analytic'!$A164,'Q1 TB-19'!$G$6:$G$208)</f>
        <v>0</v>
      </c>
      <c r="J164" s="3">
        <f>SUMIF('Q2 TB-19'!$A$6:$A$208,'Detail P&amp;L Analytic'!$A164,'Q2 TB-19'!$G$6:$G$208)</f>
        <v>0</v>
      </c>
      <c r="K164" s="3">
        <f>SUMIF('Q3 TB-19'!$A$6:$A$208,'Detail P&amp;L Analytic'!$A164,'Q3 TB-19'!$G$6:$G$208)</f>
        <v>0</v>
      </c>
      <c r="L164" s="3">
        <f>SUMIF('Q4 TB-19'!$A$6:$A$208,'Detail P&amp;L Analytic'!$A164,'Q4 TB-19'!$G$6:$G$208)</f>
        <v>0</v>
      </c>
    </row>
    <row r="165" spans="1:12" x14ac:dyDescent="0.75">
      <c r="A165" s="12" t="s">
        <v>144</v>
      </c>
      <c r="B165" s="13" t="s">
        <v>344</v>
      </c>
      <c r="C165" s="3"/>
      <c r="D165" s="47">
        <f t="shared" si="2"/>
        <v>0</v>
      </c>
      <c r="E165" s="47">
        <f t="shared" si="3"/>
        <v>0</v>
      </c>
      <c r="F165" s="47">
        <f t="shared" si="4"/>
        <v>0</v>
      </c>
      <c r="G165" s="47">
        <f t="shared" si="5"/>
        <v>0</v>
      </c>
      <c r="H165" s="47"/>
      <c r="I165" s="3">
        <f>SUMIF('Q1 TB-19'!$A$6:$A$208,'Detail P&amp;L Analytic'!$A165,'Q1 TB-19'!$G$6:$G$208)</f>
        <v>0</v>
      </c>
      <c r="J165" s="3">
        <f>SUMIF('Q2 TB-19'!$A$6:$A$208,'Detail P&amp;L Analytic'!$A165,'Q2 TB-19'!$G$6:$G$208)</f>
        <v>0</v>
      </c>
      <c r="K165" s="3">
        <f>SUMIF('Q3 TB-19'!$A$6:$A$208,'Detail P&amp;L Analytic'!$A165,'Q3 TB-19'!$G$6:$G$208)</f>
        <v>0</v>
      </c>
      <c r="L165" s="3">
        <f>SUMIF('Q4 TB-19'!$A$6:$A$208,'Detail P&amp;L Analytic'!$A165,'Q4 TB-19'!$G$6:$G$208)</f>
        <v>0</v>
      </c>
    </row>
    <row r="166" spans="1:12" x14ac:dyDescent="0.75">
      <c r="A166" s="12" t="s">
        <v>145</v>
      </c>
      <c r="B166" s="13" t="s">
        <v>345</v>
      </c>
      <c r="C166" s="3"/>
      <c r="D166" s="47">
        <f t="shared" si="2"/>
        <v>0</v>
      </c>
      <c r="E166" s="47">
        <f t="shared" si="3"/>
        <v>0</v>
      </c>
      <c r="F166" s="47">
        <f t="shared" si="4"/>
        <v>0</v>
      </c>
      <c r="G166" s="47">
        <f t="shared" si="5"/>
        <v>0</v>
      </c>
      <c r="H166" s="47"/>
      <c r="I166" s="3">
        <f>SUMIF('Q1 TB-19'!$A$6:$A$208,'Detail P&amp;L Analytic'!$A166,'Q1 TB-19'!$G$6:$G$208)</f>
        <v>0</v>
      </c>
      <c r="J166" s="3">
        <f>SUMIF('Q2 TB-19'!$A$6:$A$208,'Detail P&amp;L Analytic'!$A166,'Q2 TB-19'!$G$6:$G$208)</f>
        <v>0</v>
      </c>
      <c r="K166" s="3">
        <f>SUMIF('Q3 TB-19'!$A$6:$A$208,'Detail P&amp;L Analytic'!$A166,'Q3 TB-19'!$G$6:$G$208)</f>
        <v>0</v>
      </c>
      <c r="L166" s="3">
        <f>SUMIF('Q4 TB-19'!$A$6:$A$208,'Detail P&amp;L Analytic'!$A166,'Q4 TB-19'!$G$6:$G$208)</f>
        <v>0</v>
      </c>
    </row>
    <row r="167" spans="1:12" x14ac:dyDescent="0.75">
      <c r="A167" s="12" t="s">
        <v>146</v>
      </c>
      <c r="B167" s="13" t="s">
        <v>346</v>
      </c>
      <c r="C167" s="3"/>
      <c r="D167" s="47">
        <f t="shared" si="2"/>
        <v>0</v>
      </c>
      <c r="E167" s="47">
        <f t="shared" si="3"/>
        <v>0</v>
      </c>
      <c r="F167" s="47">
        <f t="shared" si="4"/>
        <v>0</v>
      </c>
      <c r="G167" s="47">
        <f t="shared" si="5"/>
        <v>0</v>
      </c>
      <c r="H167" s="47"/>
      <c r="I167" s="3">
        <f>SUMIF('Q1 TB-19'!$A$6:$A$208,'Detail P&amp;L Analytic'!$A167,'Q1 TB-19'!$G$6:$G$208)</f>
        <v>0</v>
      </c>
      <c r="J167" s="3">
        <f>SUMIF('Q2 TB-19'!$A$6:$A$208,'Detail P&amp;L Analytic'!$A167,'Q2 TB-19'!$G$6:$G$208)</f>
        <v>0</v>
      </c>
      <c r="K167" s="3">
        <f>SUMIF('Q3 TB-19'!$A$6:$A$208,'Detail P&amp;L Analytic'!$A167,'Q3 TB-19'!$G$6:$G$208)</f>
        <v>0</v>
      </c>
      <c r="L167" s="3">
        <f>SUMIF('Q4 TB-19'!$A$6:$A$208,'Detail P&amp;L Analytic'!$A167,'Q4 TB-19'!$G$6:$G$208)</f>
        <v>0</v>
      </c>
    </row>
    <row r="168" spans="1:12" x14ac:dyDescent="0.75">
      <c r="A168" s="12" t="s">
        <v>147</v>
      </c>
      <c r="B168" s="13" t="s">
        <v>347</v>
      </c>
      <c r="C168" s="3"/>
      <c r="D168" s="47">
        <f t="shared" si="2"/>
        <v>0</v>
      </c>
      <c r="E168" s="47">
        <f t="shared" si="3"/>
        <v>0</v>
      </c>
      <c r="F168" s="47">
        <f t="shared" si="4"/>
        <v>0</v>
      </c>
      <c r="G168" s="47">
        <f t="shared" si="5"/>
        <v>0</v>
      </c>
      <c r="H168" s="47"/>
      <c r="I168" s="3">
        <f>SUMIF('Q1 TB-19'!$A$6:$A$208,'Detail P&amp;L Analytic'!$A168,'Q1 TB-19'!$G$6:$G$208)</f>
        <v>0</v>
      </c>
      <c r="J168" s="3">
        <f>SUMIF('Q2 TB-19'!$A$6:$A$208,'Detail P&amp;L Analytic'!$A168,'Q2 TB-19'!$G$6:$G$208)</f>
        <v>0</v>
      </c>
      <c r="K168" s="3">
        <f>SUMIF('Q3 TB-19'!$A$6:$A$208,'Detail P&amp;L Analytic'!$A168,'Q3 TB-19'!$G$6:$G$208)</f>
        <v>0</v>
      </c>
      <c r="L168" s="3">
        <f>SUMIF('Q4 TB-19'!$A$6:$A$208,'Detail P&amp;L Analytic'!$A168,'Q4 TB-19'!$G$6:$G$208)</f>
        <v>0</v>
      </c>
    </row>
    <row r="169" spans="1:12" x14ac:dyDescent="0.75">
      <c r="A169" s="12" t="s">
        <v>148</v>
      </c>
      <c r="B169" s="13" t="s">
        <v>348</v>
      </c>
      <c r="C169" s="3"/>
      <c r="D169" s="47">
        <f t="shared" si="2"/>
        <v>1303.6300000000001</v>
      </c>
      <c r="E169" s="47">
        <f t="shared" si="3"/>
        <v>1745.3399999999997</v>
      </c>
      <c r="F169" s="47">
        <f t="shared" si="4"/>
        <v>1544.0500000000006</v>
      </c>
      <c r="G169" s="47">
        <f t="shared" si="5"/>
        <v>610.73999999999978</v>
      </c>
      <c r="H169" s="47"/>
      <c r="I169" s="3">
        <f>SUMIF('Q1 TB-19'!$A$6:$A$208,'Detail P&amp;L Analytic'!$A169,'Q1 TB-19'!$G$6:$G$208)</f>
        <v>1303.6300000000001</v>
      </c>
      <c r="J169" s="3">
        <f>SUMIF('Q2 TB-19'!$A$6:$A$208,'Detail P&amp;L Analytic'!$A169,'Q2 TB-19'!$G$6:$G$208)</f>
        <v>3048.97</v>
      </c>
      <c r="K169" s="3">
        <f>SUMIF('Q3 TB-19'!$A$6:$A$208,'Detail P&amp;L Analytic'!$A169,'Q3 TB-19'!$G$6:$G$208)</f>
        <v>4593.0200000000004</v>
      </c>
      <c r="L169" s="3">
        <f>SUMIF('Q4 TB-19'!$A$6:$A$208,'Detail P&amp;L Analytic'!$A169,'Q4 TB-19'!$G$6:$G$208)</f>
        <v>5203.76</v>
      </c>
    </row>
    <row r="170" spans="1:12" x14ac:dyDescent="0.75">
      <c r="A170" s="12" t="s">
        <v>149</v>
      </c>
      <c r="B170" s="13" t="s">
        <v>349</v>
      </c>
      <c r="C170" s="3"/>
      <c r="D170" s="47">
        <f t="shared" si="2"/>
        <v>0</v>
      </c>
      <c r="E170" s="47">
        <f t="shared" si="3"/>
        <v>0</v>
      </c>
      <c r="F170" s="47">
        <f t="shared" si="4"/>
        <v>0</v>
      </c>
      <c r="G170" s="47">
        <f t="shared" si="5"/>
        <v>0</v>
      </c>
      <c r="H170" s="47"/>
      <c r="I170" s="3">
        <f>SUMIF('Q1 TB-19'!$A$6:$A$208,'Detail P&amp;L Analytic'!$A170,'Q1 TB-19'!$G$6:$G$208)</f>
        <v>0</v>
      </c>
      <c r="J170" s="3">
        <f>SUMIF('Q2 TB-19'!$A$6:$A$208,'Detail P&amp;L Analytic'!$A170,'Q2 TB-19'!$G$6:$G$208)</f>
        <v>0</v>
      </c>
      <c r="K170" s="3">
        <f>SUMIF('Q3 TB-19'!$A$6:$A$208,'Detail P&amp;L Analytic'!$A170,'Q3 TB-19'!$G$6:$G$208)</f>
        <v>0</v>
      </c>
      <c r="L170" s="3">
        <f>SUMIF('Q4 TB-19'!$A$6:$A$208,'Detail P&amp;L Analytic'!$A170,'Q4 TB-19'!$G$6:$G$208)</f>
        <v>0</v>
      </c>
    </row>
    <row r="171" spans="1:12" x14ac:dyDescent="0.75">
      <c r="A171" s="12" t="s">
        <v>150</v>
      </c>
      <c r="B171" s="13" t="s">
        <v>350</v>
      </c>
      <c r="C171" s="3"/>
      <c r="D171" s="47">
        <f t="shared" si="2"/>
        <v>0</v>
      </c>
      <c r="E171" s="47">
        <f t="shared" si="3"/>
        <v>0</v>
      </c>
      <c r="F171" s="47">
        <f t="shared" si="4"/>
        <v>0</v>
      </c>
      <c r="G171" s="47">
        <f t="shared" si="5"/>
        <v>0</v>
      </c>
      <c r="H171" s="47"/>
      <c r="I171" s="3">
        <f>SUMIF('Q1 TB-19'!$A$6:$A$208,'Detail P&amp;L Analytic'!$A171,'Q1 TB-19'!$G$6:$G$208)</f>
        <v>0</v>
      </c>
      <c r="J171" s="3">
        <f>SUMIF('Q2 TB-19'!$A$6:$A$208,'Detail P&amp;L Analytic'!$A171,'Q2 TB-19'!$G$6:$G$208)</f>
        <v>0</v>
      </c>
      <c r="K171" s="3">
        <f>SUMIF('Q3 TB-19'!$A$6:$A$208,'Detail P&amp;L Analytic'!$A171,'Q3 TB-19'!$G$6:$G$208)</f>
        <v>0</v>
      </c>
      <c r="L171" s="3">
        <f>SUMIF('Q4 TB-19'!$A$6:$A$208,'Detail P&amp;L Analytic'!$A171,'Q4 TB-19'!$G$6:$G$208)</f>
        <v>0</v>
      </c>
    </row>
    <row r="172" spans="1:12" x14ac:dyDescent="0.75">
      <c r="A172" s="12" t="s">
        <v>152</v>
      </c>
      <c r="B172" s="13" t="s">
        <v>351</v>
      </c>
      <c r="C172" s="3"/>
      <c r="D172" s="47">
        <f t="shared" si="2"/>
        <v>0</v>
      </c>
      <c r="E172" s="47">
        <f t="shared" si="3"/>
        <v>0</v>
      </c>
      <c r="F172" s="47">
        <f t="shared" si="4"/>
        <v>261.17</v>
      </c>
      <c r="G172" s="47">
        <f t="shared" si="5"/>
        <v>0</v>
      </c>
      <c r="H172" s="47"/>
      <c r="I172" s="3">
        <f>SUMIF('Q1 TB-19'!$A$6:$A$208,'Detail P&amp;L Analytic'!$A172,'Q1 TB-19'!$G$6:$G$208)</f>
        <v>0</v>
      </c>
      <c r="J172" s="3">
        <f>SUMIF('Q2 TB-19'!$A$6:$A$208,'Detail P&amp;L Analytic'!$A172,'Q2 TB-19'!$G$6:$G$208)</f>
        <v>0</v>
      </c>
      <c r="K172" s="3">
        <f>SUMIF('Q3 TB-19'!$A$6:$A$208,'Detail P&amp;L Analytic'!$A172,'Q3 TB-19'!$G$6:$G$208)</f>
        <v>261.17</v>
      </c>
      <c r="L172" s="3">
        <f>SUMIF('Q4 TB-19'!$A$6:$A$208,'Detail P&amp;L Analytic'!$A172,'Q4 TB-19'!$G$6:$G$208)</f>
        <v>261.17</v>
      </c>
    </row>
    <row r="173" spans="1:12" x14ac:dyDescent="0.75">
      <c r="A173" s="12" t="s">
        <v>153</v>
      </c>
      <c r="B173" s="13" t="s">
        <v>352</v>
      </c>
      <c r="C173" s="3"/>
      <c r="D173" s="47">
        <f t="shared" si="2"/>
        <v>905</v>
      </c>
      <c r="E173" s="47">
        <f t="shared" si="3"/>
        <v>36290</v>
      </c>
      <c r="F173" s="47">
        <f t="shared" si="4"/>
        <v>35990</v>
      </c>
      <c r="G173" s="47">
        <f t="shared" si="5"/>
        <v>32600</v>
      </c>
      <c r="H173" s="47"/>
      <c r="I173" s="3">
        <f>SUMIF('Q1 TB-19'!$A$6:$A$208,'Detail P&amp;L Analytic'!$A173,'Q1 TB-19'!$G$6:$G$208)</f>
        <v>905</v>
      </c>
      <c r="J173" s="3">
        <f>SUMIF('Q2 TB-19'!$A$6:$A$208,'Detail P&amp;L Analytic'!$A173,'Q2 TB-19'!$G$6:$G$208)</f>
        <v>37195</v>
      </c>
      <c r="K173" s="3">
        <f>SUMIF('Q3 TB-19'!$A$6:$A$208,'Detail P&amp;L Analytic'!$A173,'Q3 TB-19'!$G$6:$G$208)</f>
        <v>73185</v>
      </c>
      <c r="L173" s="3">
        <f>SUMIF('Q4 TB-19'!$A$6:$A$208,'Detail P&amp;L Analytic'!$A173,'Q4 TB-19'!$G$6:$G$208)</f>
        <v>105785</v>
      </c>
    </row>
    <row r="174" spans="1:12" x14ac:dyDescent="0.75">
      <c r="A174" s="12" t="s">
        <v>154</v>
      </c>
      <c r="B174" s="13" t="s">
        <v>353</v>
      </c>
      <c r="C174" s="3"/>
      <c r="D174" s="47">
        <f t="shared" si="2"/>
        <v>1195</v>
      </c>
      <c r="E174" s="47">
        <f t="shared" si="3"/>
        <v>8025</v>
      </c>
      <c r="F174" s="47">
        <f t="shared" si="4"/>
        <v>9125</v>
      </c>
      <c r="G174" s="47">
        <f t="shared" si="5"/>
        <v>2975</v>
      </c>
      <c r="H174" s="47"/>
      <c r="I174" s="3">
        <f>SUMIF('Q1 TB-19'!$A$6:$A$208,'Detail P&amp;L Analytic'!$A174,'Q1 TB-19'!$G$6:$G$208)</f>
        <v>1195</v>
      </c>
      <c r="J174" s="3">
        <f>SUMIF('Q2 TB-19'!$A$6:$A$208,'Detail P&amp;L Analytic'!$A174,'Q2 TB-19'!$G$6:$G$208)</f>
        <v>9220</v>
      </c>
      <c r="K174" s="3">
        <f>SUMIF('Q3 TB-19'!$A$6:$A$208,'Detail P&amp;L Analytic'!$A174,'Q3 TB-19'!$G$6:$G$208)</f>
        <v>18345</v>
      </c>
      <c r="L174" s="3">
        <f>SUMIF('Q4 TB-19'!$A$6:$A$208,'Detail P&amp;L Analytic'!$A174,'Q4 TB-19'!$G$6:$G$208)</f>
        <v>21320</v>
      </c>
    </row>
    <row r="175" spans="1:12" x14ac:dyDescent="0.75">
      <c r="A175" s="12" t="s">
        <v>155</v>
      </c>
      <c r="B175" s="13" t="s">
        <v>354</v>
      </c>
      <c r="C175" s="3"/>
      <c r="D175" s="47">
        <f t="shared" si="2"/>
        <v>0</v>
      </c>
      <c r="E175" s="47">
        <f t="shared" si="3"/>
        <v>0</v>
      </c>
      <c r="F175" s="47">
        <f t="shared" si="4"/>
        <v>0</v>
      </c>
      <c r="G175" s="47">
        <f t="shared" si="5"/>
        <v>0</v>
      </c>
      <c r="H175" s="47"/>
      <c r="I175" s="3">
        <f>SUMIF('Q1 TB-19'!$A$6:$A$208,'Detail P&amp;L Analytic'!$A175,'Q1 TB-19'!$G$6:$G$208)</f>
        <v>0</v>
      </c>
      <c r="J175" s="3">
        <f>SUMIF('Q2 TB-19'!$A$6:$A$208,'Detail P&amp;L Analytic'!$A175,'Q2 TB-19'!$G$6:$G$208)</f>
        <v>0</v>
      </c>
      <c r="K175" s="3">
        <f>SUMIF('Q3 TB-19'!$A$6:$A$208,'Detail P&amp;L Analytic'!$A175,'Q3 TB-19'!$G$6:$G$208)</f>
        <v>0</v>
      </c>
      <c r="L175" s="3">
        <f>SUMIF('Q4 TB-19'!$A$6:$A$208,'Detail P&amp;L Analytic'!$A175,'Q4 TB-19'!$G$6:$G$208)</f>
        <v>0</v>
      </c>
    </row>
    <row r="176" spans="1:12" x14ac:dyDescent="0.75">
      <c r="A176" s="12" t="s">
        <v>157</v>
      </c>
      <c r="B176" s="13" t="s">
        <v>355</v>
      </c>
      <c r="C176" s="3"/>
      <c r="D176" s="47">
        <f t="shared" si="2"/>
        <v>0</v>
      </c>
      <c r="E176" s="47">
        <f t="shared" si="3"/>
        <v>0</v>
      </c>
      <c r="F176" s="47">
        <f t="shared" si="4"/>
        <v>0</v>
      </c>
      <c r="G176" s="47">
        <f t="shared" si="5"/>
        <v>0</v>
      </c>
      <c r="H176" s="47"/>
      <c r="I176" s="3">
        <f>SUMIF('Q1 TB-19'!$A$6:$A$208,'Detail P&amp;L Analytic'!$A176,'Q1 TB-19'!$G$6:$G$208)</f>
        <v>0</v>
      </c>
      <c r="J176" s="3">
        <f>SUMIF('Q2 TB-19'!$A$6:$A$208,'Detail P&amp;L Analytic'!$A176,'Q2 TB-19'!$G$6:$G$208)</f>
        <v>0</v>
      </c>
      <c r="K176" s="3">
        <f>SUMIF('Q3 TB-19'!$A$6:$A$208,'Detail P&amp;L Analytic'!$A176,'Q3 TB-19'!$G$6:$G$208)</f>
        <v>0</v>
      </c>
      <c r="L176" s="3">
        <f>SUMIF('Q4 TB-19'!$A$6:$A$208,'Detail P&amp;L Analytic'!$A176,'Q4 TB-19'!$G$6:$G$208)</f>
        <v>0</v>
      </c>
    </row>
    <row r="177" spans="1:12" x14ac:dyDescent="0.75">
      <c r="A177" s="12" t="s">
        <v>158</v>
      </c>
      <c r="B177" s="13" t="s">
        <v>356</v>
      </c>
      <c r="C177" s="3"/>
      <c r="D177" s="47">
        <f t="shared" si="2"/>
        <v>0</v>
      </c>
      <c r="E177" s="47">
        <f t="shared" si="3"/>
        <v>0</v>
      </c>
      <c r="F177" s="47">
        <f t="shared" si="4"/>
        <v>0</v>
      </c>
      <c r="G177" s="47">
        <f t="shared" si="5"/>
        <v>0</v>
      </c>
      <c r="H177" s="47"/>
      <c r="I177" s="3">
        <f>SUMIF('Q1 TB-19'!$A$6:$A$208,'Detail P&amp;L Analytic'!$A177,'Q1 TB-19'!$G$6:$G$208)</f>
        <v>0</v>
      </c>
      <c r="J177" s="3">
        <f>SUMIF('Q2 TB-19'!$A$6:$A$208,'Detail P&amp;L Analytic'!$A177,'Q2 TB-19'!$G$6:$G$208)</f>
        <v>0</v>
      </c>
      <c r="K177" s="3">
        <f>SUMIF('Q3 TB-19'!$A$6:$A$208,'Detail P&amp;L Analytic'!$A177,'Q3 TB-19'!$G$6:$G$208)</f>
        <v>0</v>
      </c>
      <c r="L177" s="3">
        <f>SUMIF('Q4 TB-19'!$A$6:$A$208,'Detail P&amp;L Analytic'!$A177,'Q4 TB-19'!$G$6:$G$208)</f>
        <v>0</v>
      </c>
    </row>
    <row r="178" spans="1:12" x14ac:dyDescent="0.75">
      <c r="A178" s="12" t="s">
        <v>156</v>
      </c>
      <c r="B178" s="13" t="s">
        <v>357</v>
      </c>
      <c r="C178" s="3"/>
      <c r="D178" s="47">
        <f t="shared" si="2"/>
        <v>0</v>
      </c>
      <c r="E178" s="47">
        <f t="shared" si="3"/>
        <v>0</v>
      </c>
      <c r="F178" s="47">
        <f t="shared" si="4"/>
        <v>0</v>
      </c>
      <c r="G178" s="47">
        <f t="shared" si="5"/>
        <v>0</v>
      </c>
      <c r="H178" s="47"/>
      <c r="I178" s="3">
        <f>SUMIF('Q1 TB-19'!$A$6:$A$208,'Detail P&amp;L Analytic'!$A178,'Q1 TB-19'!$G$6:$G$208)</f>
        <v>0</v>
      </c>
      <c r="J178" s="3">
        <f>SUMIF('Q2 TB-19'!$A$6:$A$208,'Detail P&amp;L Analytic'!$A178,'Q2 TB-19'!$G$6:$G$208)</f>
        <v>0</v>
      </c>
      <c r="K178" s="3">
        <f>SUMIF('Q3 TB-19'!$A$6:$A$208,'Detail P&amp;L Analytic'!$A178,'Q3 TB-19'!$G$6:$G$208)</f>
        <v>0</v>
      </c>
      <c r="L178" s="3">
        <f>SUMIF('Q4 TB-19'!$A$6:$A$208,'Detail P&amp;L Analytic'!$A178,'Q4 TB-19'!$G$6:$G$208)</f>
        <v>0</v>
      </c>
    </row>
    <row r="179" spans="1:12" x14ac:dyDescent="0.75">
      <c r="A179" s="12" t="s">
        <v>159</v>
      </c>
      <c r="B179" s="13" t="s">
        <v>358</v>
      </c>
      <c r="C179" s="3"/>
      <c r="D179" s="47">
        <f t="shared" si="2"/>
        <v>0</v>
      </c>
      <c r="E179" s="47">
        <f t="shared" si="3"/>
        <v>0</v>
      </c>
      <c r="F179" s="47">
        <f t="shared" si="4"/>
        <v>0</v>
      </c>
      <c r="G179" s="47">
        <f t="shared" si="5"/>
        <v>0</v>
      </c>
      <c r="H179" s="47"/>
      <c r="I179" s="3">
        <f>SUMIF('Q1 TB-19'!$A$6:$A$208,'Detail P&amp;L Analytic'!$A179,'Q1 TB-19'!$G$6:$G$208)</f>
        <v>0</v>
      </c>
      <c r="J179" s="3">
        <f>SUMIF('Q2 TB-19'!$A$6:$A$208,'Detail P&amp;L Analytic'!$A179,'Q2 TB-19'!$G$6:$G$208)</f>
        <v>0</v>
      </c>
      <c r="K179" s="3">
        <f>SUMIF('Q3 TB-19'!$A$6:$A$208,'Detail P&amp;L Analytic'!$A179,'Q3 TB-19'!$G$6:$G$208)</f>
        <v>0</v>
      </c>
      <c r="L179" s="3">
        <f>SUMIF('Q4 TB-19'!$A$6:$A$208,'Detail P&amp;L Analytic'!$A179,'Q4 TB-19'!$G$6:$G$208)</f>
        <v>0</v>
      </c>
    </row>
    <row r="180" spans="1:12" x14ac:dyDescent="0.75">
      <c r="A180" s="12" t="s">
        <v>160</v>
      </c>
      <c r="B180" s="13" t="s">
        <v>359</v>
      </c>
      <c r="C180" s="3"/>
      <c r="D180" s="47">
        <f t="shared" si="2"/>
        <v>0</v>
      </c>
      <c r="E180" s="47">
        <f t="shared" si="3"/>
        <v>0</v>
      </c>
      <c r="F180" s="47">
        <f t="shared" si="4"/>
        <v>0</v>
      </c>
      <c r="G180" s="47">
        <f t="shared" si="5"/>
        <v>0</v>
      </c>
      <c r="H180" s="47"/>
      <c r="I180" s="3">
        <f>SUMIF('Q1 TB-19'!$A$6:$A$208,'Detail P&amp;L Analytic'!$A180,'Q1 TB-19'!$G$6:$G$208)</f>
        <v>0</v>
      </c>
      <c r="J180" s="3">
        <f>SUMIF('Q2 TB-19'!$A$6:$A$208,'Detail P&amp;L Analytic'!$A180,'Q2 TB-19'!$G$6:$G$208)</f>
        <v>0</v>
      </c>
      <c r="K180" s="3">
        <f>SUMIF('Q3 TB-19'!$A$6:$A$208,'Detail P&amp;L Analytic'!$A180,'Q3 TB-19'!$G$6:$G$208)</f>
        <v>0</v>
      </c>
      <c r="L180" s="3">
        <f>SUMIF('Q4 TB-19'!$A$6:$A$208,'Detail P&amp;L Analytic'!$A180,'Q4 TB-19'!$G$6:$G$208)</f>
        <v>0</v>
      </c>
    </row>
    <row r="181" spans="1:12" x14ac:dyDescent="0.75">
      <c r="A181" s="12" t="s">
        <v>161</v>
      </c>
      <c r="B181" s="13" t="s">
        <v>360</v>
      </c>
      <c r="C181" s="3"/>
      <c r="D181" s="47">
        <f t="shared" si="2"/>
        <v>10000</v>
      </c>
      <c r="E181" s="47">
        <f t="shared" si="3"/>
        <v>6600.869999999999</v>
      </c>
      <c r="F181" s="47">
        <f t="shared" si="4"/>
        <v>10980</v>
      </c>
      <c r="G181" s="47">
        <f t="shared" si="5"/>
        <v>7170.5700000000033</v>
      </c>
      <c r="H181" s="47"/>
      <c r="I181" s="3">
        <f>SUMIF('Q1 TB-19'!$A$6:$A$208,'Detail P&amp;L Analytic'!$A181,'Q1 TB-19'!$G$6:$G$208)</f>
        <v>10000</v>
      </c>
      <c r="J181" s="3">
        <f>SUMIF('Q2 TB-19'!$A$6:$A$208,'Detail P&amp;L Analytic'!$A181,'Q2 TB-19'!$G$6:$G$208)</f>
        <v>16600.87</v>
      </c>
      <c r="K181" s="3">
        <f>SUMIF('Q3 TB-19'!$A$6:$A$208,'Detail P&amp;L Analytic'!$A181,'Q3 TB-19'!$G$6:$G$208)</f>
        <v>27580.87</v>
      </c>
      <c r="L181" s="3">
        <f>SUMIF('Q4 TB-19'!$A$6:$A$208,'Detail P&amp;L Analytic'!$A181,'Q4 TB-19'!$G$6:$G$208)</f>
        <v>34751.440000000002</v>
      </c>
    </row>
    <row r="182" spans="1:12" x14ac:dyDescent="0.75">
      <c r="A182" s="12" t="s">
        <v>162</v>
      </c>
      <c r="B182" s="13" t="s">
        <v>361</v>
      </c>
      <c r="C182" s="3"/>
      <c r="D182" s="47">
        <f t="shared" si="2"/>
        <v>0</v>
      </c>
      <c r="E182" s="47">
        <f t="shared" si="3"/>
        <v>0</v>
      </c>
      <c r="F182" s="47">
        <f t="shared" si="4"/>
        <v>0</v>
      </c>
      <c r="G182" s="47">
        <f t="shared" si="5"/>
        <v>0</v>
      </c>
      <c r="H182" s="47"/>
      <c r="I182" s="3">
        <f>SUMIF('Q1 TB-19'!$A$6:$A$208,'Detail P&amp;L Analytic'!$A182,'Q1 TB-19'!$G$6:$G$208)</f>
        <v>0</v>
      </c>
      <c r="J182" s="3">
        <f>SUMIF('Q2 TB-19'!$A$6:$A$208,'Detail P&amp;L Analytic'!$A182,'Q2 TB-19'!$G$6:$G$208)</f>
        <v>0</v>
      </c>
      <c r="K182" s="3">
        <f>SUMIF('Q3 TB-19'!$A$6:$A$208,'Detail P&amp;L Analytic'!$A182,'Q3 TB-19'!$G$6:$G$208)</f>
        <v>0</v>
      </c>
      <c r="L182" s="3">
        <f>SUMIF('Q4 TB-19'!$A$6:$A$208,'Detail P&amp;L Analytic'!$A182,'Q4 TB-19'!$G$6:$G$208)</f>
        <v>0</v>
      </c>
    </row>
    <row r="183" spans="1:12" s="6" customFormat="1" ht="10.5" x14ac:dyDescent="0.5">
      <c r="A183" s="12" t="s">
        <v>163</v>
      </c>
      <c r="B183" s="13" t="s">
        <v>362</v>
      </c>
      <c r="C183" s="3"/>
      <c r="D183" s="47">
        <f t="shared" si="2"/>
        <v>0</v>
      </c>
      <c r="E183" s="47">
        <f t="shared" si="3"/>
        <v>0</v>
      </c>
      <c r="F183" s="47">
        <f t="shared" si="4"/>
        <v>0</v>
      </c>
      <c r="G183" s="47">
        <f t="shared" si="5"/>
        <v>0</v>
      </c>
      <c r="H183" s="47"/>
      <c r="I183" s="3">
        <f>SUMIF('Q1 TB-19'!$A$6:$A$208,'Detail P&amp;L Analytic'!$A183,'Q1 TB-19'!$G$6:$G$208)</f>
        <v>0</v>
      </c>
      <c r="J183" s="3">
        <f>SUMIF('Q2 TB-19'!$A$6:$A$208,'Detail P&amp;L Analytic'!$A183,'Q2 TB-19'!$G$6:$G$208)</f>
        <v>0</v>
      </c>
      <c r="K183" s="3">
        <f>SUMIF('Q3 TB-19'!$A$6:$A$208,'Detail P&amp;L Analytic'!$A183,'Q3 TB-19'!$G$6:$G$208)</f>
        <v>0</v>
      </c>
      <c r="L183" s="3">
        <f>SUMIF('Q4 TB-19'!$A$6:$A$208,'Detail P&amp;L Analytic'!$A183,'Q4 TB-19'!$G$6:$G$208)</f>
        <v>0</v>
      </c>
    </row>
    <row r="184" spans="1:12" x14ac:dyDescent="0.75">
      <c r="A184" s="14">
        <v>6330</v>
      </c>
      <c r="B184" s="13" t="s">
        <v>363</v>
      </c>
      <c r="C184" s="3"/>
      <c r="D184" s="47">
        <f t="shared" si="2"/>
        <v>0</v>
      </c>
      <c r="E184" s="47">
        <f t="shared" si="3"/>
        <v>0</v>
      </c>
      <c r="F184" s="47">
        <f t="shared" si="4"/>
        <v>0</v>
      </c>
      <c r="G184" s="47">
        <f t="shared" si="5"/>
        <v>0</v>
      </c>
      <c r="H184" s="47"/>
      <c r="I184" s="3">
        <f>SUMIF('Q1 TB-19'!$A$6:$A$208,'Detail P&amp;L Analytic'!$A184,'Q1 TB-19'!$G$6:$G$208)</f>
        <v>0</v>
      </c>
      <c r="J184" s="3">
        <f>SUMIF('Q2 TB-19'!$A$6:$A$208,'Detail P&amp;L Analytic'!$A184,'Q2 TB-19'!$G$6:$G$208)</f>
        <v>0</v>
      </c>
      <c r="K184" s="3">
        <f>SUMIF('Q3 TB-19'!$A$6:$A$208,'Detail P&amp;L Analytic'!$A184,'Q3 TB-19'!$G$6:$G$208)</f>
        <v>0</v>
      </c>
      <c r="L184" s="3">
        <f>SUMIF('Q4 TB-19'!$A$6:$A$208,'Detail P&amp;L Analytic'!$A184,'Q4 TB-19'!$G$6:$G$208)</f>
        <v>0</v>
      </c>
    </row>
    <row r="185" spans="1:12" x14ac:dyDescent="0.75">
      <c r="A185" s="14">
        <v>6340</v>
      </c>
      <c r="B185" s="13" t="s">
        <v>364</v>
      </c>
      <c r="C185" s="3"/>
      <c r="D185" s="47">
        <f t="shared" si="2"/>
        <v>0</v>
      </c>
      <c r="E185" s="47">
        <f t="shared" si="3"/>
        <v>0</v>
      </c>
      <c r="F185" s="47">
        <f t="shared" si="4"/>
        <v>0</v>
      </c>
      <c r="G185" s="47">
        <f t="shared" si="5"/>
        <v>0</v>
      </c>
      <c r="H185" s="47"/>
      <c r="I185" s="3">
        <f>SUMIF('Q1 TB-19'!$A$6:$A$208,'Detail P&amp;L Analytic'!$A185,'Q1 TB-19'!$G$6:$G$208)</f>
        <v>0</v>
      </c>
      <c r="J185" s="3">
        <f>SUMIF('Q2 TB-19'!$A$6:$A$208,'Detail P&amp;L Analytic'!$A185,'Q2 TB-19'!$G$6:$G$208)</f>
        <v>0</v>
      </c>
      <c r="K185" s="3">
        <f>SUMIF('Q3 TB-19'!$A$6:$A$208,'Detail P&amp;L Analytic'!$A185,'Q3 TB-19'!$G$6:$G$208)</f>
        <v>0</v>
      </c>
      <c r="L185" s="3">
        <f>SUMIF('Q4 TB-19'!$A$6:$A$208,'Detail P&amp;L Analytic'!$A185,'Q4 TB-19'!$G$6:$G$208)</f>
        <v>0</v>
      </c>
    </row>
    <row r="186" spans="1:12" x14ac:dyDescent="0.75">
      <c r="A186" s="14">
        <v>6360</v>
      </c>
      <c r="B186" s="13" t="s">
        <v>365</v>
      </c>
      <c r="C186" s="3"/>
      <c r="D186" s="47">
        <f t="shared" si="2"/>
        <v>0</v>
      </c>
      <c r="E186" s="47">
        <f t="shared" si="3"/>
        <v>0</v>
      </c>
      <c r="F186" s="47">
        <f t="shared" si="4"/>
        <v>0</v>
      </c>
      <c r="G186" s="47">
        <f t="shared" si="5"/>
        <v>0</v>
      </c>
      <c r="H186" s="47"/>
      <c r="I186" s="3">
        <f>SUMIF('Q1 TB-19'!$A$6:$A$208,'Detail P&amp;L Analytic'!$A186,'Q1 TB-19'!$G$6:$G$208)</f>
        <v>0</v>
      </c>
      <c r="J186" s="3">
        <f>SUMIF('Q2 TB-19'!$A$6:$A$208,'Detail P&amp;L Analytic'!$A186,'Q2 TB-19'!$G$6:$G$208)</f>
        <v>0</v>
      </c>
      <c r="K186" s="3">
        <f>SUMIF('Q3 TB-19'!$A$6:$A$208,'Detail P&amp;L Analytic'!$A186,'Q3 TB-19'!$G$6:$G$208)</f>
        <v>0</v>
      </c>
      <c r="L186" s="3">
        <f>SUMIF('Q4 TB-19'!$A$6:$A$208,'Detail P&amp;L Analytic'!$A186,'Q4 TB-19'!$G$6:$G$208)</f>
        <v>0</v>
      </c>
    </row>
    <row r="187" spans="1:12" x14ac:dyDescent="0.75">
      <c r="A187" s="14">
        <v>6370</v>
      </c>
      <c r="B187" s="13" t="s">
        <v>366</v>
      </c>
      <c r="C187" s="3"/>
      <c r="D187" s="47">
        <f t="shared" si="2"/>
        <v>0</v>
      </c>
      <c r="E187" s="47">
        <f t="shared" si="3"/>
        <v>0</v>
      </c>
      <c r="F187" s="47">
        <f t="shared" si="4"/>
        <v>0</v>
      </c>
      <c r="G187" s="47">
        <f t="shared" si="5"/>
        <v>0</v>
      </c>
      <c r="H187" s="47"/>
      <c r="I187" s="3">
        <f>SUMIF('Q1 TB-19'!$A$6:$A$208,'Detail P&amp;L Analytic'!$A187,'Q1 TB-19'!$G$6:$G$208)</f>
        <v>0</v>
      </c>
      <c r="J187" s="3">
        <f>SUMIF('Q2 TB-19'!$A$6:$A$208,'Detail P&amp;L Analytic'!$A187,'Q2 TB-19'!$G$6:$G$208)</f>
        <v>0</v>
      </c>
      <c r="K187" s="3">
        <f>SUMIF('Q3 TB-19'!$A$6:$A$208,'Detail P&amp;L Analytic'!$A187,'Q3 TB-19'!$G$6:$G$208)</f>
        <v>0</v>
      </c>
      <c r="L187" s="3">
        <f>SUMIF('Q4 TB-19'!$A$6:$A$208,'Detail P&amp;L Analytic'!$A187,'Q4 TB-19'!$G$6:$G$208)</f>
        <v>0</v>
      </c>
    </row>
    <row r="188" spans="1:12" x14ac:dyDescent="0.75">
      <c r="A188" s="12" t="s">
        <v>165</v>
      </c>
      <c r="B188" s="13" t="s">
        <v>367</v>
      </c>
      <c r="C188" s="3"/>
      <c r="D188" s="47">
        <f t="shared" si="2"/>
        <v>0</v>
      </c>
      <c r="E188" s="47">
        <f t="shared" si="3"/>
        <v>0</v>
      </c>
      <c r="F188" s="47">
        <f t="shared" si="4"/>
        <v>0</v>
      </c>
      <c r="G188" s="47">
        <f t="shared" si="5"/>
        <v>0</v>
      </c>
      <c r="H188" s="47"/>
      <c r="I188" s="3">
        <f>SUMIF('Q1 TB-19'!$A$6:$A$208,'Detail P&amp;L Analytic'!$A188,'Q1 TB-19'!$G$6:$G$208)</f>
        <v>0</v>
      </c>
      <c r="J188" s="3">
        <f>SUMIF('Q2 TB-19'!$A$6:$A$208,'Detail P&amp;L Analytic'!$A188,'Q2 TB-19'!$G$6:$G$208)</f>
        <v>0</v>
      </c>
      <c r="K188" s="3">
        <f>SUMIF('Q3 TB-19'!$A$6:$A$208,'Detail P&amp;L Analytic'!$A188,'Q3 TB-19'!$G$6:$G$208)</f>
        <v>0</v>
      </c>
      <c r="L188" s="3">
        <f>SUMIF('Q4 TB-19'!$A$6:$A$208,'Detail P&amp;L Analytic'!$A188,'Q4 TB-19'!$G$6:$G$208)</f>
        <v>0</v>
      </c>
    </row>
    <row r="189" spans="1:12" x14ac:dyDescent="0.75">
      <c r="A189" s="14">
        <v>6390</v>
      </c>
      <c r="B189" s="13" t="s">
        <v>368</v>
      </c>
      <c r="C189" s="3"/>
      <c r="D189" s="47">
        <f t="shared" si="2"/>
        <v>0</v>
      </c>
      <c r="E189" s="47">
        <f t="shared" si="3"/>
        <v>0</v>
      </c>
      <c r="F189" s="47">
        <f t="shared" si="4"/>
        <v>0</v>
      </c>
      <c r="G189" s="47">
        <f t="shared" si="5"/>
        <v>0</v>
      </c>
      <c r="H189" s="47"/>
      <c r="I189" s="3">
        <f>SUMIF('Q1 TB-19'!$A$6:$A$208,'Detail P&amp;L Analytic'!$A189,'Q1 TB-19'!$G$6:$G$208)</f>
        <v>0</v>
      </c>
      <c r="J189" s="3">
        <f>SUMIF('Q2 TB-19'!$A$6:$A$208,'Detail P&amp;L Analytic'!$A189,'Q2 TB-19'!$G$6:$G$208)</f>
        <v>0</v>
      </c>
      <c r="K189" s="3">
        <f>SUMIF('Q3 TB-19'!$A$6:$A$208,'Detail P&amp;L Analytic'!$A189,'Q3 TB-19'!$G$6:$G$208)</f>
        <v>0</v>
      </c>
      <c r="L189" s="3">
        <f>SUMIF('Q4 TB-19'!$A$6:$A$208,'Detail P&amp;L Analytic'!$A189,'Q4 TB-19'!$G$6:$G$208)</f>
        <v>0</v>
      </c>
    </row>
    <row r="190" spans="1:12" x14ac:dyDescent="0.75">
      <c r="A190" s="12" t="s">
        <v>166</v>
      </c>
      <c r="B190" s="13" t="s">
        <v>369</v>
      </c>
      <c r="C190" s="3"/>
      <c r="D190" s="47">
        <f t="shared" si="2"/>
        <v>0</v>
      </c>
      <c r="E190" s="47">
        <f t="shared" si="3"/>
        <v>0</v>
      </c>
      <c r="F190" s="47">
        <f t="shared" si="4"/>
        <v>0</v>
      </c>
      <c r="G190" s="47">
        <f t="shared" si="5"/>
        <v>0</v>
      </c>
      <c r="H190" s="47"/>
      <c r="I190" s="3">
        <f>SUMIF('Q1 TB-19'!$A$6:$A$208,'Detail P&amp;L Analytic'!$A190,'Q1 TB-19'!$G$6:$G$208)</f>
        <v>0</v>
      </c>
      <c r="J190" s="3">
        <f>SUMIF('Q2 TB-19'!$A$6:$A$208,'Detail P&amp;L Analytic'!$A190,'Q2 TB-19'!$G$6:$G$208)</f>
        <v>0</v>
      </c>
      <c r="K190" s="3">
        <f>SUMIF('Q3 TB-19'!$A$6:$A$208,'Detail P&amp;L Analytic'!$A190,'Q3 TB-19'!$G$6:$G$208)</f>
        <v>0</v>
      </c>
      <c r="L190" s="3">
        <f>SUMIF('Q4 TB-19'!$A$6:$A$208,'Detail P&amp;L Analytic'!$A190,'Q4 TB-19'!$G$6:$G$208)</f>
        <v>0</v>
      </c>
    </row>
    <row r="191" spans="1:12" x14ac:dyDescent="0.75">
      <c r="A191" s="14">
        <v>6412</v>
      </c>
      <c r="B191" s="13" t="s">
        <v>370</v>
      </c>
      <c r="C191" s="3"/>
      <c r="D191" s="47">
        <f t="shared" si="2"/>
        <v>0</v>
      </c>
      <c r="E191" s="47">
        <f t="shared" si="3"/>
        <v>0</v>
      </c>
      <c r="F191" s="47">
        <f t="shared" si="4"/>
        <v>0</v>
      </c>
      <c r="G191" s="47">
        <f t="shared" si="5"/>
        <v>0</v>
      </c>
      <c r="H191" s="47"/>
      <c r="I191" s="3">
        <f>SUMIF('Q1 TB-19'!$A$6:$A$208,'Detail P&amp;L Analytic'!$A191,'Q1 TB-19'!$G$6:$G$208)</f>
        <v>0</v>
      </c>
      <c r="J191" s="3">
        <f>SUMIF('Q2 TB-19'!$A$6:$A$208,'Detail P&amp;L Analytic'!$A191,'Q2 TB-19'!$G$6:$G$208)</f>
        <v>0</v>
      </c>
      <c r="K191" s="3">
        <f>SUMIF('Q3 TB-19'!$A$6:$A$208,'Detail P&amp;L Analytic'!$A191,'Q3 TB-19'!$G$6:$G$208)</f>
        <v>0</v>
      </c>
      <c r="L191" s="3">
        <f>SUMIF('Q4 TB-19'!$A$6:$A$208,'Detail P&amp;L Analytic'!$A191,'Q4 TB-19'!$G$6:$G$208)</f>
        <v>0</v>
      </c>
    </row>
    <row r="192" spans="1:12" x14ac:dyDescent="0.75">
      <c r="A192" s="14">
        <v>6420</v>
      </c>
      <c r="B192" s="13" t="s">
        <v>371</v>
      </c>
      <c r="C192" s="3"/>
      <c r="D192" s="47">
        <f t="shared" si="2"/>
        <v>0</v>
      </c>
      <c r="E192" s="47">
        <f t="shared" si="3"/>
        <v>0</v>
      </c>
      <c r="F192" s="47">
        <f t="shared" si="4"/>
        <v>0</v>
      </c>
      <c r="G192" s="47">
        <f t="shared" si="5"/>
        <v>0</v>
      </c>
      <c r="H192" s="47"/>
      <c r="I192" s="3">
        <f>SUMIF('Q1 TB-19'!$A$6:$A$208,'Detail P&amp;L Analytic'!$A192,'Q1 TB-19'!$G$6:$G$208)</f>
        <v>0</v>
      </c>
      <c r="J192" s="3">
        <f>SUMIF('Q2 TB-19'!$A$6:$A$208,'Detail P&amp;L Analytic'!$A192,'Q2 TB-19'!$G$6:$G$208)</f>
        <v>0</v>
      </c>
      <c r="K192" s="3">
        <f>SUMIF('Q3 TB-19'!$A$6:$A$208,'Detail P&amp;L Analytic'!$A192,'Q3 TB-19'!$G$6:$G$208)</f>
        <v>0</v>
      </c>
      <c r="L192" s="3">
        <f>SUMIF('Q4 TB-19'!$A$6:$A$208,'Detail P&amp;L Analytic'!$A192,'Q4 TB-19'!$G$6:$G$208)</f>
        <v>0</v>
      </c>
    </row>
    <row r="193" spans="1:12" x14ac:dyDescent="0.75">
      <c r="A193" s="14">
        <v>6422</v>
      </c>
      <c r="B193" s="13" t="s">
        <v>372</v>
      </c>
      <c r="C193" s="3"/>
      <c r="D193" s="47">
        <f t="shared" si="2"/>
        <v>0</v>
      </c>
      <c r="E193" s="47">
        <f t="shared" si="3"/>
        <v>0</v>
      </c>
      <c r="F193" s="47">
        <f t="shared" si="4"/>
        <v>0</v>
      </c>
      <c r="G193" s="47">
        <f t="shared" si="5"/>
        <v>0</v>
      </c>
      <c r="H193" s="47"/>
      <c r="I193" s="3">
        <f>SUMIF('Q1 TB-19'!$A$6:$A$208,'Detail P&amp;L Analytic'!$A193,'Q1 TB-19'!$G$6:$G$208)</f>
        <v>0</v>
      </c>
      <c r="J193" s="3">
        <f>SUMIF('Q2 TB-19'!$A$6:$A$208,'Detail P&amp;L Analytic'!$A193,'Q2 TB-19'!$G$6:$G$208)</f>
        <v>0</v>
      </c>
      <c r="K193" s="3">
        <f>SUMIF('Q3 TB-19'!$A$6:$A$208,'Detail P&amp;L Analytic'!$A193,'Q3 TB-19'!$G$6:$G$208)</f>
        <v>0</v>
      </c>
      <c r="L193" s="3">
        <f>SUMIF('Q4 TB-19'!$A$6:$A$208,'Detail P&amp;L Analytic'!$A193,'Q4 TB-19'!$G$6:$G$208)</f>
        <v>0</v>
      </c>
    </row>
    <row r="194" spans="1:12" x14ac:dyDescent="0.75">
      <c r="A194" s="14">
        <v>6424</v>
      </c>
      <c r="B194" s="13" t="s">
        <v>373</v>
      </c>
      <c r="C194" s="3"/>
      <c r="D194" s="47">
        <f t="shared" si="2"/>
        <v>0</v>
      </c>
      <c r="E194" s="47">
        <f t="shared" si="3"/>
        <v>0</v>
      </c>
      <c r="F194" s="47">
        <f t="shared" si="4"/>
        <v>0</v>
      </c>
      <c r="G194" s="47">
        <f t="shared" si="5"/>
        <v>0</v>
      </c>
      <c r="H194" s="47"/>
      <c r="I194" s="3">
        <f>SUMIF('Q1 TB-19'!$A$6:$A$208,'Detail P&amp;L Analytic'!$A194,'Q1 TB-19'!$G$6:$G$208)</f>
        <v>0</v>
      </c>
      <c r="J194" s="3">
        <f>SUMIF('Q2 TB-19'!$A$6:$A$208,'Detail P&amp;L Analytic'!$A194,'Q2 TB-19'!$G$6:$G$208)</f>
        <v>0</v>
      </c>
      <c r="K194" s="3">
        <f>SUMIF('Q3 TB-19'!$A$6:$A$208,'Detail P&amp;L Analytic'!$A194,'Q3 TB-19'!$G$6:$G$208)</f>
        <v>0</v>
      </c>
      <c r="L194" s="3">
        <f>SUMIF('Q4 TB-19'!$A$6:$A$208,'Detail P&amp;L Analytic'!$A194,'Q4 TB-19'!$G$6:$G$208)</f>
        <v>0</v>
      </c>
    </row>
    <row r="195" spans="1:12" x14ac:dyDescent="0.75">
      <c r="A195" s="12" t="s">
        <v>167</v>
      </c>
      <c r="B195" s="13" t="s">
        <v>374</v>
      </c>
      <c r="C195" s="3"/>
      <c r="D195" s="47">
        <f t="shared" si="2"/>
        <v>0</v>
      </c>
      <c r="E195" s="47">
        <f t="shared" si="3"/>
        <v>0</v>
      </c>
      <c r="F195" s="47">
        <f t="shared" si="4"/>
        <v>0</v>
      </c>
      <c r="G195" s="47">
        <f t="shared" si="5"/>
        <v>0</v>
      </c>
      <c r="H195" s="47"/>
      <c r="I195" s="3">
        <f>SUMIF('Q1 TB-19'!$A$6:$A$208,'Detail P&amp;L Analytic'!$A195,'Q1 TB-19'!$G$6:$G$208)</f>
        <v>0</v>
      </c>
      <c r="J195" s="3">
        <f>SUMIF('Q2 TB-19'!$A$6:$A$208,'Detail P&amp;L Analytic'!$A195,'Q2 TB-19'!$G$6:$G$208)</f>
        <v>0</v>
      </c>
      <c r="K195" s="3">
        <f>SUMIF('Q3 TB-19'!$A$6:$A$208,'Detail P&amp;L Analytic'!$A195,'Q3 TB-19'!$G$6:$G$208)</f>
        <v>0</v>
      </c>
      <c r="L195" s="3">
        <f>SUMIF('Q4 TB-19'!$A$6:$A$208,'Detail P&amp;L Analytic'!$A195,'Q4 TB-19'!$G$6:$G$208)</f>
        <v>0</v>
      </c>
    </row>
    <row r="196" spans="1:12" x14ac:dyDescent="0.75">
      <c r="A196" s="14">
        <v>7100</v>
      </c>
      <c r="B196" s="13" t="s">
        <v>375</v>
      </c>
      <c r="C196" s="5"/>
      <c r="D196" s="47">
        <f t="shared" ref="D196:D198" si="6">I196</f>
        <v>0</v>
      </c>
      <c r="E196" s="47">
        <f t="shared" ref="E196:E198" si="7">J196-I196</f>
        <v>0</v>
      </c>
      <c r="F196" s="47">
        <f t="shared" ref="F196:F198" si="8">K196-J196</f>
        <v>0</v>
      </c>
      <c r="G196" s="47">
        <f t="shared" ref="G196:G198" si="9">L196-K196</f>
        <v>0</v>
      </c>
      <c r="H196" s="48"/>
      <c r="I196" s="3">
        <f>SUMIF('Q1 TB-19'!$A$6:$A$208,'Detail P&amp;L Analytic'!$A196,'Q1 TB-19'!$G$6:$G$208)</f>
        <v>0</v>
      </c>
      <c r="J196" s="3">
        <f>SUMIF('Q2 TB-19'!$A$6:$A$208,'Detail P&amp;L Analytic'!$A196,'Q2 TB-19'!$G$6:$G$208)</f>
        <v>0</v>
      </c>
      <c r="K196" s="3">
        <f>SUMIF('Q3 TB-19'!$A$6:$A$208,'Detail P&amp;L Analytic'!$A196,'Q3 TB-19'!$G$6:$G$208)</f>
        <v>0</v>
      </c>
      <c r="L196" s="3">
        <f>SUMIF('Q4 TB-19'!$A$6:$A$208,'Detail P&amp;L Analytic'!$A196,'Q4 TB-19'!$G$6:$G$208)</f>
        <v>0</v>
      </c>
    </row>
    <row r="197" spans="1:12" x14ac:dyDescent="0.75">
      <c r="A197" s="12" t="s">
        <v>168</v>
      </c>
      <c r="B197" s="13" t="s">
        <v>376</v>
      </c>
      <c r="C197" s="5"/>
      <c r="D197" s="47">
        <f t="shared" si="6"/>
        <v>0</v>
      </c>
      <c r="E197" s="47">
        <f t="shared" si="7"/>
        <v>0</v>
      </c>
      <c r="F197" s="47">
        <f t="shared" si="8"/>
        <v>0</v>
      </c>
      <c r="G197" s="47">
        <f t="shared" si="9"/>
        <v>0</v>
      </c>
      <c r="H197" s="48"/>
      <c r="I197" s="3">
        <f>SUMIF('Q1 TB-19'!$A$6:$A$208,'Detail P&amp;L Analytic'!$A197,'Q1 TB-19'!$G$6:$G$208)</f>
        <v>0</v>
      </c>
      <c r="J197" s="3">
        <f>SUMIF('Q2 TB-19'!$A$6:$A$208,'Detail P&amp;L Analytic'!$A197,'Q2 TB-19'!$G$6:$G$208)</f>
        <v>0</v>
      </c>
      <c r="K197" s="3">
        <f>SUMIF('Q3 TB-19'!$A$6:$A$208,'Detail P&amp;L Analytic'!$A197,'Q3 TB-19'!$G$6:$G$208)</f>
        <v>0</v>
      </c>
      <c r="L197" s="3">
        <f>SUMIF('Q4 TB-19'!$A$6:$A$208,'Detail P&amp;L Analytic'!$A197,'Q4 TB-19'!$G$6:$G$208)</f>
        <v>0</v>
      </c>
    </row>
    <row r="198" spans="1:12" x14ac:dyDescent="0.75">
      <c r="A198" s="12" t="s">
        <v>169</v>
      </c>
      <c r="B198" s="13" t="s">
        <v>377</v>
      </c>
      <c r="C198" s="5"/>
      <c r="D198" s="47">
        <f t="shared" si="6"/>
        <v>0</v>
      </c>
      <c r="E198" s="47">
        <f t="shared" si="7"/>
        <v>0</v>
      </c>
      <c r="F198" s="47">
        <f t="shared" si="8"/>
        <v>0</v>
      </c>
      <c r="G198" s="47">
        <f t="shared" si="9"/>
        <v>0</v>
      </c>
      <c r="H198" s="48"/>
      <c r="I198" s="3">
        <f>SUMIF('Q1 TB-19'!$A$6:$A$208,'Detail P&amp;L Analytic'!$A198,'Q1 TB-19'!$G$6:$G$208)</f>
        <v>0</v>
      </c>
      <c r="J198" s="3">
        <f>SUMIF('Q2 TB-19'!$A$6:$A$208,'Detail P&amp;L Analytic'!$A198,'Q2 TB-19'!$G$6:$G$208)</f>
        <v>0</v>
      </c>
      <c r="K198" s="3">
        <f>SUMIF('Q3 TB-19'!$A$6:$A$208,'Detail P&amp;L Analytic'!$A198,'Q3 TB-19'!$G$6:$G$208)</f>
        <v>0</v>
      </c>
      <c r="L198" s="3">
        <f>SUMIF('Q4 TB-19'!$A$6:$A$208,'Detail P&amp;L Analytic'!$A198,'Q4 TB-19'!$G$6:$G$208)</f>
        <v>0</v>
      </c>
    </row>
    <row r="199" spans="1:12" x14ac:dyDescent="0.75">
      <c r="A199" s="12"/>
      <c r="B199" s="13"/>
      <c r="C199" s="16"/>
      <c r="D199" s="49"/>
      <c r="E199" s="49"/>
      <c r="F199" s="49"/>
      <c r="G199" s="49"/>
      <c r="H199" s="49"/>
      <c r="I199" s="16">
        <f>SUM(I3:I198)</f>
        <v>1386284.6299999987</v>
      </c>
      <c r="J199" s="16">
        <f t="shared" ref="J199:L199" si="10">SUM(J3:J198)</f>
        <v>1187632.429999999</v>
      </c>
      <c r="K199" s="16">
        <f t="shared" si="10"/>
        <v>877239.16999999876</v>
      </c>
      <c r="L199" s="16">
        <f t="shared" si="10"/>
        <v>421931.38999999809</v>
      </c>
    </row>
  </sheetData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27649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9525</xdr:rowOff>
              </from>
              <to>
                <xdr:col>1</xdr:col>
                <xdr:colOff>85725</xdr:colOff>
                <xdr:row>1</xdr:row>
                <xdr:rowOff>50800</xdr:rowOff>
              </to>
            </anchor>
          </controlPr>
        </control>
      </mc:Choice>
      <mc:Fallback>
        <control shapeId="27649" r:id="rId4" name="FILTER"/>
      </mc:Fallback>
    </mc:AlternateContent>
    <mc:AlternateContent xmlns:mc="http://schemas.openxmlformats.org/markup-compatibility/2006">
      <mc:Choice Requires="x14">
        <control shapeId="27650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9525</xdr:rowOff>
              </from>
              <to>
                <xdr:col>1</xdr:col>
                <xdr:colOff>85725</xdr:colOff>
                <xdr:row>1</xdr:row>
                <xdr:rowOff>50800</xdr:rowOff>
              </to>
            </anchor>
          </controlPr>
        </control>
      </mc:Choice>
      <mc:Fallback>
        <control shapeId="27650" r:id="rId6" name="HEADER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DF67-CC5F-40C2-8BBB-02CEBD1A5869}">
  <dimension ref="A2:F392"/>
  <sheetViews>
    <sheetView workbookViewId="0"/>
  </sheetViews>
  <sheetFormatPr defaultRowHeight="14.75" x14ac:dyDescent="0.75"/>
  <cols>
    <col min="1" max="1" width="31.7265625" customWidth="1"/>
    <col min="2" max="2" width="2.1328125" customWidth="1"/>
    <col min="3" max="6" width="18.86328125" style="33" customWidth="1"/>
  </cols>
  <sheetData>
    <row r="2" spans="1:6" x14ac:dyDescent="0.75">
      <c r="C2" s="36" t="s">
        <v>418</v>
      </c>
      <c r="D2" s="36" t="s">
        <v>418</v>
      </c>
    </row>
    <row r="3" spans="1:6" x14ac:dyDescent="0.75">
      <c r="A3" s="35"/>
      <c r="C3" s="36" t="s">
        <v>419</v>
      </c>
      <c r="D3" s="36" t="s">
        <v>419</v>
      </c>
      <c r="E3" s="37" t="s">
        <v>422</v>
      </c>
      <c r="F3" s="37" t="s">
        <v>424</v>
      </c>
    </row>
    <row r="4" spans="1:6" x14ac:dyDescent="0.75">
      <c r="A4" s="35" t="s">
        <v>417</v>
      </c>
      <c r="C4" s="36" t="s">
        <v>421</v>
      </c>
      <c r="D4" s="36" t="s">
        <v>420</v>
      </c>
      <c r="E4" s="37" t="s">
        <v>423</v>
      </c>
      <c r="F4" s="37" t="s">
        <v>423</v>
      </c>
    </row>
    <row r="6" spans="1:6" x14ac:dyDescent="0.75">
      <c r="A6" s="43">
        <v>42308</v>
      </c>
      <c r="D6" s="33">
        <v>20371822</v>
      </c>
    </row>
    <row r="7" spans="1:6" x14ac:dyDescent="0.75">
      <c r="A7" s="34">
        <f>A6+1</f>
        <v>42309</v>
      </c>
      <c r="D7" s="33">
        <f>D6+C7</f>
        <v>20371822</v>
      </c>
    </row>
    <row r="8" spans="1:6" x14ac:dyDescent="0.75">
      <c r="A8" s="34">
        <f t="shared" ref="A8:A71" si="0">A7+1</f>
        <v>42310</v>
      </c>
      <c r="D8" s="33">
        <f t="shared" ref="D8:D71" si="1">D7+C8</f>
        <v>20371822</v>
      </c>
    </row>
    <row r="9" spans="1:6" x14ac:dyDescent="0.75">
      <c r="A9" s="34">
        <f t="shared" si="0"/>
        <v>42311</v>
      </c>
      <c r="D9" s="33">
        <f t="shared" si="1"/>
        <v>20371822</v>
      </c>
    </row>
    <row r="10" spans="1:6" x14ac:dyDescent="0.75">
      <c r="A10" s="34">
        <f t="shared" si="0"/>
        <v>42312</v>
      </c>
      <c r="D10" s="33">
        <f t="shared" si="1"/>
        <v>20371822</v>
      </c>
    </row>
    <row r="11" spans="1:6" x14ac:dyDescent="0.75">
      <c r="A11" s="34">
        <f t="shared" si="0"/>
        <v>42313</v>
      </c>
      <c r="D11" s="33">
        <f t="shared" si="1"/>
        <v>20371822</v>
      </c>
    </row>
    <row r="12" spans="1:6" x14ac:dyDescent="0.75">
      <c r="A12" s="34">
        <f t="shared" si="0"/>
        <v>42314</v>
      </c>
      <c r="D12" s="33">
        <f t="shared" si="1"/>
        <v>20371822</v>
      </c>
    </row>
    <row r="13" spans="1:6" x14ac:dyDescent="0.75">
      <c r="A13" s="34">
        <f t="shared" si="0"/>
        <v>42315</v>
      </c>
      <c r="D13" s="33">
        <f t="shared" si="1"/>
        <v>20371822</v>
      </c>
    </row>
    <row r="14" spans="1:6" x14ac:dyDescent="0.75">
      <c r="A14" s="34">
        <f t="shared" si="0"/>
        <v>42316</v>
      </c>
      <c r="D14" s="33">
        <f t="shared" si="1"/>
        <v>20371822</v>
      </c>
    </row>
    <row r="15" spans="1:6" x14ac:dyDescent="0.75">
      <c r="A15" s="34">
        <f t="shared" si="0"/>
        <v>42317</v>
      </c>
      <c r="D15" s="33">
        <f t="shared" si="1"/>
        <v>20371822</v>
      </c>
    </row>
    <row r="16" spans="1:6" x14ac:dyDescent="0.75">
      <c r="A16" s="34">
        <f t="shared" si="0"/>
        <v>42318</v>
      </c>
      <c r="D16" s="33">
        <f t="shared" si="1"/>
        <v>20371822</v>
      </c>
    </row>
    <row r="17" spans="1:4" x14ac:dyDescent="0.75">
      <c r="A17" s="34">
        <f t="shared" si="0"/>
        <v>42319</v>
      </c>
      <c r="D17" s="33">
        <f t="shared" si="1"/>
        <v>20371822</v>
      </c>
    </row>
    <row r="18" spans="1:4" x14ac:dyDescent="0.75">
      <c r="A18" s="34">
        <f t="shared" si="0"/>
        <v>42320</v>
      </c>
      <c r="D18" s="33">
        <f t="shared" si="1"/>
        <v>20371822</v>
      </c>
    </row>
    <row r="19" spans="1:4" x14ac:dyDescent="0.75">
      <c r="A19" s="34">
        <f t="shared" si="0"/>
        <v>42321</v>
      </c>
      <c r="D19" s="33">
        <f t="shared" si="1"/>
        <v>20371822</v>
      </c>
    </row>
    <row r="20" spans="1:4" x14ac:dyDescent="0.75">
      <c r="A20" s="34">
        <f t="shared" si="0"/>
        <v>42322</v>
      </c>
      <c r="D20" s="33">
        <f t="shared" si="1"/>
        <v>20371822</v>
      </c>
    </row>
    <row r="21" spans="1:4" x14ac:dyDescent="0.75">
      <c r="A21" s="34">
        <f t="shared" si="0"/>
        <v>42323</v>
      </c>
      <c r="D21" s="33">
        <f t="shared" si="1"/>
        <v>20371822</v>
      </c>
    </row>
    <row r="22" spans="1:4" x14ac:dyDescent="0.75">
      <c r="A22" s="34">
        <f t="shared" si="0"/>
        <v>42324</v>
      </c>
      <c r="D22" s="33">
        <f t="shared" si="1"/>
        <v>20371822</v>
      </c>
    </row>
    <row r="23" spans="1:4" x14ac:dyDescent="0.75">
      <c r="A23" s="34">
        <f t="shared" si="0"/>
        <v>42325</v>
      </c>
      <c r="D23" s="33">
        <f t="shared" si="1"/>
        <v>20371822</v>
      </c>
    </row>
    <row r="24" spans="1:4" x14ac:dyDescent="0.75">
      <c r="A24" s="34">
        <f t="shared" si="0"/>
        <v>42326</v>
      </c>
      <c r="D24" s="33">
        <f t="shared" si="1"/>
        <v>20371822</v>
      </c>
    </row>
    <row r="25" spans="1:4" x14ac:dyDescent="0.75">
      <c r="A25" s="34">
        <f t="shared" si="0"/>
        <v>42327</v>
      </c>
      <c r="D25" s="33">
        <f t="shared" si="1"/>
        <v>20371822</v>
      </c>
    </row>
    <row r="26" spans="1:4" x14ac:dyDescent="0.75">
      <c r="A26" s="34">
        <f t="shared" si="0"/>
        <v>42328</v>
      </c>
      <c r="D26" s="33">
        <f t="shared" si="1"/>
        <v>20371822</v>
      </c>
    </row>
    <row r="27" spans="1:4" x14ac:dyDescent="0.75">
      <c r="A27" s="34">
        <f t="shared" si="0"/>
        <v>42329</v>
      </c>
      <c r="D27" s="33">
        <f t="shared" si="1"/>
        <v>20371822</v>
      </c>
    </row>
    <row r="28" spans="1:4" x14ac:dyDescent="0.75">
      <c r="A28" s="34">
        <f t="shared" si="0"/>
        <v>42330</v>
      </c>
      <c r="D28" s="33">
        <f t="shared" si="1"/>
        <v>20371822</v>
      </c>
    </row>
    <row r="29" spans="1:4" x14ac:dyDescent="0.75">
      <c r="A29" s="34">
        <f t="shared" si="0"/>
        <v>42331</v>
      </c>
      <c r="D29" s="33">
        <f t="shared" si="1"/>
        <v>20371822</v>
      </c>
    </row>
    <row r="30" spans="1:4" x14ac:dyDescent="0.75">
      <c r="A30" s="34">
        <f t="shared" si="0"/>
        <v>42332</v>
      </c>
      <c r="D30" s="33">
        <f t="shared" si="1"/>
        <v>20371822</v>
      </c>
    </row>
    <row r="31" spans="1:4" x14ac:dyDescent="0.75">
      <c r="A31" s="34">
        <f t="shared" si="0"/>
        <v>42333</v>
      </c>
      <c r="D31" s="33">
        <f t="shared" si="1"/>
        <v>20371822</v>
      </c>
    </row>
    <row r="32" spans="1:4" x14ac:dyDescent="0.75">
      <c r="A32" s="34">
        <f t="shared" si="0"/>
        <v>42334</v>
      </c>
      <c r="D32" s="33">
        <f t="shared" si="1"/>
        <v>20371822</v>
      </c>
    </row>
    <row r="33" spans="1:4" x14ac:dyDescent="0.75">
      <c r="A33" s="34">
        <f t="shared" si="0"/>
        <v>42335</v>
      </c>
      <c r="D33" s="33">
        <f t="shared" si="1"/>
        <v>20371822</v>
      </c>
    </row>
    <row r="34" spans="1:4" x14ac:dyDescent="0.75">
      <c r="A34" s="34">
        <f t="shared" si="0"/>
        <v>42336</v>
      </c>
      <c r="D34" s="33">
        <f t="shared" si="1"/>
        <v>20371822</v>
      </c>
    </row>
    <row r="35" spans="1:4" x14ac:dyDescent="0.75">
      <c r="A35" s="34">
        <f t="shared" si="0"/>
        <v>42337</v>
      </c>
      <c r="D35" s="33">
        <f t="shared" si="1"/>
        <v>20371822</v>
      </c>
    </row>
    <row r="36" spans="1:4" x14ac:dyDescent="0.75">
      <c r="A36" s="34">
        <f t="shared" si="0"/>
        <v>42338</v>
      </c>
      <c r="D36" s="33">
        <f t="shared" si="1"/>
        <v>20371822</v>
      </c>
    </row>
    <row r="37" spans="1:4" x14ac:dyDescent="0.75">
      <c r="A37" s="34">
        <f t="shared" si="0"/>
        <v>42339</v>
      </c>
      <c r="D37" s="33">
        <f t="shared" si="1"/>
        <v>20371822</v>
      </c>
    </row>
    <row r="38" spans="1:4" x14ac:dyDescent="0.75">
      <c r="A38" s="34">
        <f t="shared" si="0"/>
        <v>42340</v>
      </c>
      <c r="D38" s="33">
        <f t="shared" si="1"/>
        <v>20371822</v>
      </c>
    </row>
    <row r="39" spans="1:4" x14ac:dyDescent="0.75">
      <c r="A39" s="34">
        <f t="shared" si="0"/>
        <v>42341</v>
      </c>
      <c r="D39" s="33">
        <f t="shared" si="1"/>
        <v>20371822</v>
      </c>
    </row>
    <row r="40" spans="1:4" x14ac:dyDescent="0.75">
      <c r="A40" s="34">
        <f t="shared" si="0"/>
        <v>42342</v>
      </c>
      <c r="D40" s="33">
        <f t="shared" si="1"/>
        <v>20371822</v>
      </c>
    </row>
    <row r="41" spans="1:4" x14ac:dyDescent="0.75">
      <c r="A41" s="34">
        <f t="shared" si="0"/>
        <v>42343</v>
      </c>
      <c r="D41" s="33">
        <f t="shared" si="1"/>
        <v>20371822</v>
      </c>
    </row>
    <row r="42" spans="1:4" x14ac:dyDescent="0.75">
      <c r="A42" s="34">
        <f t="shared" si="0"/>
        <v>42344</v>
      </c>
      <c r="D42" s="33">
        <f t="shared" si="1"/>
        <v>20371822</v>
      </c>
    </row>
    <row r="43" spans="1:4" x14ac:dyDescent="0.75">
      <c r="A43" s="34">
        <f t="shared" si="0"/>
        <v>42345</v>
      </c>
      <c r="D43" s="33">
        <f t="shared" si="1"/>
        <v>20371822</v>
      </c>
    </row>
    <row r="44" spans="1:4" x14ac:dyDescent="0.75">
      <c r="A44" s="34">
        <f t="shared" si="0"/>
        <v>42346</v>
      </c>
      <c r="D44" s="33">
        <f t="shared" si="1"/>
        <v>20371822</v>
      </c>
    </row>
    <row r="45" spans="1:4" x14ac:dyDescent="0.75">
      <c r="A45" s="34">
        <f t="shared" si="0"/>
        <v>42347</v>
      </c>
      <c r="D45" s="33">
        <f t="shared" si="1"/>
        <v>20371822</v>
      </c>
    </row>
    <row r="46" spans="1:4" x14ac:dyDescent="0.75">
      <c r="A46" s="34">
        <f t="shared" si="0"/>
        <v>42348</v>
      </c>
      <c r="D46" s="33">
        <f t="shared" si="1"/>
        <v>20371822</v>
      </c>
    </row>
    <row r="47" spans="1:4" x14ac:dyDescent="0.75">
      <c r="A47" s="34">
        <f t="shared" si="0"/>
        <v>42349</v>
      </c>
      <c r="D47" s="33">
        <f t="shared" si="1"/>
        <v>20371822</v>
      </c>
    </row>
    <row r="48" spans="1:4" x14ac:dyDescent="0.75">
      <c r="A48" s="34">
        <f t="shared" si="0"/>
        <v>42350</v>
      </c>
      <c r="D48" s="33">
        <f t="shared" si="1"/>
        <v>20371822</v>
      </c>
    </row>
    <row r="49" spans="1:4" x14ac:dyDescent="0.75">
      <c r="A49" s="34">
        <f t="shared" si="0"/>
        <v>42351</v>
      </c>
      <c r="D49" s="33">
        <f t="shared" si="1"/>
        <v>20371822</v>
      </c>
    </row>
    <row r="50" spans="1:4" x14ac:dyDescent="0.75">
      <c r="A50" s="34">
        <f t="shared" si="0"/>
        <v>42352</v>
      </c>
      <c r="D50" s="33">
        <f t="shared" si="1"/>
        <v>20371822</v>
      </c>
    </row>
    <row r="51" spans="1:4" x14ac:dyDescent="0.75">
      <c r="A51" s="34">
        <f t="shared" si="0"/>
        <v>42353</v>
      </c>
      <c r="D51" s="33">
        <f t="shared" si="1"/>
        <v>20371822</v>
      </c>
    </row>
    <row r="52" spans="1:4" x14ac:dyDescent="0.75">
      <c r="A52" s="34">
        <f t="shared" si="0"/>
        <v>42354</v>
      </c>
      <c r="D52" s="33">
        <f t="shared" si="1"/>
        <v>20371822</v>
      </c>
    </row>
    <row r="53" spans="1:4" x14ac:dyDescent="0.75">
      <c r="A53" s="34">
        <f t="shared" si="0"/>
        <v>42355</v>
      </c>
      <c r="D53" s="33">
        <f t="shared" si="1"/>
        <v>20371822</v>
      </c>
    </row>
    <row r="54" spans="1:4" x14ac:dyDescent="0.75">
      <c r="A54" s="34">
        <f t="shared" si="0"/>
        <v>42356</v>
      </c>
      <c r="D54" s="33">
        <f t="shared" si="1"/>
        <v>20371822</v>
      </c>
    </row>
    <row r="55" spans="1:4" x14ac:dyDescent="0.75">
      <c r="A55" s="34">
        <f t="shared" si="0"/>
        <v>42357</v>
      </c>
      <c r="D55" s="33">
        <f t="shared" si="1"/>
        <v>20371822</v>
      </c>
    </row>
    <row r="56" spans="1:4" x14ac:dyDescent="0.75">
      <c r="A56" s="34">
        <f t="shared" si="0"/>
        <v>42358</v>
      </c>
      <c r="D56" s="33">
        <f t="shared" si="1"/>
        <v>20371822</v>
      </c>
    </row>
    <row r="57" spans="1:4" x14ac:dyDescent="0.75">
      <c r="A57" s="34">
        <f t="shared" si="0"/>
        <v>42359</v>
      </c>
      <c r="D57" s="33">
        <f t="shared" si="1"/>
        <v>20371822</v>
      </c>
    </row>
    <row r="58" spans="1:4" x14ac:dyDescent="0.75">
      <c r="A58" s="34">
        <f t="shared" si="0"/>
        <v>42360</v>
      </c>
      <c r="D58" s="33">
        <f t="shared" si="1"/>
        <v>20371822</v>
      </c>
    </row>
    <row r="59" spans="1:4" x14ac:dyDescent="0.75">
      <c r="A59" s="34">
        <f t="shared" si="0"/>
        <v>42361</v>
      </c>
      <c r="D59" s="33">
        <f t="shared" si="1"/>
        <v>20371822</v>
      </c>
    </row>
    <row r="60" spans="1:4" x14ac:dyDescent="0.75">
      <c r="A60" s="34">
        <f t="shared" si="0"/>
        <v>42362</v>
      </c>
      <c r="D60" s="33">
        <f t="shared" si="1"/>
        <v>20371822</v>
      </c>
    </row>
    <row r="61" spans="1:4" x14ac:dyDescent="0.75">
      <c r="A61" s="34">
        <f t="shared" si="0"/>
        <v>42363</v>
      </c>
      <c r="D61" s="33">
        <f t="shared" si="1"/>
        <v>20371822</v>
      </c>
    </row>
    <row r="62" spans="1:4" x14ac:dyDescent="0.75">
      <c r="A62" s="34">
        <f t="shared" si="0"/>
        <v>42364</v>
      </c>
      <c r="D62" s="33">
        <f t="shared" si="1"/>
        <v>20371822</v>
      </c>
    </row>
    <row r="63" spans="1:4" x14ac:dyDescent="0.75">
      <c r="A63" s="34">
        <f t="shared" si="0"/>
        <v>42365</v>
      </c>
      <c r="D63" s="33">
        <f t="shared" si="1"/>
        <v>20371822</v>
      </c>
    </row>
    <row r="64" spans="1:4" x14ac:dyDescent="0.75">
      <c r="A64" s="34">
        <f t="shared" si="0"/>
        <v>42366</v>
      </c>
      <c r="D64" s="33">
        <f t="shared" si="1"/>
        <v>20371822</v>
      </c>
    </row>
    <row r="65" spans="1:4" x14ac:dyDescent="0.75">
      <c r="A65" s="34">
        <f t="shared" si="0"/>
        <v>42367</v>
      </c>
      <c r="D65" s="33">
        <f t="shared" si="1"/>
        <v>20371822</v>
      </c>
    </row>
    <row r="66" spans="1:4" x14ac:dyDescent="0.75">
      <c r="A66" s="34">
        <f t="shared" si="0"/>
        <v>42368</v>
      </c>
      <c r="D66" s="33">
        <f t="shared" si="1"/>
        <v>20371822</v>
      </c>
    </row>
    <row r="67" spans="1:4" x14ac:dyDescent="0.75">
      <c r="A67" s="34">
        <f t="shared" si="0"/>
        <v>42369</v>
      </c>
      <c r="D67" s="33">
        <f t="shared" si="1"/>
        <v>20371822</v>
      </c>
    </row>
    <row r="68" spans="1:4" x14ac:dyDescent="0.75">
      <c r="A68" s="34">
        <f t="shared" si="0"/>
        <v>42370</v>
      </c>
      <c r="D68" s="33">
        <f t="shared" si="1"/>
        <v>20371822</v>
      </c>
    </row>
    <row r="69" spans="1:4" x14ac:dyDescent="0.75">
      <c r="A69" s="34">
        <f t="shared" si="0"/>
        <v>42371</v>
      </c>
      <c r="D69" s="33">
        <f t="shared" si="1"/>
        <v>20371822</v>
      </c>
    </row>
    <row r="70" spans="1:4" x14ac:dyDescent="0.75">
      <c r="A70" s="34">
        <f t="shared" si="0"/>
        <v>42372</v>
      </c>
      <c r="D70" s="33">
        <f t="shared" si="1"/>
        <v>20371822</v>
      </c>
    </row>
    <row r="71" spans="1:4" x14ac:dyDescent="0.75">
      <c r="A71" s="34">
        <f t="shared" si="0"/>
        <v>42373</v>
      </c>
      <c r="D71" s="33">
        <f t="shared" si="1"/>
        <v>20371822</v>
      </c>
    </row>
    <row r="72" spans="1:4" x14ac:dyDescent="0.75">
      <c r="A72" s="34">
        <f t="shared" ref="A72:A135" si="2">A71+1</f>
        <v>42374</v>
      </c>
      <c r="D72" s="33">
        <f t="shared" ref="D72:D135" si="3">D71+C72</f>
        <v>20371822</v>
      </c>
    </row>
    <row r="73" spans="1:4" x14ac:dyDescent="0.75">
      <c r="A73" s="34">
        <f t="shared" si="2"/>
        <v>42375</v>
      </c>
      <c r="D73" s="33">
        <f t="shared" si="3"/>
        <v>20371822</v>
      </c>
    </row>
    <row r="74" spans="1:4" x14ac:dyDescent="0.75">
      <c r="A74" s="34">
        <f t="shared" si="2"/>
        <v>42376</v>
      </c>
      <c r="D74" s="33">
        <f t="shared" si="3"/>
        <v>20371822</v>
      </c>
    </row>
    <row r="75" spans="1:4" x14ac:dyDescent="0.75">
      <c r="A75" s="34">
        <f t="shared" si="2"/>
        <v>42377</v>
      </c>
      <c r="D75" s="33">
        <f t="shared" si="3"/>
        <v>20371822</v>
      </c>
    </row>
    <row r="76" spans="1:4" x14ac:dyDescent="0.75">
      <c r="A76" s="34">
        <f t="shared" si="2"/>
        <v>42378</v>
      </c>
      <c r="D76" s="33">
        <f t="shared" si="3"/>
        <v>20371822</v>
      </c>
    </row>
    <row r="77" spans="1:4" x14ac:dyDescent="0.75">
      <c r="A77" s="34">
        <f t="shared" si="2"/>
        <v>42379</v>
      </c>
      <c r="D77" s="33">
        <f t="shared" si="3"/>
        <v>20371822</v>
      </c>
    </row>
    <row r="78" spans="1:4" x14ac:dyDescent="0.75">
      <c r="A78" s="34">
        <f t="shared" si="2"/>
        <v>42380</v>
      </c>
      <c r="D78" s="33">
        <f t="shared" si="3"/>
        <v>20371822</v>
      </c>
    </row>
    <row r="79" spans="1:4" x14ac:dyDescent="0.75">
      <c r="A79" s="34">
        <f t="shared" si="2"/>
        <v>42381</v>
      </c>
      <c r="D79" s="33">
        <f t="shared" si="3"/>
        <v>20371822</v>
      </c>
    </row>
    <row r="80" spans="1:4" x14ac:dyDescent="0.75">
      <c r="A80" s="34">
        <f t="shared" si="2"/>
        <v>42382</v>
      </c>
      <c r="D80" s="33">
        <f t="shared" si="3"/>
        <v>20371822</v>
      </c>
    </row>
    <row r="81" spans="1:4" x14ac:dyDescent="0.75">
      <c r="A81" s="34">
        <f t="shared" si="2"/>
        <v>42383</v>
      </c>
      <c r="D81" s="33">
        <f t="shared" si="3"/>
        <v>20371822</v>
      </c>
    </row>
    <row r="82" spans="1:4" x14ac:dyDescent="0.75">
      <c r="A82" s="34">
        <f t="shared" si="2"/>
        <v>42384</v>
      </c>
      <c r="D82" s="33">
        <f t="shared" si="3"/>
        <v>20371822</v>
      </c>
    </row>
    <row r="83" spans="1:4" x14ac:dyDescent="0.75">
      <c r="A83" s="34">
        <f t="shared" si="2"/>
        <v>42385</v>
      </c>
      <c r="D83" s="33">
        <f t="shared" si="3"/>
        <v>20371822</v>
      </c>
    </row>
    <row r="84" spans="1:4" x14ac:dyDescent="0.75">
      <c r="A84" s="34">
        <f t="shared" si="2"/>
        <v>42386</v>
      </c>
      <c r="D84" s="33">
        <f t="shared" si="3"/>
        <v>20371822</v>
      </c>
    </row>
    <row r="85" spans="1:4" x14ac:dyDescent="0.75">
      <c r="A85" s="34">
        <f t="shared" si="2"/>
        <v>42387</v>
      </c>
      <c r="D85" s="33">
        <f t="shared" si="3"/>
        <v>20371822</v>
      </c>
    </row>
    <row r="86" spans="1:4" x14ac:dyDescent="0.75">
      <c r="A86" s="34">
        <f t="shared" si="2"/>
        <v>42388</v>
      </c>
      <c r="D86" s="33">
        <f t="shared" si="3"/>
        <v>20371822</v>
      </c>
    </row>
    <row r="87" spans="1:4" x14ac:dyDescent="0.75">
      <c r="A87" s="34">
        <f t="shared" si="2"/>
        <v>42389</v>
      </c>
      <c r="D87" s="33">
        <f t="shared" si="3"/>
        <v>20371822</v>
      </c>
    </row>
    <row r="88" spans="1:4" x14ac:dyDescent="0.75">
      <c r="A88" s="34">
        <f t="shared" si="2"/>
        <v>42390</v>
      </c>
      <c r="D88" s="33">
        <f t="shared" si="3"/>
        <v>20371822</v>
      </c>
    </row>
    <row r="89" spans="1:4" x14ac:dyDescent="0.75">
      <c r="A89" s="34">
        <f t="shared" si="2"/>
        <v>42391</v>
      </c>
      <c r="D89" s="33">
        <f t="shared" si="3"/>
        <v>20371822</v>
      </c>
    </row>
    <row r="90" spans="1:4" x14ac:dyDescent="0.75">
      <c r="A90" s="34">
        <f t="shared" si="2"/>
        <v>42392</v>
      </c>
      <c r="D90" s="33">
        <f t="shared" si="3"/>
        <v>20371822</v>
      </c>
    </row>
    <row r="91" spans="1:4" x14ac:dyDescent="0.75">
      <c r="A91" s="34">
        <f t="shared" si="2"/>
        <v>42393</v>
      </c>
      <c r="D91" s="33">
        <f t="shared" si="3"/>
        <v>20371822</v>
      </c>
    </row>
    <row r="92" spans="1:4" x14ac:dyDescent="0.75">
      <c r="A92" s="34">
        <f t="shared" si="2"/>
        <v>42394</v>
      </c>
      <c r="D92" s="33">
        <f t="shared" si="3"/>
        <v>20371822</v>
      </c>
    </row>
    <row r="93" spans="1:4" x14ac:dyDescent="0.75">
      <c r="A93" s="34">
        <f t="shared" si="2"/>
        <v>42395</v>
      </c>
      <c r="D93" s="33">
        <f t="shared" si="3"/>
        <v>20371822</v>
      </c>
    </row>
    <row r="94" spans="1:4" x14ac:dyDescent="0.75">
      <c r="A94" s="34">
        <f t="shared" si="2"/>
        <v>42396</v>
      </c>
      <c r="D94" s="33">
        <f t="shared" si="3"/>
        <v>20371822</v>
      </c>
    </row>
    <row r="95" spans="1:4" x14ac:dyDescent="0.75">
      <c r="A95" s="34">
        <f t="shared" si="2"/>
        <v>42397</v>
      </c>
      <c r="D95" s="33">
        <f t="shared" si="3"/>
        <v>20371822</v>
      </c>
    </row>
    <row r="96" spans="1:4" x14ac:dyDescent="0.75">
      <c r="A96" s="34">
        <f t="shared" si="2"/>
        <v>42398</v>
      </c>
      <c r="D96" s="33">
        <f t="shared" si="3"/>
        <v>20371822</v>
      </c>
    </row>
    <row r="97" spans="1:6" x14ac:dyDescent="0.75">
      <c r="A97" s="34">
        <f t="shared" si="2"/>
        <v>42399</v>
      </c>
      <c r="D97" s="33">
        <f t="shared" si="3"/>
        <v>20371822</v>
      </c>
    </row>
    <row r="98" spans="1:6" x14ac:dyDescent="0.75">
      <c r="A98" s="34">
        <f t="shared" si="2"/>
        <v>42400</v>
      </c>
      <c r="D98" s="33">
        <f t="shared" si="3"/>
        <v>20371822</v>
      </c>
      <c r="E98" s="33">
        <f>AVERAGE(D7:D98)</f>
        <v>20371822</v>
      </c>
      <c r="F98" s="33">
        <f>AVERAGE(D7:D98)</f>
        <v>20371822</v>
      </c>
    </row>
    <row r="99" spans="1:6" x14ac:dyDescent="0.75">
      <c r="A99" s="34">
        <f t="shared" si="2"/>
        <v>42401</v>
      </c>
      <c r="D99" s="33">
        <f t="shared" si="3"/>
        <v>20371822</v>
      </c>
    </row>
    <row r="100" spans="1:6" x14ac:dyDescent="0.75">
      <c r="A100" s="34">
        <f t="shared" si="2"/>
        <v>42402</v>
      </c>
      <c r="D100" s="33">
        <f t="shared" si="3"/>
        <v>20371822</v>
      </c>
    </row>
    <row r="101" spans="1:6" x14ac:dyDescent="0.75">
      <c r="A101" s="34">
        <f t="shared" si="2"/>
        <v>42403</v>
      </c>
      <c r="D101" s="33">
        <f t="shared" si="3"/>
        <v>20371822</v>
      </c>
    </row>
    <row r="102" spans="1:6" x14ac:dyDescent="0.75">
      <c r="A102" s="34">
        <f t="shared" si="2"/>
        <v>42404</v>
      </c>
      <c r="D102" s="33">
        <f t="shared" si="3"/>
        <v>20371822</v>
      </c>
    </row>
    <row r="103" spans="1:6" x14ac:dyDescent="0.75">
      <c r="A103" s="34">
        <f t="shared" si="2"/>
        <v>42405</v>
      </c>
      <c r="D103" s="33">
        <f t="shared" si="3"/>
        <v>20371822</v>
      </c>
    </row>
    <row r="104" spans="1:6" x14ac:dyDescent="0.75">
      <c r="A104" s="34">
        <f t="shared" si="2"/>
        <v>42406</v>
      </c>
      <c r="D104" s="33">
        <f t="shared" si="3"/>
        <v>20371822</v>
      </c>
    </row>
    <row r="105" spans="1:6" x14ac:dyDescent="0.75">
      <c r="A105" s="34">
        <f t="shared" si="2"/>
        <v>42407</v>
      </c>
      <c r="D105" s="33">
        <f t="shared" si="3"/>
        <v>20371822</v>
      </c>
    </row>
    <row r="106" spans="1:6" x14ac:dyDescent="0.75">
      <c r="A106" s="34">
        <f t="shared" si="2"/>
        <v>42408</v>
      </c>
      <c r="D106" s="33">
        <f t="shared" si="3"/>
        <v>20371822</v>
      </c>
    </row>
    <row r="107" spans="1:6" x14ac:dyDescent="0.75">
      <c r="A107" s="34">
        <f t="shared" si="2"/>
        <v>42409</v>
      </c>
      <c r="D107" s="33">
        <f t="shared" si="3"/>
        <v>20371822</v>
      </c>
    </row>
    <row r="108" spans="1:6" x14ac:dyDescent="0.75">
      <c r="A108" s="34">
        <f t="shared" si="2"/>
        <v>42410</v>
      </c>
      <c r="D108" s="33">
        <f t="shared" si="3"/>
        <v>20371822</v>
      </c>
    </row>
    <row r="109" spans="1:6" x14ac:dyDescent="0.75">
      <c r="A109" s="34">
        <f t="shared" si="2"/>
        <v>42411</v>
      </c>
      <c r="D109" s="33">
        <f t="shared" si="3"/>
        <v>20371822</v>
      </c>
    </row>
    <row r="110" spans="1:6" x14ac:dyDescent="0.75">
      <c r="A110" s="34">
        <f t="shared" si="2"/>
        <v>42412</v>
      </c>
      <c r="D110" s="33">
        <f t="shared" si="3"/>
        <v>20371822</v>
      </c>
    </row>
    <row r="111" spans="1:6" x14ac:dyDescent="0.75">
      <c r="A111" s="34">
        <f t="shared" si="2"/>
        <v>42413</v>
      </c>
      <c r="D111" s="33">
        <f t="shared" si="3"/>
        <v>20371822</v>
      </c>
    </row>
    <row r="112" spans="1:6" x14ac:dyDescent="0.75">
      <c r="A112" s="34">
        <f t="shared" si="2"/>
        <v>42414</v>
      </c>
      <c r="D112" s="33">
        <f t="shared" si="3"/>
        <v>20371822</v>
      </c>
    </row>
    <row r="113" spans="1:4" x14ac:dyDescent="0.75">
      <c r="A113" s="34">
        <f t="shared" si="2"/>
        <v>42415</v>
      </c>
      <c r="D113" s="33">
        <f t="shared" si="3"/>
        <v>20371822</v>
      </c>
    </row>
    <row r="114" spans="1:4" x14ac:dyDescent="0.75">
      <c r="A114" s="34">
        <f t="shared" si="2"/>
        <v>42416</v>
      </c>
      <c r="D114" s="33">
        <f t="shared" si="3"/>
        <v>20371822</v>
      </c>
    </row>
    <row r="115" spans="1:4" x14ac:dyDescent="0.75">
      <c r="A115" s="34">
        <f t="shared" si="2"/>
        <v>42417</v>
      </c>
      <c r="D115" s="33">
        <f t="shared" si="3"/>
        <v>20371822</v>
      </c>
    </row>
    <row r="116" spans="1:4" x14ac:dyDescent="0.75">
      <c r="A116" s="34">
        <f t="shared" si="2"/>
        <v>42418</v>
      </c>
      <c r="D116" s="33">
        <f t="shared" si="3"/>
        <v>20371822</v>
      </c>
    </row>
    <row r="117" spans="1:4" x14ac:dyDescent="0.75">
      <c r="A117" s="34">
        <f t="shared" si="2"/>
        <v>42419</v>
      </c>
      <c r="D117" s="33">
        <f t="shared" si="3"/>
        <v>20371822</v>
      </c>
    </row>
    <row r="118" spans="1:4" x14ac:dyDescent="0.75">
      <c r="A118" s="34">
        <f t="shared" si="2"/>
        <v>42420</v>
      </c>
      <c r="D118" s="33">
        <f t="shared" si="3"/>
        <v>20371822</v>
      </c>
    </row>
    <row r="119" spans="1:4" x14ac:dyDescent="0.75">
      <c r="A119" s="34">
        <f t="shared" si="2"/>
        <v>42421</v>
      </c>
      <c r="D119" s="33">
        <f t="shared" si="3"/>
        <v>20371822</v>
      </c>
    </row>
    <row r="120" spans="1:4" x14ac:dyDescent="0.75">
      <c r="A120" s="34">
        <f t="shared" si="2"/>
        <v>42422</v>
      </c>
      <c r="D120" s="33">
        <f t="shared" si="3"/>
        <v>20371822</v>
      </c>
    </row>
    <row r="121" spans="1:4" x14ac:dyDescent="0.75">
      <c r="A121" s="34">
        <f t="shared" si="2"/>
        <v>42423</v>
      </c>
      <c r="D121" s="33">
        <f t="shared" si="3"/>
        <v>20371822</v>
      </c>
    </row>
    <row r="122" spans="1:4" x14ac:dyDescent="0.75">
      <c r="A122" s="34">
        <f t="shared" si="2"/>
        <v>42424</v>
      </c>
      <c r="D122" s="33">
        <f t="shared" si="3"/>
        <v>20371822</v>
      </c>
    </row>
    <row r="123" spans="1:4" x14ac:dyDescent="0.75">
      <c r="A123" s="34">
        <f t="shared" si="2"/>
        <v>42425</v>
      </c>
      <c r="D123" s="33">
        <f t="shared" si="3"/>
        <v>20371822</v>
      </c>
    </row>
    <row r="124" spans="1:4" x14ac:dyDescent="0.75">
      <c r="A124" s="34">
        <f t="shared" si="2"/>
        <v>42426</v>
      </c>
      <c r="D124" s="33">
        <f t="shared" si="3"/>
        <v>20371822</v>
      </c>
    </row>
    <row r="125" spans="1:4" x14ac:dyDescent="0.75">
      <c r="A125" s="34">
        <f t="shared" si="2"/>
        <v>42427</v>
      </c>
      <c r="D125" s="33">
        <f t="shared" si="3"/>
        <v>20371822</v>
      </c>
    </row>
    <row r="126" spans="1:4" x14ac:dyDescent="0.75">
      <c r="A126" s="34">
        <f t="shared" si="2"/>
        <v>42428</v>
      </c>
      <c r="D126" s="33">
        <f t="shared" si="3"/>
        <v>20371822</v>
      </c>
    </row>
    <row r="127" spans="1:4" x14ac:dyDescent="0.75">
      <c r="A127" s="34">
        <f t="shared" si="2"/>
        <v>42429</v>
      </c>
      <c r="D127" s="33">
        <f t="shared" si="3"/>
        <v>20371822</v>
      </c>
    </row>
    <row r="128" spans="1:4" x14ac:dyDescent="0.75">
      <c r="A128" s="34">
        <f t="shared" si="2"/>
        <v>42430</v>
      </c>
      <c r="D128" s="33">
        <f t="shared" si="3"/>
        <v>20371822</v>
      </c>
    </row>
    <row r="129" spans="1:4" x14ac:dyDescent="0.75">
      <c r="A129" s="34">
        <f t="shared" si="2"/>
        <v>42431</v>
      </c>
      <c r="D129" s="33">
        <f t="shared" si="3"/>
        <v>20371822</v>
      </c>
    </row>
    <row r="130" spans="1:4" x14ac:dyDescent="0.75">
      <c r="A130" s="34">
        <f t="shared" si="2"/>
        <v>42432</v>
      </c>
      <c r="D130" s="33">
        <f t="shared" si="3"/>
        <v>20371822</v>
      </c>
    </row>
    <row r="131" spans="1:4" x14ac:dyDescent="0.75">
      <c r="A131" s="34">
        <f t="shared" si="2"/>
        <v>42433</v>
      </c>
      <c r="D131" s="33">
        <f t="shared" si="3"/>
        <v>20371822</v>
      </c>
    </row>
    <row r="132" spans="1:4" x14ac:dyDescent="0.75">
      <c r="A132" s="34">
        <f t="shared" si="2"/>
        <v>42434</v>
      </c>
      <c r="D132" s="33">
        <f t="shared" si="3"/>
        <v>20371822</v>
      </c>
    </row>
    <row r="133" spans="1:4" x14ac:dyDescent="0.75">
      <c r="A133" s="34">
        <f t="shared" si="2"/>
        <v>42435</v>
      </c>
      <c r="D133" s="33">
        <f t="shared" si="3"/>
        <v>20371822</v>
      </c>
    </row>
    <row r="134" spans="1:4" x14ac:dyDescent="0.75">
      <c r="A134" s="34">
        <f t="shared" si="2"/>
        <v>42436</v>
      </c>
      <c r="D134" s="33">
        <f t="shared" si="3"/>
        <v>20371822</v>
      </c>
    </row>
    <row r="135" spans="1:4" x14ac:dyDescent="0.75">
      <c r="A135" s="34">
        <f t="shared" si="2"/>
        <v>42437</v>
      </c>
      <c r="D135" s="33">
        <f t="shared" si="3"/>
        <v>20371822</v>
      </c>
    </row>
    <row r="136" spans="1:4" x14ac:dyDescent="0.75">
      <c r="A136" s="34">
        <f t="shared" ref="A136:A199" si="4">A135+1</f>
        <v>42438</v>
      </c>
      <c r="D136" s="33">
        <f t="shared" ref="D136:D199" si="5">D135+C136</f>
        <v>20371822</v>
      </c>
    </row>
    <row r="137" spans="1:4" x14ac:dyDescent="0.75">
      <c r="A137" s="34">
        <f t="shared" si="4"/>
        <v>42439</v>
      </c>
      <c r="D137" s="33">
        <f t="shared" si="5"/>
        <v>20371822</v>
      </c>
    </row>
    <row r="138" spans="1:4" x14ac:dyDescent="0.75">
      <c r="A138" s="34">
        <f t="shared" si="4"/>
        <v>42440</v>
      </c>
      <c r="D138" s="33">
        <f t="shared" si="5"/>
        <v>20371822</v>
      </c>
    </row>
    <row r="139" spans="1:4" x14ac:dyDescent="0.75">
      <c r="A139" s="34">
        <f t="shared" si="4"/>
        <v>42441</v>
      </c>
      <c r="D139" s="33">
        <f t="shared" si="5"/>
        <v>20371822</v>
      </c>
    </row>
    <row r="140" spans="1:4" x14ac:dyDescent="0.75">
      <c r="A140" s="34">
        <f t="shared" si="4"/>
        <v>42442</v>
      </c>
      <c r="D140" s="33">
        <f t="shared" si="5"/>
        <v>20371822</v>
      </c>
    </row>
    <row r="141" spans="1:4" x14ac:dyDescent="0.75">
      <c r="A141" s="34">
        <f t="shared" si="4"/>
        <v>42443</v>
      </c>
      <c r="D141" s="33">
        <f t="shared" si="5"/>
        <v>20371822</v>
      </c>
    </row>
    <row r="142" spans="1:4" x14ac:dyDescent="0.75">
      <c r="A142" s="34">
        <f t="shared" si="4"/>
        <v>42444</v>
      </c>
      <c r="D142" s="33">
        <f t="shared" si="5"/>
        <v>20371822</v>
      </c>
    </row>
    <row r="143" spans="1:4" x14ac:dyDescent="0.75">
      <c r="A143" s="34">
        <f t="shared" si="4"/>
        <v>42445</v>
      </c>
      <c r="D143" s="33">
        <f t="shared" si="5"/>
        <v>20371822</v>
      </c>
    </row>
    <row r="144" spans="1:4" x14ac:dyDescent="0.75">
      <c r="A144" s="34">
        <f t="shared" si="4"/>
        <v>42446</v>
      </c>
      <c r="D144" s="33">
        <f t="shared" si="5"/>
        <v>20371822</v>
      </c>
    </row>
    <row r="145" spans="1:4" x14ac:dyDescent="0.75">
      <c r="A145" s="34">
        <f t="shared" si="4"/>
        <v>42447</v>
      </c>
      <c r="D145" s="33">
        <f t="shared" si="5"/>
        <v>20371822</v>
      </c>
    </row>
    <row r="146" spans="1:4" x14ac:dyDescent="0.75">
      <c r="A146" s="34">
        <f t="shared" si="4"/>
        <v>42448</v>
      </c>
      <c r="D146" s="33">
        <f t="shared" si="5"/>
        <v>20371822</v>
      </c>
    </row>
    <row r="147" spans="1:4" x14ac:dyDescent="0.75">
      <c r="A147" s="34">
        <f t="shared" si="4"/>
        <v>42449</v>
      </c>
      <c r="D147" s="33">
        <f t="shared" si="5"/>
        <v>20371822</v>
      </c>
    </row>
    <row r="148" spans="1:4" x14ac:dyDescent="0.75">
      <c r="A148" s="34">
        <f t="shared" si="4"/>
        <v>42450</v>
      </c>
      <c r="D148" s="33">
        <f t="shared" si="5"/>
        <v>20371822</v>
      </c>
    </row>
    <row r="149" spans="1:4" x14ac:dyDescent="0.75">
      <c r="A149" s="34">
        <f t="shared" si="4"/>
        <v>42451</v>
      </c>
      <c r="D149" s="33">
        <f t="shared" si="5"/>
        <v>20371822</v>
      </c>
    </row>
    <row r="150" spans="1:4" x14ac:dyDescent="0.75">
      <c r="A150" s="34">
        <f t="shared" si="4"/>
        <v>42452</v>
      </c>
      <c r="D150" s="33">
        <f t="shared" si="5"/>
        <v>20371822</v>
      </c>
    </row>
    <row r="151" spans="1:4" x14ac:dyDescent="0.75">
      <c r="A151" s="34">
        <f t="shared" si="4"/>
        <v>42453</v>
      </c>
      <c r="D151" s="33">
        <f t="shared" si="5"/>
        <v>20371822</v>
      </c>
    </row>
    <row r="152" spans="1:4" x14ac:dyDescent="0.75">
      <c r="A152" s="34">
        <f t="shared" si="4"/>
        <v>42454</v>
      </c>
      <c r="D152" s="33">
        <f t="shared" si="5"/>
        <v>20371822</v>
      </c>
    </row>
    <row r="153" spans="1:4" x14ac:dyDescent="0.75">
      <c r="A153" s="34">
        <f t="shared" si="4"/>
        <v>42455</v>
      </c>
      <c r="D153" s="33">
        <f t="shared" si="5"/>
        <v>20371822</v>
      </c>
    </row>
    <row r="154" spans="1:4" x14ac:dyDescent="0.75">
      <c r="A154" s="34">
        <f t="shared" si="4"/>
        <v>42456</v>
      </c>
      <c r="D154" s="33">
        <f t="shared" si="5"/>
        <v>20371822</v>
      </c>
    </row>
    <row r="155" spans="1:4" x14ac:dyDescent="0.75">
      <c r="A155" s="34">
        <f t="shared" si="4"/>
        <v>42457</v>
      </c>
      <c r="D155" s="33">
        <f t="shared" si="5"/>
        <v>20371822</v>
      </c>
    </row>
    <row r="156" spans="1:4" x14ac:dyDescent="0.75">
      <c r="A156" s="34">
        <f t="shared" si="4"/>
        <v>42458</v>
      </c>
      <c r="D156" s="33">
        <f t="shared" si="5"/>
        <v>20371822</v>
      </c>
    </row>
    <row r="157" spans="1:4" x14ac:dyDescent="0.75">
      <c r="A157" s="34">
        <f t="shared" si="4"/>
        <v>42459</v>
      </c>
      <c r="D157" s="33">
        <f t="shared" si="5"/>
        <v>20371822</v>
      </c>
    </row>
    <row r="158" spans="1:4" x14ac:dyDescent="0.75">
      <c r="A158" s="34">
        <f t="shared" si="4"/>
        <v>42460</v>
      </c>
      <c r="D158" s="33">
        <f t="shared" si="5"/>
        <v>20371822</v>
      </c>
    </row>
    <row r="159" spans="1:4" x14ac:dyDescent="0.75">
      <c r="A159" s="34">
        <f t="shared" si="4"/>
        <v>42461</v>
      </c>
      <c r="D159" s="33">
        <f t="shared" si="5"/>
        <v>20371822</v>
      </c>
    </row>
    <row r="160" spans="1:4" x14ac:dyDescent="0.75">
      <c r="A160" s="34">
        <f t="shared" si="4"/>
        <v>42462</v>
      </c>
      <c r="D160" s="33">
        <f t="shared" si="5"/>
        <v>20371822</v>
      </c>
    </row>
    <row r="161" spans="1:4" x14ac:dyDescent="0.75">
      <c r="A161" s="34">
        <f t="shared" si="4"/>
        <v>42463</v>
      </c>
      <c r="D161" s="33">
        <f t="shared" si="5"/>
        <v>20371822</v>
      </c>
    </row>
    <row r="162" spans="1:4" x14ac:dyDescent="0.75">
      <c r="A162" s="34">
        <f t="shared" si="4"/>
        <v>42464</v>
      </c>
      <c r="D162" s="33">
        <f t="shared" si="5"/>
        <v>20371822</v>
      </c>
    </row>
    <row r="163" spans="1:4" x14ac:dyDescent="0.75">
      <c r="A163" s="34">
        <f t="shared" si="4"/>
        <v>42465</v>
      </c>
      <c r="D163" s="33">
        <f t="shared" si="5"/>
        <v>20371822</v>
      </c>
    </row>
    <row r="164" spans="1:4" x14ac:dyDescent="0.75">
      <c r="A164" s="34">
        <f t="shared" si="4"/>
        <v>42466</v>
      </c>
      <c r="D164" s="33">
        <f t="shared" si="5"/>
        <v>20371822</v>
      </c>
    </row>
    <row r="165" spans="1:4" x14ac:dyDescent="0.75">
      <c r="A165" s="34">
        <f t="shared" si="4"/>
        <v>42467</v>
      </c>
      <c r="D165" s="33">
        <f t="shared" si="5"/>
        <v>20371822</v>
      </c>
    </row>
    <row r="166" spans="1:4" x14ac:dyDescent="0.75">
      <c r="A166" s="34">
        <f t="shared" si="4"/>
        <v>42468</v>
      </c>
      <c r="D166" s="33">
        <f t="shared" si="5"/>
        <v>20371822</v>
      </c>
    </row>
    <row r="167" spans="1:4" x14ac:dyDescent="0.75">
      <c r="A167" s="34">
        <f t="shared" si="4"/>
        <v>42469</v>
      </c>
      <c r="D167" s="33">
        <f t="shared" si="5"/>
        <v>20371822</v>
      </c>
    </row>
    <row r="168" spans="1:4" x14ac:dyDescent="0.75">
      <c r="A168" s="34">
        <f t="shared" si="4"/>
        <v>42470</v>
      </c>
      <c r="D168" s="33">
        <f t="shared" si="5"/>
        <v>20371822</v>
      </c>
    </row>
    <row r="169" spans="1:4" x14ac:dyDescent="0.75">
      <c r="A169" s="34">
        <f t="shared" si="4"/>
        <v>42471</v>
      </c>
      <c r="D169" s="33">
        <f t="shared" si="5"/>
        <v>20371822</v>
      </c>
    </row>
    <row r="170" spans="1:4" x14ac:dyDescent="0.75">
      <c r="A170" s="34">
        <f t="shared" si="4"/>
        <v>42472</v>
      </c>
      <c r="D170" s="33">
        <f t="shared" si="5"/>
        <v>20371822</v>
      </c>
    </row>
    <row r="171" spans="1:4" x14ac:dyDescent="0.75">
      <c r="A171" s="34">
        <f t="shared" si="4"/>
        <v>42473</v>
      </c>
      <c r="D171" s="33">
        <f t="shared" si="5"/>
        <v>20371822</v>
      </c>
    </row>
    <row r="172" spans="1:4" x14ac:dyDescent="0.75">
      <c r="A172" s="34">
        <f t="shared" si="4"/>
        <v>42474</v>
      </c>
      <c r="D172" s="33">
        <f t="shared" si="5"/>
        <v>20371822</v>
      </c>
    </row>
    <row r="173" spans="1:4" x14ac:dyDescent="0.75">
      <c r="A173" s="34">
        <f t="shared" si="4"/>
        <v>42475</v>
      </c>
      <c r="D173" s="33">
        <f t="shared" si="5"/>
        <v>20371822</v>
      </c>
    </row>
    <row r="174" spans="1:4" x14ac:dyDescent="0.75">
      <c r="A174" s="34">
        <f t="shared" si="4"/>
        <v>42476</v>
      </c>
      <c r="D174" s="33">
        <f t="shared" si="5"/>
        <v>20371822</v>
      </c>
    </row>
    <row r="175" spans="1:4" x14ac:dyDescent="0.75">
      <c r="A175" s="34">
        <f t="shared" si="4"/>
        <v>42477</v>
      </c>
      <c r="D175" s="33">
        <f t="shared" si="5"/>
        <v>20371822</v>
      </c>
    </row>
    <row r="176" spans="1:4" x14ac:dyDescent="0.75">
      <c r="A176" s="34">
        <f t="shared" si="4"/>
        <v>42478</v>
      </c>
      <c r="D176" s="33">
        <f t="shared" si="5"/>
        <v>20371822</v>
      </c>
    </row>
    <row r="177" spans="1:6" x14ac:dyDescent="0.75">
      <c r="A177" s="34">
        <f t="shared" si="4"/>
        <v>42479</v>
      </c>
      <c r="D177" s="33">
        <f t="shared" si="5"/>
        <v>20371822</v>
      </c>
    </row>
    <row r="178" spans="1:6" x14ac:dyDescent="0.75">
      <c r="A178" s="34">
        <f t="shared" si="4"/>
        <v>42480</v>
      </c>
      <c r="D178" s="33">
        <f t="shared" si="5"/>
        <v>20371822</v>
      </c>
    </row>
    <row r="179" spans="1:6" x14ac:dyDescent="0.75">
      <c r="A179" s="34">
        <f t="shared" si="4"/>
        <v>42481</v>
      </c>
      <c r="D179" s="33">
        <f t="shared" si="5"/>
        <v>20371822</v>
      </c>
    </row>
    <row r="180" spans="1:6" x14ac:dyDescent="0.75">
      <c r="A180" s="34">
        <f t="shared" si="4"/>
        <v>42482</v>
      </c>
      <c r="D180" s="33">
        <f t="shared" si="5"/>
        <v>20371822</v>
      </c>
    </row>
    <row r="181" spans="1:6" x14ac:dyDescent="0.75">
      <c r="A181" s="34">
        <f t="shared" si="4"/>
        <v>42483</v>
      </c>
      <c r="D181" s="33">
        <f t="shared" si="5"/>
        <v>20371822</v>
      </c>
    </row>
    <row r="182" spans="1:6" x14ac:dyDescent="0.75">
      <c r="A182" s="34">
        <f t="shared" si="4"/>
        <v>42484</v>
      </c>
      <c r="D182" s="33">
        <f t="shared" si="5"/>
        <v>20371822</v>
      </c>
    </row>
    <row r="183" spans="1:6" x14ac:dyDescent="0.75">
      <c r="A183" s="34">
        <f t="shared" si="4"/>
        <v>42485</v>
      </c>
      <c r="D183" s="33">
        <f t="shared" si="5"/>
        <v>20371822</v>
      </c>
    </row>
    <row r="184" spans="1:6" x14ac:dyDescent="0.75">
      <c r="A184" s="34">
        <f t="shared" si="4"/>
        <v>42486</v>
      </c>
      <c r="D184" s="33">
        <f t="shared" si="5"/>
        <v>20371822</v>
      </c>
    </row>
    <row r="185" spans="1:6" x14ac:dyDescent="0.75">
      <c r="A185" s="34">
        <f t="shared" si="4"/>
        <v>42487</v>
      </c>
      <c r="D185" s="33">
        <f t="shared" si="5"/>
        <v>20371822</v>
      </c>
    </row>
    <row r="186" spans="1:6" x14ac:dyDescent="0.75">
      <c r="A186" s="34">
        <f t="shared" si="4"/>
        <v>42488</v>
      </c>
      <c r="D186" s="33">
        <f t="shared" si="5"/>
        <v>20371822</v>
      </c>
    </row>
    <row r="187" spans="1:6" x14ac:dyDescent="0.75">
      <c r="A187" s="34">
        <f t="shared" si="4"/>
        <v>42489</v>
      </c>
      <c r="D187" s="33">
        <f t="shared" si="5"/>
        <v>20371822</v>
      </c>
    </row>
    <row r="188" spans="1:6" x14ac:dyDescent="0.75">
      <c r="A188" s="34">
        <f t="shared" si="4"/>
        <v>42490</v>
      </c>
      <c r="D188" s="33">
        <f t="shared" si="5"/>
        <v>20371822</v>
      </c>
      <c r="E188" s="33">
        <f>AVERAGE(D99:D188)</f>
        <v>20371822</v>
      </c>
      <c r="F188" s="33">
        <f>AVERAGE(D7:D188)</f>
        <v>20371822</v>
      </c>
    </row>
    <row r="189" spans="1:6" x14ac:dyDescent="0.75">
      <c r="A189" s="34">
        <f t="shared" si="4"/>
        <v>42491</v>
      </c>
      <c r="D189" s="33">
        <f t="shared" si="5"/>
        <v>20371822</v>
      </c>
    </row>
    <row r="190" spans="1:6" x14ac:dyDescent="0.75">
      <c r="A190" s="34">
        <f t="shared" si="4"/>
        <v>42492</v>
      </c>
      <c r="D190" s="33">
        <f t="shared" si="5"/>
        <v>20371822</v>
      </c>
    </row>
    <row r="191" spans="1:6" x14ac:dyDescent="0.75">
      <c r="A191" s="34">
        <f t="shared" si="4"/>
        <v>42493</v>
      </c>
      <c r="D191" s="33">
        <f t="shared" si="5"/>
        <v>20371822</v>
      </c>
    </row>
    <row r="192" spans="1:6" x14ac:dyDescent="0.75">
      <c r="A192" s="34">
        <f t="shared" si="4"/>
        <v>42494</v>
      </c>
      <c r="D192" s="33">
        <f t="shared" si="5"/>
        <v>20371822</v>
      </c>
    </row>
    <row r="193" spans="1:4" x14ac:dyDescent="0.75">
      <c r="A193" s="34">
        <f t="shared" si="4"/>
        <v>42495</v>
      </c>
      <c r="D193" s="33">
        <f t="shared" si="5"/>
        <v>20371822</v>
      </c>
    </row>
    <row r="194" spans="1:4" x14ac:dyDescent="0.75">
      <c r="A194" s="34">
        <f t="shared" si="4"/>
        <v>42496</v>
      </c>
      <c r="D194" s="33">
        <f t="shared" si="5"/>
        <v>20371822</v>
      </c>
    </row>
    <row r="195" spans="1:4" x14ac:dyDescent="0.75">
      <c r="A195" s="34">
        <f t="shared" si="4"/>
        <v>42497</v>
      </c>
      <c r="D195" s="33">
        <f t="shared" si="5"/>
        <v>20371822</v>
      </c>
    </row>
    <row r="196" spans="1:4" x14ac:dyDescent="0.75">
      <c r="A196" s="34">
        <f t="shared" si="4"/>
        <v>42498</v>
      </c>
      <c r="D196" s="33">
        <f t="shared" si="5"/>
        <v>20371822</v>
      </c>
    </row>
    <row r="197" spans="1:4" x14ac:dyDescent="0.75">
      <c r="A197" s="34">
        <f t="shared" si="4"/>
        <v>42499</v>
      </c>
      <c r="D197" s="33">
        <f t="shared" si="5"/>
        <v>20371822</v>
      </c>
    </row>
    <row r="198" spans="1:4" x14ac:dyDescent="0.75">
      <c r="A198" s="34">
        <f t="shared" si="4"/>
        <v>42500</v>
      </c>
      <c r="D198" s="33">
        <f t="shared" si="5"/>
        <v>20371822</v>
      </c>
    </row>
    <row r="199" spans="1:4" x14ac:dyDescent="0.75">
      <c r="A199" s="34">
        <f t="shared" si="4"/>
        <v>42501</v>
      </c>
      <c r="D199" s="33">
        <f t="shared" si="5"/>
        <v>20371822</v>
      </c>
    </row>
    <row r="200" spans="1:4" x14ac:dyDescent="0.75">
      <c r="A200" s="34">
        <f t="shared" ref="A200:A263" si="6">A199+1</f>
        <v>42502</v>
      </c>
      <c r="D200" s="33">
        <f t="shared" ref="D200:D263" si="7">D199+C200</f>
        <v>20371822</v>
      </c>
    </row>
    <row r="201" spans="1:4" x14ac:dyDescent="0.75">
      <c r="A201" s="34">
        <f t="shared" si="6"/>
        <v>42503</v>
      </c>
      <c r="D201" s="33">
        <f t="shared" si="7"/>
        <v>20371822</v>
      </c>
    </row>
    <row r="202" spans="1:4" x14ac:dyDescent="0.75">
      <c r="A202" s="34">
        <f t="shared" si="6"/>
        <v>42504</v>
      </c>
      <c r="D202" s="33">
        <f t="shared" si="7"/>
        <v>20371822</v>
      </c>
    </row>
    <row r="203" spans="1:4" x14ac:dyDescent="0.75">
      <c r="A203" s="34">
        <f t="shared" si="6"/>
        <v>42505</v>
      </c>
      <c r="D203" s="33">
        <f t="shared" si="7"/>
        <v>20371822</v>
      </c>
    </row>
    <row r="204" spans="1:4" x14ac:dyDescent="0.75">
      <c r="A204" s="34">
        <f t="shared" si="6"/>
        <v>42506</v>
      </c>
      <c r="D204" s="33">
        <f t="shared" si="7"/>
        <v>20371822</v>
      </c>
    </row>
    <row r="205" spans="1:4" x14ac:dyDescent="0.75">
      <c r="A205" s="34">
        <f t="shared" si="6"/>
        <v>42507</v>
      </c>
      <c r="D205" s="33">
        <f t="shared" si="7"/>
        <v>20371822</v>
      </c>
    </row>
    <row r="206" spans="1:4" x14ac:dyDescent="0.75">
      <c r="A206" s="34">
        <f t="shared" si="6"/>
        <v>42508</v>
      </c>
      <c r="D206" s="33">
        <f t="shared" si="7"/>
        <v>20371822</v>
      </c>
    </row>
    <row r="207" spans="1:4" x14ac:dyDescent="0.75">
      <c r="A207" s="34">
        <f t="shared" si="6"/>
        <v>42509</v>
      </c>
      <c r="D207" s="33">
        <f t="shared" si="7"/>
        <v>20371822</v>
      </c>
    </row>
    <row r="208" spans="1:4" x14ac:dyDescent="0.75">
      <c r="A208" s="34">
        <f t="shared" si="6"/>
        <v>42510</v>
      </c>
      <c r="D208" s="33">
        <f t="shared" si="7"/>
        <v>20371822</v>
      </c>
    </row>
    <row r="209" spans="1:4" x14ac:dyDescent="0.75">
      <c r="A209" s="34">
        <f t="shared" si="6"/>
        <v>42511</v>
      </c>
      <c r="D209" s="33">
        <f t="shared" si="7"/>
        <v>20371822</v>
      </c>
    </row>
    <row r="210" spans="1:4" x14ac:dyDescent="0.75">
      <c r="A210" s="34">
        <f t="shared" si="6"/>
        <v>42512</v>
      </c>
      <c r="D210" s="33">
        <f t="shared" si="7"/>
        <v>20371822</v>
      </c>
    </row>
    <row r="211" spans="1:4" x14ac:dyDescent="0.75">
      <c r="A211" s="34">
        <f t="shared" si="6"/>
        <v>42513</v>
      </c>
      <c r="D211" s="33">
        <f t="shared" si="7"/>
        <v>20371822</v>
      </c>
    </row>
    <row r="212" spans="1:4" x14ac:dyDescent="0.75">
      <c r="A212" s="34">
        <f t="shared" si="6"/>
        <v>42514</v>
      </c>
      <c r="D212" s="33">
        <f t="shared" si="7"/>
        <v>20371822</v>
      </c>
    </row>
    <row r="213" spans="1:4" x14ac:dyDescent="0.75">
      <c r="A213" s="34">
        <f t="shared" si="6"/>
        <v>42515</v>
      </c>
      <c r="D213" s="33">
        <f t="shared" si="7"/>
        <v>20371822</v>
      </c>
    </row>
    <row r="214" spans="1:4" x14ac:dyDescent="0.75">
      <c r="A214" s="34">
        <f t="shared" si="6"/>
        <v>42516</v>
      </c>
      <c r="D214" s="33">
        <f t="shared" si="7"/>
        <v>20371822</v>
      </c>
    </row>
    <row r="215" spans="1:4" x14ac:dyDescent="0.75">
      <c r="A215" s="34">
        <f t="shared" si="6"/>
        <v>42517</v>
      </c>
      <c r="D215" s="33">
        <f t="shared" si="7"/>
        <v>20371822</v>
      </c>
    </row>
    <row r="216" spans="1:4" x14ac:dyDescent="0.75">
      <c r="A216" s="34">
        <f t="shared" si="6"/>
        <v>42518</v>
      </c>
      <c r="D216" s="33">
        <f t="shared" si="7"/>
        <v>20371822</v>
      </c>
    </row>
    <row r="217" spans="1:4" x14ac:dyDescent="0.75">
      <c r="A217" s="34">
        <f t="shared" si="6"/>
        <v>42519</v>
      </c>
      <c r="D217" s="33">
        <f t="shared" si="7"/>
        <v>20371822</v>
      </c>
    </row>
    <row r="218" spans="1:4" x14ac:dyDescent="0.75">
      <c r="A218" s="34">
        <f t="shared" si="6"/>
        <v>42520</v>
      </c>
      <c r="D218" s="33">
        <f t="shared" si="7"/>
        <v>20371822</v>
      </c>
    </row>
    <row r="219" spans="1:4" x14ac:dyDescent="0.75">
      <c r="A219" s="34">
        <f t="shared" si="6"/>
        <v>42521</v>
      </c>
      <c r="D219" s="33">
        <f t="shared" si="7"/>
        <v>20371822</v>
      </c>
    </row>
    <row r="220" spans="1:4" x14ac:dyDescent="0.75">
      <c r="A220" s="34">
        <f t="shared" si="6"/>
        <v>42522</v>
      </c>
      <c r="D220" s="33">
        <f t="shared" si="7"/>
        <v>20371822</v>
      </c>
    </row>
    <row r="221" spans="1:4" x14ac:dyDescent="0.75">
      <c r="A221" s="34">
        <f t="shared" si="6"/>
        <v>42523</v>
      </c>
      <c r="D221" s="33">
        <f t="shared" si="7"/>
        <v>20371822</v>
      </c>
    </row>
    <row r="222" spans="1:4" x14ac:dyDescent="0.75">
      <c r="A222" s="34">
        <f t="shared" si="6"/>
        <v>42524</v>
      </c>
      <c r="D222" s="33">
        <f t="shared" si="7"/>
        <v>20371822</v>
      </c>
    </row>
    <row r="223" spans="1:4" x14ac:dyDescent="0.75">
      <c r="A223" s="34">
        <f t="shared" si="6"/>
        <v>42525</v>
      </c>
      <c r="D223" s="33">
        <f t="shared" si="7"/>
        <v>20371822</v>
      </c>
    </row>
    <row r="224" spans="1:4" x14ac:dyDescent="0.75">
      <c r="A224" s="34">
        <f t="shared" si="6"/>
        <v>42526</v>
      </c>
      <c r="D224" s="33">
        <f t="shared" si="7"/>
        <v>20371822</v>
      </c>
    </row>
    <row r="225" spans="1:4" x14ac:dyDescent="0.75">
      <c r="A225" s="34">
        <f t="shared" si="6"/>
        <v>42527</v>
      </c>
      <c r="D225" s="33">
        <f t="shared" si="7"/>
        <v>20371822</v>
      </c>
    </row>
    <row r="226" spans="1:4" x14ac:dyDescent="0.75">
      <c r="A226" s="34">
        <f t="shared" si="6"/>
        <v>42528</v>
      </c>
      <c r="D226" s="33">
        <f t="shared" si="7"/>
        <v>20371822</v>
      </c>
    </row>
    <row r="227" spans="1:4" x14ac:dyDescent="0.75">
      <c r="A227" s="34">
        <f t="shared" si="6"/>
        <v>42529</v>
      </c>
      <c r="D227" s="33">
        <f t="shared" si="7"/>
        <v>20371822</v>
      </c>
    </row>
    <row r="228" spans="1:4" x14ac:dyDescent="0.75">
      <c r="A228" s="34">
        <f t="shared" si="6"/>
        <v>42530</v>
      </c>
      <c r="D228" s="33">
        <f t="shared" si="7"/>
        <v>20371822</v>
      </c>
    </row>
    <row r="229" spans="1:4" x14ac:dyDescent="0.75">
      <c r="A229" s="34">
        <f t="shared" si="6"/>
        <v>42531</v>
      </c>
      <c r="D229" s="33">
        <f t="shared" si="7"/>
        <v>20371822</v>
      </c>
    </row>
    <row r="230" spans="1:4" x14ac:dyDescent="0.75">
      <c r="A230" s="34">
        <f t="shared" si="6"/>
        <v>42532</v>
      </c>
      <c r="D230" s="33">
        <f t="shared" si="7"/>
        <v>20371822</v>
      </c>
    </row>
    <row r="231" spans="1:4" x14ac:dyDescent="0.75">
      <c r="A231" s="34">
        <f t="shared" si="6"/>
        <v>42533</v>
      </c>
      <c r="D231" s="33">
        <f t="shared" si="7"/>
        <v>20371822</v>
      </c>
    </row>
    <row r="232" spans="1:4" x14ac:dyDescent="0.75">
      <c r="A232" s="34">
        <f t="shared" si="6"/>
        <v>42534</v>
      </c>
      <c r="D232" s="33">
        <f t="shared" si="7"/>
        <v>20371822</v>
      </c>
    </row>
    <row r="233" spans="1:4" x14ac:dyDescent="0.75">
      <c r="A233" s="34">
        <f t="shared" si="6"/>
        <v>42535</v>
      </c>
      <c r="D233" s="33">
        <f t="shared" si="7"/>
        <v>20371822</v>
      </c>
    </row>
    <row r="234" spans="1:4" x14ac:dyDescent="0.75">
      <c r="A234" s="34">
        <f t="shared" si="6"/>
        <v>42536</v>
      </c>
      <c r="D234" s="33">
        <f t="shared" si="7"/>
        <v>20371822</v>
      </c>
    </row>
    <row r="235" spans="1:4" x14ac:dyDescent="0.75">
      <c r="A235" s="34">
        <f t="shared" si="6"/>
        <v>42537</v>
      </c>
      <c r="D235" s="33">
        <f t="shared" si="7"/>
        <v>20371822</v>
      </c>
    </row>
    <row r="236" spans="1:4" x14ac:dyDescent="0.75">
      <c r="A236" s="34">
        <f t="shared" si="6"/>
        <v>42538</v>
      </c>
      <c r="D236" s="33">
        <f t="shared" si="7"/>
        <v>20371822</v>
      </c>
    </row>
    <row r="237" spans="1:4" x14ac:dyDescent="0.75">
      <c r="A237" s="34">
        <f t="shared" si="6"/>
        <v>42539</v>
      </c>
      <c r="D237" s="33">
        <f t="shared" si="7"/>
        <v>20371822</v>
      </c>
    </row>
    <row r="238" spans="1:4" x14ac:dyDescent="0.75">
      <c r="A238" s="34">
        <f t="shared" si="6"/>
        <v>42540</v>
      </c>
      <c r="D238" s="33">
        <f t="shared" si="7"/>
        <v>20371822</v>
      </c>
    </row>
    <row r="239" spans="1:4" x14ac:dyDescent="0.75">
      <c r="A239" s="34">
        <f t="shared" si="6"/>
        <v>42541</v>
      </c>
      <c r="D239" s="33">
        <f t="shared" si="7"/>
        <v>20371822</v>
      </c>
    </row>
    <row r="240" spans="1:4" x14ac:dyDescent="0.75">
      <c r="A240" s="34">
        <f t="shared" si="6"/>
        <v>42542</v>
      </c>
      <c r="D240" s="33">
        <f t="shared" si="7"/>
        <v>20371822</v>
      </c>
    </row>
    <row r="241" spans="1:4" x14ac:dyDescent="0.75">
      <c r="A241" s="34">
        <f t="shared" si="6"/>
        <v>42543</v>
      </c>
      <c r="D241" s="33">
        <f t="shared" si="7"/>
        <v>20371822</v>
      </c>
    </row>
    <row r="242" spans="1:4" x14ac:dyDescent="0.75">
      <c r="A242" s="34">
        <f t="shared" si="6"/>
        <v>42544</v>
      </c>
      <c r="D242" s="33">
        <f t="shared" si="7"/>
        <v>20371822</v>
      </c>
    </row>
    <row r="243" spans="1:4" x14ac:dyDescent="0.75">
      <c r="A243" s="34">
        <f t="shared" si="6"/>
        <v>42545</v>
      </c>
      <c r="D243" s="33">
        <f t="shared" si="7"/>
        <v>20371822</v>
      </c>
    </row>
    <row r="244" spans="1:4" x14ac:dyDescent="0.75">
      <c r="A244" s="34">
        <f t="shared" si="6"/>
        <v>42546</v>
      </c>
      <c r="D244" s="33">
        <f t="shared" si="7"/>
        <v>20371822</v>
      </c>
    </row>
    <row r="245" spans="1:4" x14ac:dyDescent="0.75">
      <c r="A245" s="34">
        <f t="shared" si="6"/>
        <v>42547</v>
      </c>
      <c r="D245" s="33">
        <f t="shared" si="7"/>
        <v>20371822</v>
      </c>
    </row>
    <row r="246" spans="1:4" x14ac:dyDescent="0.75">
      <c r="A246" s="34">
        <f t="shared" si="6"/>
        <v>42548</v>
      </c>
      <c r="D246" s="33">
        <f t="shared" si="7"/>
        <v>20371822</v>
      </c>
    </row>
    <row r="247" spans="1:4" x14ac:dyDescent="0.75">
      <c r="A247" s="34">
        <f t="shared" si="6"/>
        <v>42549</v>
      </c>
      <c r="D247" s="33">
        <f t="shared" si="7"/>
        <v>20371822</v>
      </c>
    </row>
    <row r="248" spans="1:4" x14ac:dyDescent="0.75">
      <c r="A248" s="34">
        <f t="shared" si="6"/>
        <v>42550</v>
      </c>
      <c r="D248" s="33">
        <f t="shared" si="7"/>
        <v>20371822</v>
      </c>
    </row>
    <row r="249" spans="1:4" x14ac:dyDescent="0.75">
      <c r="A249" s="34">
        <f t="shared" si="6"/>
        <v>42551</v>
      </c>
      <c r="D249" s="33">
        <f t="shared" si="7"/>
        <v>20371822</v>
      </c>
    </row>
    <row r="250" spans="1:4" x14ac:dyDescent="0.75">
      <c r="A250" s="34">
        <f t="shared" si="6"/>
        <v>42552</v>
      </c>
      <c r="D250" s="33">
        <f t="shared" si="7"/>
        <v>20371822</v>
      </c>
    </row>
    <row r="251" spans="1:4" x14ac:dyDescent="0.75">
      <c r="A251" s="34">
        <f t="shared" si="6"/>
        <v>42553</v>
      </c>
      <c r="D251" s="33">
        <f t="shared" si="7"/>
        <v>20371822</v>
      </c>
    </row>
    <row r="252" spans="1:4" x14ac:dyDescent="0.75">
      <c r="A252" s="34">
        <f t="shared" si="6"/>
        <v>42554</v>
      </c>
      <c r="D252" s="33">
        <f t="shared" si="7"/>
        <v>20371822</v>
      </c>
    </row>
    <row r="253" spans="1:4" x14ac:dyDescent="0.75">
      <c r="A253" s="34">
        <f t="shared" si="6"/>
        <v>42555</v>
      </c>
      <c r="D253" s="33">
        <f t="shared" si="7"/>
        <v>20371822</v>
      </c>
    </row>
    <row r="254" spans="1:4" x14ac:dyDescent="0.75">
      <c r="A254" s="34">
        <f t="shared" si="6"/>
        <v>42556</v>
      </c>
      <c r="D254" s="33">
        <f t="shared" si="7"/>
        <v>20371822</v>
      </c>
    </row>
    <row r="255" spans="1:4" x14ac:dyDescent="0.75">
      <c r="A255" s="34">
        <f t="shared" si="6"/>
        <v>42557</v>
      </c>
      <c r="D255" s="33">
        <f t="shared" si="7"/>
        <v>20371822</v>
      </c>
    </row>
    <row r="256" spans="1:4" x14ac:dyDescent="0.75">
      <c r="A256" s="34">
        <f t="shared" si="6"/>
        <v>42558</v>
      </c>
      <c r="D256" s="33">
        <f t="shared" si="7"/>
        <v>20371822</v>
      </c>
    </row>
    <row r="257" spans="1:4" x14ac:dyDescent="0.75">
      <c r="A257" s="34">
        <f t="shared" si="6"/>
        <v>42559</v>
      </c>
      <c r="D257" s="33">
        <f t="shared" si="7"/>
        <v>20371822</v>
      </c>
    </row>
    <row r="258" spans="1:4" x14ac:dyDescent="0.75">
      <c r="A258" s="34">
        <f t="shared" si="6"/>
        <v>42560</v>
      </c>
      <c r="D258" s="33">
        <f t="shared" si="7"/>
        <v>20371822</v>
      </c>
    </row>
    <row r="259" spans="1:4" x14ac:dyDescent="0.75">
      <c r="A259" s="34">
        <f t="shared" si="6"/>
        <v>42561</v>
      </c>
      <c r="D259" s="33">
        <f t="shared" si="7"/>
        <v>20371822</v>
      </c>
    </row>
    <row r="260" spans="1:4" x14ac:dyDescent="0.75">
      <c r="A260" s="34">
        <f t="shared" si="6"/>
        <v>42562</v>
      </c>
      <c r="D260" s="33">
        <f t="shared" si="7"/>
        <v>20371822</v>
      </c>
    </row>
    <row r="261" spans="1:4" x14ac:dyDescent="0.75">
      <c r="A261" s="34">
        <f t="shared" si="6"/>
        <v>42563</v>
      </c>
      <c r="D261" s="33">
        <f t="shared" si="7"/>
        <v>20371822</v>
      </c>
    </row>
    <row r="262" spans="1:4" x14ac:dyDescent="0.75">
      <c r="A262" s="34">
        <f t="shared" si="6"/>
        <v>42564</v>
      </c>
      <c r="D262" s="33">
        <f t="shared" si="7"/>
        <v>20371822</v>
      </c>
    </row>
    <row r="263" spans="1:4" x14ac:dyDescent="0.75">
      <c r="A263" s="34">
        <f t="shared" si="6"/>
        <v>42565</v>
      </c>
      <c r="D263" s="33">
        <f t="shared" si="7"/>
        <v>20371822</v>
      </c>
    </row>
    <row r="264" spans="1:4" x14ac:dyDescent="0.75">
      <c r="A264" s="34">
        <f t="shared" ref="A264:A327" si="8">A263+1</f>
        <v>42566</v>
      </c>
      <c r="D264" s="33">
        <f t="shared" ref="D264:D327" si="9">D263+C264</f>
        <v>20371822</v>
      </c>
    </row>
    <row r="265" spans="1:4" x14ac:dyDescent="0.75">
      <c r="A265" s="34">
        <f t="shared" si="8"/>
        <v>42567</v>
      </c>
      <c r="D265" s="33">
        <f t="shared" si="9"/>
        <v>20371822</v>
      </c>
    </row>
    <row r="266" spans="1:4" x14ac:dyDescent="0.75">
      <c r="A266" s="34">
        <f t="shared" si="8"/>
        <v>42568</v>
      </c>
      <c r="D266" s="33">
        <f t="shared" si="9"/>
        <v>20371822</v>
      </c>
    </row>
    <row r="267" spans="1:4" x14ac:dyDescent="0.75">
      <c r="A267" s="34">
        <f t="shared" si="8"/>
        <v>42569</v>
      </c>
      <c r="D267" s="33">
        <f t="shared" si="9"/>
        <v>20371822</v>
      </c>
    </row>
    <row r="268" spans="1:4" x14ac:dyDescent="0.75">
      <c r="A268" s="34">
        <f t="shared" si="8"/>
        <v>42570</v>
      </c>
      <c r="D268" s="33">
        <f t="shared" si="9"/>
        <v>20371822</v>
      </c>
    </row>
    <row r="269" spans="1:4" x14ac:dyDescent="0.75">
      <c r="A269" s="34">
        <f t="shared" si="8"/>
        <v>42571</v>
      </c>
      <c r="D269" s="33">
        <f t="shared" si="9"/>
        <v>20371822</v>
      </c>
    </row>
    <row r="270" spans="1:4" x14ac:dyDescent="0.75">
      <c r="A270" s="34">
        <f t="shared" si="8"/>
        <v>42572</v>
      </c>
      <c r="D270" s="33">
        <f t="shared" si="9"/>
        <v>20371822</v>
      </c>
    </row>
    <row r="271" spans="1:4" x14ac:dyDescent="0.75">
      <c r="A271" s="34">
        <f t="shared" si="8"/>
        <v>42573</v>
      </c>
      <c r="D271" s="33">
        <f t="shared" si="9"/>
        <v>20371822</v>
      </c>
    </row>
    <row r="272" spans="1:4" x14ac:dyDescent="0.75">
      <c r="A272" s="34">
        <f t="shared" si="8"/>
        <v>42574</v>
      </c>
      <c r="D272" s="33">
        <f t="shared" si="9"/>
        <v>20371822</v>
      </c>
    </row>
    <row r="273" spans="1:6" x14ac:dyDescent="0.75">
      <c r="A273" s="34">
        <f t="shared" si="8"/>
        <v>42575</v>
      </c>
      <c r="D273" s="33">
        <f t="shared" si="9"/>
        <v>20371822</v>
      </c>
    </row>
    <row r="274" spans="1:6" x14ac:dyDescent="0.75">
      <c r="A274" s="34">
        <f t="shared" si="8"/>
        <v>42576</v>
      </c>
      <c r="D274" s="33">
        <f t="shared" si="9"/>
        <v>20371822</v>
      </c>
    </row>
    <row r="275" spans="1:6" x14ac:dyDescent="0.75">
      <c r="A275" s="34">
        <f t="shared" si="8"/>
        <v>42577</v>
      </c>
      <c r="D275" s="33">
        <f t="shared" si="9"/>
        <v>20371822</v>
      </c>
    </row>
    <row r="276" spans="1:6" x14ac:dyDescent="0.75">
      <c r="A276" s="34">
        <f t="shared" si="8"/>
        <v>42578</v>
      </c>
      <c r="D276" s="33">
        <f t="shared" si="9"/>
        <v>20371822</v>
      </c>
    </row>
    <row r="277" spans="1:6" x14ac:dyDescent="0.75">
      <c r="A277" s="34">
        <f t="shared" si="8"/>
        <v>42579</v>
      </c>
      <c r="D277" s="33">
        <f t="shared" si="9"/>
        <v>20371822</v>
      </c>
    </row>
    <row r="278" spans="1:6" x14ac:dyDescent="0.75">
      <c r="A278" s="34">
        <f t="shared" si="8"/>
        <v>42580</v>
      </c>
      <c r="D278" s="33">
        <f t="shared" si="9"/>
        <v>20371822</v>
      </c>
    </row>
    <row r="279" spans="1:6" x14ac:dyDescent="0.75">
      <c r="A279" s="34">
        <f t="shared" si="8"/>
        <v>42581</v>
      </c>
      <c r="D279" s="33">
        <f t="shared" si="9"/>
        <v>20371822</v>
      </c>
    </row>
    <row r="280" spans="1:6" x14ac:dyDescent="0.75">
      <c r="A280" s="34">
        <f t="shared" si="8"/>
        <v>42582</v>
      </c>
      <c r="D280" s="33">
        <f t="shared" si="9"/>
        <v>20371822</v>
      </c>
      <c r="E280" s="33">
        <f>AVERAGE(D189:D280)</f>
        <v>20371822</v>
      </c>
      <c r="F280" s="33">
        <f>AVERAGE(D7:D280)</f>
        <v>20371822</v>
      </c>
    </row>
    <row r="281" spans="1:6" x14ac:dyDescent="0.75">
      <c r="A281" s="34">
        <f t="shared" si="8"/>
        <v>42583</v>
      </c>
      <c r="D281" s="33">
        <f t="shared" si="9"/>
        <v>20371822</v>
      </c>
    </row>
    <row r="282" spans="1:6" x14ac:dyDescent="0.75">
      <c r="A282" s="34">
        <f t="shared" si="8"/>
        <v>42584</v>
      </c>
      <c r="D282" s="33">
        <f t="shared" si="9"/>
        <v>20371822</v>
      </c>
    </row>
    <row r="283" spans="1:6" x14ac:dyDescent="0.75">
      <c r="A283" s="34">
        <f t="shared" si="8"/>
        <v>42585</v>
      </c>
      <c r="D283" s="33">
        <f t="shared" si="9"/>
        <v>20371822</v>
      </c>
    </row>
    <row r="284" spans="1:6" x14ac:dyDescent="0.75">
      <c r="A284" s="34">
        <f t="shared" si="8"/>
        <v>42586</v>
      </c>
      <c r="D284" s="33">
        <f t="shared" si="9"/>
        <v>20371822</v>
      </c>
    </row>
    <row r="285" spans="1:6" x14ac:dyDescent="0.75">
      <c r="A285" s="34">
        <f t="shared" si="8"/>
        <v>42587</v>
      </c>
      <c r="D285" s="33">
        <f t="shared" si="9"/>
        <v>20371822</v>
      </c>
    </row>
    <row r="286" spans="1:6" x14ac:dyDescent="0.75">
      <c r="A286" s="34">
        <f t="shared" si="8"/>
        <v>42588</v>
      </c>
      <c r="D286" s="33">
        <f t="shared" si="9"/>
        <v>20371822</v>
      </c>
    </row>
    <row r="287" spans="1:6" x14ac:dyDescent="0.75">
      <c r="A287" s="34">
        <f t="shared" si="8"/>
        <v>42589</v>
      </c>
      <c r="D287" s="33">
        <f t="shared" si="9"/>
        <v>20371822</v>
      </c>
    </row>
    <row r="288" spans="1:6" x14ac:dyDescent="0.75">
      <c r="A288" s="34">
        <f t="shared" si="8"/>
        <v>42590</v>
      </c>
      <c r="D288" s="33">
        <f t="shared" si="9"/>
        <v>20371822</v>
      </c>
    </row>
    <row r="289" spans="1:4" x14ac:dyDescent="0.75">
      <c r="A289" s="34">
        <f t="shared" si="8"/>
        <v>42591</v>
      </c>
      <c r="D289" s="33">
        <f t="shared" si="9"/>
        <v>20371822</v>
      </c>
    </row>
    <row r="290" spans="1:4" x14ac:dyDescent="0.75">
      <c r="A290" s="34">
        <f t="shared" si="8"/>
        <v>42592</v>
      </c>
      <c r="D290" s="33">
        <f t="shared" si="9"/>
        <v>20371822</v>
      </c>
    </row>
    <row r="291" spans="1:4" x14ac:dyDescent="0.75">
      <c r="A291" s="34">
        <f t="shared" si="8"/>
        <v>42593</v>
      </c>
      <c r="D291" s="33">
        <f t="shared" si="9"/>
        <v>20371822</v>
      </c>
    </row>
    <row r="292" spans="1:4" x14ac:dyDescent="0.75">
      <c r="A292" s="34">
        <f t="shared" si="8"/>
        <v>42594</v>
      </c>
      <c r="D292" s="33">
        <f t="shared" si="9"/>
        <v>20371822</v>
      </c>
    </row>
    <row r="293" spans="1:4" x14ac:dyDescent="0.75">
      <c r="A293" s="34">
        <f t="shared" si="8"/>
        <v>42595</v>
      </c>
      <c r="D293" s="33">
        <f t="shared" si="9"/>
        <v>20371822</v>
      </c>
    </row>
    <row r="294" spans="1:4" x14ac:dyDescent="0.75">
      <c r="A294" s="34">
        <f t="shared" si="8"/>
        <v>42596</v>
      </c>
      <c r="D294" s="33">
        <f t="shared" si="9"/>
        <v>20371822</v>
      </c>
    </row>
    <row r="295" spans="1:4" x14ac:dyDescent="0.75">
      <c r="A295" s="34">
        <f t="shared" si="8"/>
        <v>42597</v>
      </c>
      <c r="D295" s="33">
        <f t="shared" si="9"/>
        <v>20371822</v>
      </c>
    </row>
    <row r="296" spans="1:4" x14ac:dyDescent="0.75">
      <c r="A296" s="34">
        <f t="shared" si="8"/>
        <v>42598</v>
      </c>
      <c r="D296" s="33">
        <f t="shared" si="9"/>
        <v>20371822</v>
      </c>
    </row>
    <row r="297" spans="1:4" x14ac:dyDescent="0.75">
      <c r="A297" s="34">
        <f t="shared" si="8"/>
        <v>42599</v>
      </c>
      <c r="D297" s="33">
        <f t="shared" si="9"/>
        <v>20371822</v>
      </c>
    </row>
    <row r="298" spans="1:4" x14ac:dyDescent="0.75">
      <c r="A298" s="34">
        <f t="shared" si="8"/>
        <v>42600</v>
      </c>
      <c r="D298" s="33">
        <f t="shared" si="9"/>
        <v>20371822</v>
      </c>
    </row>
    <row r="299" spans="1:4" x14ac:dyDescent="0.75">
      <c r="A299" s="34">
        <f t="shared" si="8"/>
        <v>42601</v>
      </c>
      <c r="D299" s="33">
        <f t="shared" si="9"/>
        <v>20371822</v>
      </c>
    </row>
    <row r="300" spans="1:4" x14ac:dyDescent="0.75">
      <c r="A300" s="34">
        <f t="shared" si="8"/>
        <v>42602</v>
      </c>
      <c r="D300" s="33">
        <f t="shared" si="9"/>
        <v>20371822</v>
      </c>
    </row>
    <row r="301" spans="1:4" x14ac:dyDescent="0.75">
      <c r="A301" s="34">
        <f t="shared" si="8"/>
        <v>42603</v>
      </c>
      <c r="D301" s="33">
        <f t="shared" si="9"/>
        <v>20371822</v>
      </c>
    </row>
    <row r="302" spans="1:4" x14ac:dyDescent="0.75">
      <c r="A302" s="34">
        <f t="shared" si="8"/>
        <v>42604</v>
      </c>
      <c r="D302" s="33">
        <f t="shared" si="9"/>
        <v>20371822</v>
      </c>
    </row>
    <row r="303" spans="1:4" x14ac:dyDescent="0.75">
      <c r="A303" s="34">
        <f t="shared" si="8"/>
        <v>42605</v>
      </c>
      <c r="D303" s="33">
        <f t="shared" si="9"/>
        <v>20371822</v>
      </c>
    </row>
    <row r="304" spans="1:4" x14ac:dyDescent="0.75">
      <c r="A304" s="34">
        <f t="shared" si="8"/>
        <v>42606</v>
      </c>
      <c r="D304" s="33">
        <f t="shared" si="9"/>
        <v>20371822</v>
      </c>
    </row>
    <row r="305" spans="1:4" x14ac:dyDescent="0.75">
      <c r="A305" s="34">
        <f t="shared" si="8"/>
        <v>42607</v>
      </c>
      <c r="D305" s="33">
        <f t="shared" si="9"/>
        <v>20371822</v>
      </c>
    </row>
    <row r="306" spans="1:4" x14ac:dyDescent="0.75">
      <c r="A306" s="34">
        <f t="shared" si="8"/>
        <v>42608</v>
      </c>
      <c r="D306" s="33">
        <f t="shared" si="9"/>
        <v>20371822</v>
      </c>
    </row>
    <row r="307" spans="1:4" x14ac:dyDescent="0.75">
      <c r="A307" s="34">
        <f t="shared" si="8"/>
        <v>42609</v>
      </c>
      <c r="D307" s="33">
        <f t="shared" si="9"/>
        <v>20371822</v>
      </c>
    </row>
    <row r="308" spans="1:4" x14ac:dyDescent="0.75">
      <c r="A308" s="34">
        <f t="shared" si="8"/>
        <v>42610</v>
      </c>
      <c r="D308" s="33">
        <f t="shared" si="9"/>
        <v>20371822</v>
      </c>
    </row>
    <row r="309" spans="1:4" x14ac:dyDescent="0.75">
      <c r="A309" s="34">
        <f t="shared" si="8"/>
        <v>42611</v>
      </c>
      <c r="D309" s="33">
        <f t="shared" si="9"/>
        <v>20371822</v>
      </c>
    </row>
    <row r="310" spans="1:4" x14ac:dyDescent="0.75">
      <c r="A310" s="34">
        <f t="shared" si="8"/>
        <v>42612</v>
      </c>
      <c r="D310" s="33">
        <f t="shared" si="9"/>
        <v>20371822</v>
      </c>
    </row>
    <row r="311" spans="1:4" x14ac:dyDescent="0.75">
      <c r="A311" s="34">
        <f t="shared" si="8"/>
        <v>42613</v>
      </c>
      <c r="D311" s="33">
        <f t="shared" si="9"/>
        <v>20371822</v>
      </c>
    </row>
    <row r="312" spans="1:4" x14ac:dyDescent="0.75">
      <c r="A312" s="34">
        <f t="shared" si="8"/>
        <v>42614</v>
      </c>
      <c r="D312" s="33">
        <f t="shared" si="9"/>
        <v>20371822</v>
      </c>
    </row>
    <row r="313" spans="1:4" x14ac:dyDescent="0.75">
      <c r="A313" s="34">
        <f t="shared" si="8"/>
        <v>42615</v>
      </c>
      <c r="D313" s="33">
        <f t="shared" si="9"/>
        <v>20371822</v>
      </c>
    </row>
    <row r="314" spans="1:4" x14ac:dyDescent="0.75">
      <c r="A314" s="34">
        <f t="shared" si="8"/>
        <v>42616</v>
      </c>
      <c r="D314" s="33">
        <f t="shared" si="9"/>
        <v>20371822</v>
      </c>
    </row>
    <row r="315" spans="1:4" x14ac:dyDescent="0.75">
      <c r="A315" s="34">
        <f t="shared" si="8"/>
        <v>42617</v>
      </c>
      <c r="D315" s="33">
        <f t="shared" si="9"/>
        <v>20371822</v>
      </c>
    </row>
    <row r="316" spans="1:4" x14ac:dyDescent="0.75">
      <c r="A316" s="34">
        <f t="shared" si="8"/>
        <v>42618</v>
      </c>
      <c r="D316" s="33">
        <f t="shared" si="9"/>
        <v>20371822</v>
      </c>
    </row>
    <row r="317" spans="1:4" x14ac:dyDescent="0.75">
      <c r="A317" s="34">
        <f t="shared" si="8"/>
        <v>42619</v>
      </c>
      <c r="D317" s="33">
        <f t="shared" si="9"/>
        <v>20371822</v>
      </c>
    </row>
    <row r="318" spans="1:4" x14ac:dyDescent="0.75">
      <c r="A318" s="34">
        <f t="shared" si="8"/>
        <v>42620</v>
      </c>
      <c r="D318" s="33">
        <f t="shared" si="9"/>
        <v>20371822</v>
      </c>
    </row>
    <row r="319" spans="1:4" x14ac:dyDescent="0.75">
      <c r="A319" s="34">
        <f t="shared" si="8"/>
        <v>42621</v>
      </c>
      <c r="D319" s="33">
        <f t="shared" si="9"/>
        <v>20371822</v>
      </c>
    </row>
    <row r="320" spans="1:4" x14ac:dyDescent="0.75">
      <c r="A320" s="34">
        <f t="shared" si="8"/>
        <v>42622</v>
      </c>
      <c r="D320" s="33">
        <f t="shared" si="9"/>
        <v>20371822</v>
      </c>
    </row>
    <row r="321" spans="1:4" x14ac:dyDescent="0.75">
      <c r="A321" s="34">
        <f t="shared" si="8"/>
        <v>42623</v>
      </c>
      <c r="D321" s="33">
        <f t="shared" si="9"/>
        <v>20371822</v>
      </c>
    </row>
    <row r="322" spans="1:4" x14ac:dyDescent="0.75">
      <c r="A322" s="34">
        <f t="shared" si="8"/>
        <v>42624</v>
      </c>
      <c r="D322" s="33">
        <f t="shared" si="9"/>
        <v>20371822</v>
      </c>
    </row>
    <row r="323" spans="1:4" x14ac:dyDescent="0.75">
      <c r="A323" s="34">
        <f t="shared" si="8"/>
        <v>42625</v>
      </c>
      <c r="D323" s="33">
        <f t="shared" si="9"/>
        <v>20371822</v>
      </c>
    </row>
    <row r="324" spans="1:4" x14ac:dyDescent="0.75">
      <c r="A324" s="34">
        <f t="shared" si="8"/>
        <v>42626</v>
      </c>
      <c r="D324" s="33">
        <f t="shared" si="9"/>
        <v>20371822</v>
      </c>
    </row>
    <row r="325" spans="1:4" x14ac:dyDescent="0.75">
      <c r="A325" s="34">
        <f t="shared" si="8"/>
        <v>42627</v>
      </c>
      <c r="D325" s="33">
        <f t="shared" si="9"/>
        <v>20371822</v>
      </c>
    </row>
    <row r="326" spans="1:4" x14ac:dyDescent="0.75">
      <c r="A326" s="34">
        <f t="shared" si="8"/>
        <v>42628</v>
      </c>
      <c r="D326" s="33">
        <f t="shared" si="9"/>
        <v>20371822</v>
      </c>
    </row>
    <row r="327" spans="1:4" x14ac:dyDescent="0.75">
      <c r="A327" s="34">
        <f t="shared" si="8"/>
        <v>42629</v>
      </c>
      <c r="D327" s="33">
        <f t="shared" si="9"/>
        <v>20371822</v>
      </c>
    </row>
    <row r="328" spans="1:4" x14ac:dyDescent="0.75">
      <c r="A328" s="34">
        <f t="shared" ref="A328:A372" si="10">A327+1</f>
        <v>42630</v>
      </c>
      <c r="D328" s="33">
        <f t="shared" ref="D328:D372" si="11">D327+C328</f>
        <v>20371822</v>
      </c>
    </row>
    <row r="329" spans="1:4" x14ac:dyDescent="0.75">
      <c r="A329" s="34">
        <f t="shared" si="10"/>
        <v>42631</v>
      </c>
      <c r="D329" s="33">
        <f t="shared" si="11"/>
        <v>20371822</v>
      </c>
    </row>
    <row r="330" spans="1:4" x14ac:dyDescent="0.75">
      <c r="A330" s="34">
        <f t="shared" si="10"/>
        <v>42632</v>
      </c>
      <c r="D330" s="33">
        <f t="shared" si="11"/>
        <v>20371822</v>
      </c>
    </row>
    <row r="331" spans="1:4" x14ac:dyDescent="0.75">
      <c r="A331" s="34">
        <f t="shared" si="10"/>
        <v>42633</v>
      </c>
      <c r="D331" s="33">
        <f t="shared" si="11"/>
        <v>20371822</v>
      </c>
    </row>
    <row r="332" spans="1:4" x14ac:dyDescent="0.75">
      <c r="A332" s="34">
        <f t="shared" si="10"/>
        <v>42634</v>
      </c>
      <c r="D332" s="33">
        <f t="shared" si="11"/>
        <v>20371822</v>
      </c>
    </row>
    <row r="333" spans="1:4" x14ac:dyDescent="0.75">
      <c r="A333" s="34">
        <f t="shared" si="10"/>
        <v>42635</v>
      </c>
      <c r="D333" s="33">
        <f t="shared" si="11"/>
        <v>20371822</v>
      </c>
    </row>
    <row r="334" spans="1:4" x14ac:dyDescent="0.75">
      <c r="A334" s="34">
        <f t="shared" si="10"/>
        <v>42636</v>
      </c>
      <c r="D334" s="33">
        <f t="shared" si="11"/>
        <v>20371822</v>
      </c>
    </row>
    <row r="335" spans="1:4" x14ac:dyDescent="0.75">
      <c r="A335" s="34">
        <f t="shared" si="10"/>
        <v>42637</v>
      </c>
      <c r="D335" s="33">
        <f t="shared" si="11"/>
        <v>20371822</v>
      </c>
    </row>
    <row r="336" spans="1:4" x14ac:dyDescent="0.75">
      <c r="A336" s="34">
        <f t="shared" si="10"/>
        <v>42638</v>
      </c>
      <c r="D336" s="33">
        <f t="shared" si="11"/>
        <v>20371822</v>
      </c>
    </row>
    <row r="337" spans="1:4" x14ac:dyDescent="0.75">
      <c r="A337" s="34">
        <f t="shared" si="10"/>
        <v>42639</v>
      </c>
      <c r="D337" s="33">
        <f t="shared" si="11"/>
        <v>20371822</v>
      </c>
    </row>
    <row r="338" spans="1:4" x14ac:dyDescent="0.75">
      <c r="A338" s="34">
        <f t="shared" si="10"/>
        <v>42640</v>
      </c>
      <c r="D338" s="33">
        <f t="shared" si="11"/>
        <v>20371822</v>
      </c>
    </row>
    <row r="339" spans="1:4" x14ac:dyDescent="0.75">
      <c r="A339" s="34">
        <f t="shared" si="10"/>
        <v>42641</v>
      </c>
      <c r="D339" s="33">
        <f t="shared" si="11"/>
        <v>20371822</v>
      </c>
    </row>
    <row r="340" spans="1:4" x14ac:dyDescent="0.75">
      <c r="A340" s="34">
        <f t="shared" si="10"/>
        <v>42642</v>
      </c>
      <c r="D340" s="33">
        <f t="shared" si="11"/>
        <v>20371822</v>
      </c>
    </row>
    <row r="341" spans="1:4" x14ac:dyDescent="0.75">
      <c r="A341" s="34">
        <f t="shared" si="10"/>
        <v>42643</v>
      </c>
      <c r="D341" s="33">
        <f t="shared" si="11"/>
        <v>20371822</v>
      </c>
    </row>
    <row r="342" spans="1:4" x14ac:dyDescent="0.75">
      <c r="A342" s="34">
        <f t="shared" si="10"/>
        <v>42644</v>
      </c>
      <c r="D342" s="33">
        <f t="shared" si="11"/>
        <v>20371822</v>
      </c>
    </row>
    <row r="343" spans="1:4" x14ac:dyDescent="0.75">
      <c r="A343" s="34">
        <f t="shared" si="10"/>
        <v>42645</v>
      </c>
      <c r="D343" s="33">
        <f t="shared" si="11"/>
        <v>20371822</v>
      </c>
    </row>
    <row r="344" spans="1:4" x14ac:dyDescent="0.75">
      <c r="A344" s="34">
        <f t="shared" si="10"/>
        <v>42646</v>
      </c>
      <c r="D344" s="33">
        <f t="shared" si="11"/>
        <v>20371822</v>
      </c>
    </row>
    <row r="345" spans="1:4" x14ac:dyDescent="0.75">
      <c r="A345" s="34">
        <f t="shared" si="10"/>
        <v>42647</v>
      </c>
      <c r="D345" s="33">
        <f t="shared" si="11"/>
        <v>20371822</v>
      </c>
    </row>
    <row r="346" spans="1:4" x14ac:dyDescent="0.75">
      <c r="A346" s="34">
        <f t="shared" si="10"/>
        <v>42648</v>
      </c>
      <c r="D346" s="33">
        <f t="shared" si="11"/>
        <v>20371822</v>
      </c>
    </row>
    <row r="347" spans="1:4" x14ac:dyDescent="0.75">
      <c r="A347" s="34">
        <f t="shared" si="10"/>
        <v>42649</v>
      </c>
      <c r="D347" s="33">
        <f t="shared" si="11"/>
        <v>20371822</v>
      </c>
    </row>
    <row r="348" spans="1:4" x14ac:dyDescent="0.75">
      <c r="A348" s="34">
        <f t="shared" si="10"/>
        <v>42650</v>
      </c>
      <c r="D348" s="33">
        <f t="shared" si="11"/>
        <v>20371822</v>
      </c>
    </row>
    <row r="349" spans="1:4" x14ac:dyDescent="0.75">
      <c r="A349" s="34">
        <f t="shared" si="10"/>
        <v>42651</v>
      </c>
      <c r="D349" s="33">
        <f t="shared" si="11"/>
        <v>20371822</v>
      </c>
    </row>
    <row r="350" spans="1:4" x14ac:dyDescent="0.75">
      <c r="A350" s="34">
        <f t="shared" si="10"/>
        <v>42652</v>
      </c>
      <c r="D350" s="33">
        <f t="shared" si="11"/>
        <v>20371822</v>
      </c>
    </row>
    <row r="351" spans="1:4" x14ac:dyDescent="0.75">
      <c r="A351" s="34">
        <f t="shared" si="10"/>
        <v>42653</v>
      </c>
      <c r="D351" s="33">
        <f t="shared" si="11"/>
        <v>20371822</v>
      </c>
    </row>
    <row r="352" spans="1:4" x14ac:dyDescent="0.75">
      <c r="A352" s="34">
        <f t="shared" si="10"/>
        <v>42654</v>
      </c>
      <c r="D352" s="33">
        <f t="shared" si="11"/>
        <v>20371822</v>
      </c>
    </row>
    <row r="353" spans="1:4" x14ac:dyDescent="0.75">
      <c r="A353" s="34">
        <f t="shared" si="10"/>
        <v>42655</v>
      </c>
      <c r="D353" s="33">
        <f t="shared" si="11"/>
        <v>20371822</v>
      </c>
    </row>
    <row r="354" spans="1:4" x14ac:dyDescent="0.75">
      <c r="A354" s="34">
        <f t="shared" si="10"/>
        <v>42656</v>
      </c>
      <c r="D354" s="33">
        <f t="shared" si="11"/>
        <v>20371822</v>
      </c>
    </row>
    <row r="355" spans="1:4" x14ac:dyDescent="0.75">
      <c r="A355" s="34">
        <f t="shared" si="10"/>
        <v>42657</v>
      </c>
      <c r="D355" s="33">
        <f t="shared" si="11"/>
        <v>20371822</v>
      </c>
    </row>
    <row r="356" spans="1:4" x14ac:dyDescent="0.75">
      <c r="A356" s="34">
        <f t="shared" si="10"/>
        <v>42658</v>
      </c>
      <c r="D356" s="33">
        <f t="shared" si="11"/>
        <v>20371822</v>
      </c>
    </row>
    <row r="357" spans="1:4" x14ac:dyDescent="0.75">
      <c r="A357" s="34">
        <f t="shared" si="10"/>
        <v>42659</v>
      </c>
      <c r="D357" s="33">
        <f t="shared" si="11"/>
        <v>20371822</v>
      </c>
    </row>
    <row r="358" spans="1:4" x14ac:dyDescent="0.75">
      <c r="A358" s="34">
        <f t="shared" si="10"/>
        <v>42660</v>
      </c>
      <c r="D358" s="33">
        <f t="shared" si="11"/>
        <v>20371822</v>
      </c>
    </row>
    <row r="359" spans="1:4" x14ac:dyDescent="0.75">
      <c r="A359" s="34">
        <f t="shared" si="10"/>
        <v>42661</v>
      </c>
      <c r="D359" s="33">
        <f t="shared" si="11"/>
        <v>20371822</v>
      </c>
    </row>
    <row r="360" spans="1:4" x14ac:dyDescent="0.75">
      <c r="A360" s="34">
        <f t="shared" si="10"/>
        <v>42662</v>
      </c>
      <c r="D360" s="33">
        <f t="shared" si="11"/>
        <v>20371822</v>
      </c>
    </row>
    <row r="361" spans="1:4" x14ac:dyDescent="0.75">
      <c r="A361" s="34">
        <f t="shared" si="10"/>
        <v>42663</v>
      </c>
      <c r="D361" s="33">
        <f t="shared" si="11"/>
        <v>20371822</v>
      </c>
    </row>
    <row r="362" spans="1:4" x14ac:dyDescent="0.75">
      <c r="A362" s="34">
        <f t="shared" si="10"/>
        <v>42664</v>
      </c>
      <c r="D362" s="33">
        <f t="shared" si="11"/>
        <v>20371822</v>
      </c>
    </row>
    <row r="363" spans="1:4" x14ac:dyDescent="0.75">
      <c r="A363" s="34">
        <f t="shared" si="10"/>
        <v>42665</v>
      </c>
      <c r="D363" s="33">
        <f t="shared" si="11"/>
        <v>20371822</v>
      </c>
    </row>
    <row r="364" spans="1:4" x14ac:dyDescent="0.75">
      <c r="A364" s="34">
        <f t="shared" si="10"/>
        <v>42666</v>
      </c>
      <c r="D364" s="33">
        <f t="shared" si="11"/>
        <v>20371822</v>
      </c>
    </row>
    <row r="365" spans="1:4" x14ac:dyDescent="0.75">
      <c r="A365" s="34">
        <f t="shared" si="10"/>
        <v>42667</v>
      </c>
      <c r="D365" s="33">
        <f t="shared" si="11"/>
        <v>20371822</v>
      </c>
    </row>
    <row r="366" spans="1:4" x14ac:dyDescent="0.75">
      <c r="A366" s="34">
        <f t="shared" si="10"/>
        <v>42668</v>
      </c>
      <c r="D366" s="33">
        <f t="shared" si="11"/>
        <v>20371822</v>
      </c>
    </row>
    <row r="367" spans="1:4" x14ac:dyDescent="0.75">
      <c r="A367" s="34">
        <f t="shared" si="10"/>
        <v>42669</v>
      </c>
      <c r="D367" s="33">
        <f t="shared" si="11"/>
        <v>20371822</v>
      </c>
    </row>
    <row r="368" spans="1:4" x14ac:dyDescent="0.75">
      <c r="A368" s="34">
        <f t="shared" si="10"/>
        <v>42670</v>
      </c>
      <c r="D368" s="33">
        <f t="shared" si="11"/>
        <v>20371822</v>
      </c>
    </row>
    <row r="369" spans="1:6" x14ac:dyDescent="0.75">
      <c r="A369" s="34">
        <f t="shared" si="10"/>
        <v>42671</v>
      </c>
      <c r="D369" s="33">
        <f t="shared" si="11"/>
        <v>20371822</v>
      </c>
    </row>
    <row r="370" spans="1:6" x14ac:dyDescent="0.75">
      <c r="A370" s="34">
        <f t="shared" si="10"/>
        <v>42672</v>
      </c>
      <c r="D370" s="33">
        <f t="shared" si="11"/>
        <v>20371822</v>
      </c>
    </row>
    <row r="371" spans="1:6" x14ac:dyDescent="0.75">
      <c r="A371" s="34">
        <f t="shared" si="10"/>
        <v>42673</v>
      </c>
      <c r="D371" s="33">
        <f t="shared" si="11"/>
        <v>20371822</v>
      </c>
    </row>
    <row r="372" spans="1:6" x14ac:dyDescent="0.75">
      <c r="A372" s="34">
        <f t="shared" si="10"/>
        <v>42674</v>
      </c>
      <c r="D372" s="33">
        <f t="shared" si="11"/>
        <v>20371822</v>
      </c>
      <c r="E372" s="33">
        <f>AVERAGE(D281:D372)</f>
        <v>20371822</v>
      </c>
      <c r="F372" s="33">
        <f>AVERAGE(D7:D372)</f>
        <v>20371822</v>
      </c>
    </row>
    <row r="373" spans="1:6" x14ac:dyDescent="0.75">
      <c r="A373" s="34"/>
    </row>
    <row r="374" spans="1:6" x14ac:dyDescent="0.75">
      <c r="A374" s="34"/>
    </row>
    <row r="375" spans="1:6" x14ac:dyDescent="0.75">
      <c r="A375" s="34"/>
    </row>
    <row r="376" spans="1:6" x14ac:dyDescent="0.75">
      <c r="A376" s="34"/>
    </row>
    <row r="377" spans="1:6" x14ac:dyDescent="0.75">
      <c r="A377" s="34"/>
    </row>
    <row r="378" spans="1:6" x14ac:dyDescent="0.75">
      <c r="A378" s="34"/>
    </row>
    <row r="379" spans="1:6" x14ac:dyDescent="0.75">
      <c r="A379" s="34"/>
    </row>
    <row r="380" spans="1:6" x14ac:dyDescent="0.75">
      <c r="A380" s="34"/>
    </row>
    <row r="381" spans="1:6" x14ac:dyDescent="0.75">
      <c r="A381" s="34"/>
    </row>
    <row r="382" spans="1:6" x14ac:dyDescent="0.75">
      <c r="A382" s="34"/>
    </row>
    <row r="383" spans="1:6" x14ac:dyDescent="0.75">
      <c r="A383" s="34"/>
    </row>
    <row r="384" spans="1:6" x14ac:dyDescent="0.75">
      <c r="A384" s="34"/>
    </row>
    <row r="385" spans="1:1" x14ac:dyDescent="0.75">
      <c r="A385" s="34"/>
    </row>
    <row r="386" spans="1:1" x14ac:dyDescent="0.75">
      <c r="A386" s="34"/>
    </row>
    <row r="387" spans="1:1" x14ac:dyDescent="0.75">
      <c r="A387" s="34"/>
    </row>
    <row r="388" spans="1:1" x14ac:dyDescent="0.75">
      <c r="A388" s="34"/>
    </row>
    <row r="389" spans="1:1" x14ac:dyDescent="0.75">
      <c r="A389" s="34"/>
    </row>
    <row r="390" spans="1:1" x14ac:dyDescent="0.75">
      <c r="A390" s="34"/>
    </row>
    <row r="391" spans="1:1" x14ac:dyDescent="0.75">
      <c r="A391" s="34"/>
    </row>
    <row r="392" spans="1:1" x14ac:dyDescent="0.75">
      <c r="A392" s="3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4BFB-7449-4EFA-B29B-CAA3EA8C6189}">
  <sheetPr codeName="Sheet10">
    <tabColor rgb="FFFFFF00"/>
  </sheetPr>
  <dimension ref="A1:K255"/>
  <sheetViews>
    <sheetView zoomScaleNormal="100" workbookViewId="0">
      <pane xSplit="2" ySplit="5" topLeftCell="C117" activePane="bottomRight" state="frozenSplit"/>
      <selection pane="topRight" activeCell="C1" sqref="C1"/>
      <selection pane="bottomLeft" activeCell="A3" sqref="A3"/>
      <selection pane="bottomRight" activeCell="H137" sqref="H137"/>
    </sheetView>
  </sheetViews>
  <sheetFormatPr defaultColWidth="9.1328125" defaultRowHeight="14.75" x14ac:dyDescent="0.75"/>
  <cols>
    <col min="1" max="1" width="11.86328125" style="14" customWidth="1"/>
    <col min="2" max="2" width="40.26953125" style="18" customWidth="1"/>
    <col min="3" max="3" width="14.1328125" style="10" customWidth="1"/>
    <col min="4" max="4" width="2.1328125" style="10" customWidth="1"/>
    <col min="5" max="5" width="15.40625" style="10" customWidth="1"/>
    <col min="6" max="6" width="4.26953125" style="10" customWidth="1"/>
    <col min="7" max="7" width="15.40625" style="10" customWidth="1"/>
    <col min="8" max="8" width="17.54296875" style="76" bestFit="1" customWidth="1"/>
    <col min="9" max="9" width="12.40625" style="76" customWidth="1"/>
    <col min="10" max="16384" width="9.1328125" style="76"/>
  </cols>
  <sheetData>
    <row r="1" spans="1:11" ht="18" x14ac:dyDescent="0.8">
      <c r="B1" s="195" t="s">
        <v>696</v>
      </c>
      <c r="C1" s="195"/>
      <c r="D1" s="195"/>
    </row>
    <row r="2" spans="1:11" ht="18" x14ac:dyDescent="0.8">
      <c r="B2" s="195" t="s">
        <v>697</v>
      </c>
      <c r="C2" s="195"/>
      <c r="D2" s="195"/>
    </row>
    <row r="3" spans="1:11" ht="15.75" x14ac:dyDescent="0.75">
      <c r="B3" s="196" t="str">
        <f>'Raw Data 10-31-2018'!B3:D3</f>
        <v>As of October 31, 2018</v>
      </c>
      <c r="C3" s="196"/>
      <c r="D3" s="196"/>
    </row>
    <row r="4" spans="1:11" ht="15.5" thickBot="1" x14ac:dyDescent="0.9">
      <c r="A4" s="12"/>
      <c r="B4" s="13"/>
      <c r="C4" s="15"/>
      <c r="D4" s="78"/>
      <c r="E4" s="79"/>
      <c r="F4" s="79"/>
      <c r="G4" s="79"/>
    </row>
    <row r="5" spans="1:11" s="9" customFormat="1" ht="16.25" thickTop="1" thickBot="1" x14ac:dyDescent="0.9">
      <c r="A5" s="12" t="s">
        <v>4</v>
      </c>
      <c r="B5" s="17" t="s">
        <v>3</v>
      </c>
      <c r="C5" s="7" t="s">
        <v>0</v>
      </c>
      <c r="D5" s="8"/>
      <c r="E5" s="7" t="s">
        <v>1</v>
      </c>
      <c r="F5" s="15"/>
      <c r="G5" s="15" t="s">
        <v>170</v>
      </c>
      <c r="H5" s="35" t="s">
        <v>799</v>
      </c>
    </row>
    <row r="6" spans="1:11" ht="15.5" thickTop="1" x14ac:dyDescent="0.75">
      <c r="A6" s="12">
        <v>1005</v>
      </c>
      <c r="B6" s="13" t="s">
        <v>457</v>
      </c>
      <c r="C6" s="3">
        <f>SUMIF('Raw Data 10-31-2018'!$A$6:$A$256,'PY TB-18'!A6,'Raw Data 10-31-2018'!C$6:C$256)</f>
        <v>0</v>
      </c>
      <c r="D6" s="4"/>
      <c r="E6" s="3">
        <f>SUMIF('Raw Data 10-31-2018'!$A$6:$A$256,'PY TB-18'!A6,'Raw Data 10-31-2018'!D$6:D$256)</f>
        <v>0</v>
      </c>
      <c r="F6" s="3"/>
      <c r="G6" s="3">
        <f>C6-E6</f>
        <v>0</v>
      </c>
      <c r="H6" s="76" t="s">
        <v>171</v>
      </c>
      <c r="J6" s="19"/>
    </row>
    <row r="7" spans="1:11" x14ac:dyDescent="0.75">
      <c r="A7" s="12">
        <v>1010</v>
      </c>
      <c r="B7" s="13" t="s">
        <v>458</v>
      </c>
      <c r="C7" s="3">
        <f>SUMIF('Raw Data 10-31-2018'!$A$6:$A$256,'PY TB-18'!A7,'Raw Data 10-31-2018'!C$6:C$256)</f>
        <v>119906.86</v>
      </c>
      <c r="D7" s="4"/>
      <c r="E7" s="3">
        <f>SUMIF('Raw Data 10-31-2018'!$A$6:$A$256,'PY TB-18'!A7,'Raw Data 10-31-2018'!D$6:D$256)</f>
        <v>0</v>
      </c>
      <c r="F7" s="3"/>
      <c r="G7" s="3">
        <f t="shared" ref="G7:G72" si="0">C7-E7</f>
        <v>119906.86</v>
      </c>
      <c r="H7" s="76" t="s">
        <v>171</v>
      </c>
      <c r="J7" s="19"/>
    </row>
    <row r="8" spans="1:11" x14ac:dyDescent="0.75">
      <c r="A8" s="12">
        <v>1020</v>
      </c>
      <c r="B8" s="13" t="s">
        <v>459</v>
      </c>
      <c r="C8" s="3">
        <f>SUMIF('Raw Data 10-31-2018'!$A$6:$A$256,'PY TB-18'!A8,'Raw Data 10-31-2018'!C$6:C$256)</f>
        <v>272640.13</v>
      </c>
      <c r="D8" s="4"/>
      <c r="E8" s="3">
        <f>SUMIF('Raw Data 10-31-2018'!$A$6:$A$256,'PY TB-18'!A8,'Raw Data 10-31-2018'!D$6:D$256)</f>
        <v>0</v>
      </c>
      <c r="F8" s="3"/>
      <c r="G8" s="3">
        <f t="shared" si="0"/>
        <v>272640.13</v>
      </c>
      <c r="H8" s="76" t="s">
        <v>171</v>
      </c>
      <c r="J8" s="19"/>
    </row>
    <row r="9" spans="1:11" x14ac:dyDescent="0.75">
      <c r="A9" s="12">
        <v>1200</v>
      </c>
      <c r="B9" s="13" t="s">
        <v>460</v>
      </c>
      <c r="C9" s="3">
        <f>SUMIF('Raw Data 10-31-2018'!$A$6:$A$256,'PY TB-18'!A9,'Raw Data 10-31-2018'!C$6:C$256)</f>
        <v>27547.759999999998</v>
      </c>
      <c r="D9" s="4"/>
      <c r="E9" s="3">
        <f>SUMIF('Raw Data 10-31-2018'!$A$6:$A$256,'PY TB-18'!A9,'Raw Data 10-31-2018'!D$6:D$256)</f>
        <v>0</v>
      </c>
      <c r="F9" s="3"/>
      <c r="G9" s="3">
        <f t="shared" si="0"/>
        <v>27547.759999999998</v>
      </c>
      <c r="H9" s="76" t="s">
        <v>172</v>
      </c>
      <c r="J9" s="19"/>
      <c r="K9" s="51"/>
    </row>
    <row r="10" spans="1:11" x14ac:dyDescent="0.75">
      <c r="A10" s="12">
        <v>1210</v>
      </c>
      <c r="B10" s="13" t="s">
        <v>461</v>
      </c>
      <c r="C10" s="3">
        <f>SUMIF('Raw Data 10-31-2018'!$A$6:$A$256,'PY TB-18'!A10,'Raw Data 10-31-2018'!C$6:C$256)</f>
        <v>0</v>
      </c>
      <c r="D10" s="4"/>
      <c r="E10" s="3">
        <f>SUMIF('Raw Data 10-31-2018'!$A$6:$A$256,'PY TB-18'!A10,'Raw Data 10-31-2018'!D$6:D$256)</f>
        <v>0</v>
      </c>
      <c r="F10" s="3"/>
      <c r="G10" s="3">
        <f t="shared" si="0"/>
        <v>0</v>
      </c>
      <c r="H10" s="76" t="s">
        <v>172</v>
      </c>
      <c r="J10" s="19"/>
      <c r="K10" s="51"/>
    </row>
    <row r="11" spans="1:11" x14ac:dyDescent="0.75">
      <c r="A11" s="12">
        <v>1250</v>
      </c>
      <c r="B11" s="13" t="s">
        <v>462</v>
      </c>
      <c r="C11" s="3">
        <f>SUMIF('Raw Data 10-31-2018'!$A$6:$A$256,'PY TB-18'!A11,'Raw Data 10-31-2018'!C$6:C$256)</f>
        <v>0</v>
      </c>
      <c r="D11" s="4"/>
      <c r="E11" s="3">
        <f>SUMIF('Raw Data 10-31-2018'!$A$6:$A$256,'PY TB-18'!A11,'Raw Data 10-31-2018'!D$6:D$256)</f>
        <v>0</v>
      </c>
      <c r="F11" s="3"/>
      <c r="G11" s="3">
        <f t="shared" si="0"/>
        <v>0</v>
      </c>
      <c r="H11" s="76" t="s">
        <v>172</v>
      </c>
      <c r="J11" s="19"/>
      <c r="K11" s="51"/>
    </row>
    <row r="12" spans="1:11" x14ac:dyDescent="0.75">
      <c r="A12" s="12">
        <v>1280</v>
      </c>
      <c r="B12" s="13" t="s">
        <v>468</v>
      </c>
      <c r="C12" s="3">
        <f>SUMIF('Raw Data 10-31-2018'!$A$6:$A$256,'PY TB-18'!A12,'Raw Data 10-31-2018'!C$6:C$256)</f>
        <v>0</v>
      </c>
      <c r="D12" s="4"/>
      <c r="E12" s="3">
        <f>SUMIF('Raw Data 10-31-2018'!$A$6:$A$256,'PY TB-18'!A12,'Raw Data 10-31-2018'!D$6:D$256)</f>
        <v>0</v>
      </c>
      <c r="F12" s="3"/>
      <c r="G12" s="3">
        <f t="shared" si="0"/>
        <v>0</v>
      </c>
      <c r="H12" s="76" t="s">
        <v>175</v>
      </c>
      <c r="J12" s="19"/>
    </row>
    <row r="13" spans="1:11" x14ac:dyDescent="0.75">
      <c r="A13" s="12">
        <v>1290</v>
      </c>
      <c r="B13" s="13" t="s">
        <v>469</v>
      </c>
      <c r="C13" s="3">
        <f>SUMIF('Raw Data 10-31-2018'!$A$6:$A$256,'PY TB-18'!A13,'Raw Data 10-31-2018'!C$6:C$256)</f>
        <v>0</v>
      </c>
      <c r="D13" s="4"/>
      <c r="E13" s="3">
        <f>SUMIF('Raw Data 10-31-2018'!$A$6:$A$256,'PY TB-18'!A13,'Raw Data 10-31-2018'!D$6:D$256)</f>
        <v>0</v>
      </c>
      <c r="F13" s="3"/>
      <c r="G13" s="3">
        <f t="shared" si="0"/>
        <v>0</v>
      </c>
      <c r="H13" s="76" t="s">
        <v>172</v>
      </c>
      <c r="J13" s="19"/>
      <c r="K13" s="51"/>
    </row>
    <row r="14" spans="1:11" x14ac:dyDescent="0.75">
      <c r="A14" s="12">
        <v>1300</v>
      </c>
      <c r="B14" s="13" t="s">
        <v>463</v>
      </c>
      <c r="C14" s="3">
        <f>SUMIF('Raw Data 10-31-2018'!$A$6:$A$256,'PY TB-18'!A14,'Raw Data 10-31-2018'!C$6:C$256)</f>
        <v>0</v>
      </c>
      <c r="D14" s="4"/>
      <c r="E14" s="3">
        <f>SUMIF('Raw Data 10-31-2018'!$A$6:$A$256,'PY TB-18'!A14,'Raw Data 10-31-2018'!D$6:D$256)</f>
        <v>0</v>
      </c>
      <c r="F14" s="3"/>
      <c r="G14" s="3">
        <f t="shared" si="0"/>
        <v>0</v>
      </c>
      <c r="H14" s="76" t="s">
        <v>174</v>
      </c>
      <c r="J14" s="19"/>
    </row>
    <row r="15" spans="1:11" x14ac:dyDescent="0.75">
      <c r="A15" s="12">
        <v>1310</v>
      </c>
      <c r="B15" s="13" t="s">
        <v>467</v>
      </c>
      <c r="C15" s="3">
        <f>SUMIF('Raw Data 10-31-2018'!$A$6:$A$256,'PY TB-18'!A15,'Raw Data 10-31-2018'!C$6:C$256)</f>
        <v>0</v>
      </c>
      <c r="D15" s="4"/>
      <c r="E15" s="3">
        <f>SUMIF('Raw Data 10-31-2018'!$A$6:$A$256,'PY TB-18'!A15,'Raw Data 10-31-2018'!D$6:D$256)</f>
        <v>0</v>
      </c>
      <c r="F15" s="3"/>
      <c r="G15" s="3">
        <f t="shared" si="0"/>
        <v>0</v>
      </c>
      <c r="H15" s="76" t="s">
        <v>174</v>
      </c>
      <c r="J15" s="19"/>
      <c r="K15" s="19"/>
    </row>
    <row r="16" spans="1:11" x14ac:dyDescent="0.75">
      <c r="A16" s="12">
        <v>1320</v>
      </c>
      <c r="B16" s="13" t="s">
        <v>466</v>
      </c>
      <c r="C16" s="3">
        <f>SUMIF('Raw Data 10-31-2018'!$A$6:$A$256,'PY TB-18'!A16,'Raw Data 10-31-2018'!C$6:C$256)</f>
        <v>0</v>
      </c>
      <c r="D16" s="4"/>
      <c r="E16" s="3">
        <f>SUMIF('Raw Data 10-31-2018'!$A$6:$A$256,'PY TB-18'!A16,'Raw Data 10-31-2018'!D$6:D$256)</f>
        <v>0</v>
      </c>
      <c r="F16" s="3"/>
      <c r="G16" s="3">
        <f t="shared" si="0"/>
        <v>0</v>
      </c>
      <c r="H16" s="76" t="s">
        <v>174</v>
      </c>
      <c r="J16" s="19"/>
    </row>
    <row r="17" spans="1:10" x14ac:dyDescent="0.75">
      <c r="A17" s="12">
        <v>1330</v>
      </c>
      <c r="B17" s="13" t="s">
        <v>464</v>
      </c>
      <c r="C17" s="3">
        <f>SUMIF('Raw Data 10-31-2018'!$A$6:$A$256,'PY TB-18'!A17,'Raw Data 10-31-2018'!C$6:C$256)</f>
        <v>0</v>
      </c>
      <c r="D17" s="4"/>
      <c r="E17" s="3">
        <f>SUMIF('Raw Data 10-31-2018'!$A$6:$A$256,'PY TB-18'!A17,'Raw Data 10-31-2018'!D$6:D$256)</f>
        <v>0</v>
      </c>
      <c r="F17" s="3"/>
      <c r="G17" s="3">
        <f t="shared" si="0"/>
        <v>0</v>
      </c>
      <c r="H17" s="76" t="s">
        <v>174</v>
      </c>
      <c r="J17" s="19"/>
    </row>
    <row r="18" spans="1:10" x14ac:dyDescent="0.75">
      <c r="A18" s="12">
        <v>1340</v>
      </c>
      <c r="B18" s="13" t="s">
        <v>465</v>
      </c>
      <c r="C18" s="3">
        <f>SUMIF('Raw Data 10-31-2018'!$A$6:$A$256,'PY TB-18'!A18,'Raw Data 10-31-2018'!C$6:C$256)</f>
        <v>0</v>
      </c>
      <c r="D18" s="4"/>
      <c r="E18" s="3">
        <f>SUMIF('Raw Data 10-31-2018'!$A$6:$A$256,'PY TB-18'!A18,'Raw Data 10-31-2018'!D$6:D$256)</f>
        <v>0</v>
      </c>
      <c r="F18" s="3"/>
      <c r="G18" s="3">
        <f t="shared" si="0"/>
        <v>0</v>
      </c>
      <c r="H18" s="76" t="s">
        <v>174</v>
      </c>
      <c r="J18" s="19"/>
    </row>
    <row r="19" spans="1:10" x14ac:dyDescent="0.75">
      <c r="A19" s="12">
        <v>1410</v>
      </c>
      <c r="B19" s="13" t="s">
        <v>470</v>
      </c>
      <c r="C19" s="3">
        <f>SUMIF('Raw Data 10-31-2018'!$A$6:$A$256,'PY TB-18'!A19,'Raw Data 10-31-2018'!C$6:C$256)</f>
        <v>16000</v>
      </c>
      <c r="D19" s="4"/>
      <c r="E19" s="3">
        <f>SUMIF('Raw Data 10-31-2018'!$A$6:$A$256,'PY TB-18'!A19,'Raw Data 10-31-2018'!D$6:D$256)</f>
        <v>0</v>
      </c>
      <c r="F19" s="3"/>
      <c r="G19" s="3">
        <f t="shared" si="0"/>
        <v>16000</v>
      </c>
      <c r="H19" s="76" t="s">
        <v>175</v>
      </c>
      <c r="J19" s="19"/>
    </row>
    <row r="20" spans="1:10" x14ac:dyDescent="0.75">
      <c r="A20" s="12">
        <v>1420</v>
      </c>
      <c r="B20" s="13" t="s">
        <v>471</v>
      </c>
      <c r="C20" s="3">
        <f>SUMIF('Raw Data 10-31-2018'!$A$6:$A$256,'PY TB-18'!A20,'Raw Data 10-31-2018'!C$6:C$256)</f>
        <v>0</v>
      </c>
      <c r="D20" s="4"/>
      <c r="E20" s="3">
        <f>SUMIF('Raw Data 10-31-2018'!$A$6:$A$256,'PY TB-18'!A20,'Raw Data 10-31-2018'!D$6:D$256)</f>
        <v>0</v>
      </c>
      <c r="F20" s="3"/>
      <c r="G20" s="3">
        <f t="shared" si="0"/>
        <v>0</v>
      </c>
      <c r="H20" s="76" t="s">
        <v>175</v>
      </c>
      <c r="J20" s="19"/>
    </row>
    <row r="21" spans="1:10" x14ac:dyDescent="0.75">
      <c r="A21" s="12">
        <v>1430</v>
      </c>
      <c r="B21" s="13" t="s">
        <v>472</v>
      </c>
      <c r="C21" s="3">
        <f>SUMIF('Raw Data 10-31-2018'!$A$6:$A$256,'PY TB-18'!A21,'Raw Data 10-31-2018'!C$6:C$256)</f>
        <v>0</v>
      </c>
      <c r="D21" s="4"/>
      <c r="E21" s="3">
        <f>SUMIF('Raw Data 10-31-2018'!$A$6:$A$256,'PY TB-18'!A21,'Raw Data 10-31-2018'!D$6:D$256)</f>
        <v>0</v>
      </c>
      <c r="F21" s="3"/>
      <c r="G21" s="3">
        <f t="shared" si="0"/>
        <v>0</v>
      </c>
      <c r="H21" s="76" t="s">
        <v>175</v>
      </c>
      <c r="J21" s="19"/>
    </row>
    <row r="22" spans="1:10" x14ac:dyDescent="0.75">
      <c r="A22" s="12">
        <v>1710</v>
      </c>
      <c r="B22" s="13" t="s">
        <v>481</v>
      </c>
      <c r="C22" s="3">
        <f>SUMIF('Raw Data 10-31-2018'!$A$6:$A$256,'PY TB-18'!A22,'Raw Data 10-31-2018'!C$6:C$256)</f>
        <v>97384.17</v>
      </c>
      <c r="D22" s="4"/>
      <c r="E22" s="3">
        <f>SUMIF('Raw Data 10-31-2018'!$A$6:$A$256,'PY TB-18'!A22,'Raw Data 10-31-2018'!D$6:D$256)</f>
        <v>0</v>
      </c>
      <c r="F22" s="3"/>
      <c r="G22" s="3">
        <f t="shared" si="0"/>
        <v>97384.17</v>
      </c>
      <c r="H22" s="76" t="s">
        <v>173</v>
      </c>
      <c r="J22" s="19"/>
    </row>
    <row r="23" spans="1:10" x14ac:dyDescent="0.75">
      <c r="A23" s="12">
        <v>1715</v>
      </c>
      <c r="B23" s="13" t="s">
        <v>483</v>
      </c>
      <c r="C23" s="3">
        <f>SUMIF('Raw Data 10-31-2018'!$A$6:$A$256,'PY TB-18'!A23,'Raw Data 10-31-2018'!C$6:C$256)</f>
        <v>0</v>
      </c>
      <c r="D23" s="4"/>
      <c r="E23" s="3">
        <f>SUMIF('Raw Data 10-31-2018'!$A$6:$A$256,'PY TB-18'!A23,'Raw Data 10-31-2018'!D$6:D$256)</f>
        <v>0</v>
      </c>
      <c r="F23" s="3"/>
      <c r="G23" s="3">
        <f t="shared" si="0"/>
        <v>0</v>
      </c>
      <c r="H23" s="76" t="s">
        <v>173</v>
      </c>
      <c r="J23" s="19"/>
    </row>
    <row r="24" spans="1:10" x14ac:dyDescent="0.75">
      <c r="A24" s="12">
        <v>1720</v>
      </c>
      <c r="B24" s="13" t="s">
        <v>484</v>
      </c>
      <c r="C24" s="3">
        <f>SUMIF('Raw Data 10-31-2018'!$A$6:$A$256,'PY TB-18'!A24,'Raw Data 10-31-2018'!C$6:C$256)</f>
        <v>0</v>
      </c>
      <c r="D24" s="4"/>
      <c r="E24" s="3">
        <f>SUMIF('Raw Data 10-31-2018'!$A$6:$A$256,'PY TB-18'!A24,'Raw Data 10-31-2018'!D$6:D$256)</f>
        <v>0</v>
      </c>
      <c r="F24" s="3"/>
      <c r="G24" s="3">
        <f t="shared" si="0"/>
        <v>0</v>
      </c>
      <c r="H24" s="76" t="s">
        <v>173</v>
      </c>
      <c r="J24" s="19"/>
    </row>
    <row r="25" spans="1:10" x14ac:dyDescent="0.75">
      <c r="A25" s="12">
        <v>1725</v>
      </c>
      <c r="B25" s="13" t="s">
        <v>485</v>
      </c>
      <c r="C25" s="3">
        <f>SUMIF('Raw Data 10-31-2018'!$A$6:$A$256,'PY TB-18'!A25,'Raw Data 10-31-2018'!C$6:C$256)</f>
        <v>0</v>
      </c>
      <c r="D25" s="4"/>
      <c r="E25" s="3">
        <f>SUMIF('Raw Data 10-31-2018'!$A$6:$A$256,'PY TB-18'!A25,'Raw Data 10-31-2018'!D$6:D$256)</f>
        <v>0</v>
      </c>
      <c r="F25" s="3"/>
      <c r="G25" s="3">
        <f t="shared" si="0"/>
        <v>0</v>
      </c>
      <c r="H25" s="76" t="s">
        <v>173</v>
      </c>
      <c r="J25" s="19"/>
    </row>
    <row r="26" spans="1:10" x14ac:dyDescent="0.75">
      <c r="A26" s="12">
        <v>1735</v>
      </c>
      <c r="B26" s="13" t="s">
        <v>487</v>
      </c>
      <c r="C26" s="3">
        <f>SUMIF('Raw Data 10-31-2018'!$A$6:$A$256,'PY TB-18'!A26,'Raw Data 10-31-2018'!C$6:C$256)</f>
        <v>4977.6499999999996</v>
      </c>
      <c r="D26" s="4"/>
      <c r="E26" s="3">
        <f>SUMIF('Raw Data 10-31-2018'!$A$6:$A$256,'PY TB-18'!A26,'Raw Data 10-31-2018'!D$6:D$256)</f>
        <v>0</v>
      </c>
      <c r="F26" s="3"/>
      <c r="G26" s="3">
        <f t="shared" si="0"/>
        <v>4977.6499999999996</v>
      </c>
      <c r="H26" s="76" t="s">
        <v>173</v>
      </c>
      <c r="J26" s="19"/>
    </row>
    <row r="27" spans="1:10" x14ac:dyDescent="0.75">
      <c r="A27" s="12">
        <v>1740</v>
      </c>
      <c r="B27" s="13" t="s">
        <v>488</v>
      </c>
      <c r="C27" s="3">
        <f>SUMIF('Raw Data 10-31-2018'!$A$6:$A$256,'PY TB-18'!A27,'Raw Data 10-31-2018'!C$6:C$256)</f>
        <v>0</v>
      </c>
      <c r="D27" s="4"/>
      <c r="E27" s="3">
        <f>SUMIF('Raw Data 10-31-2018'!$A$6:$A$256,'PY TB-18'!A27,'Raw Data 10-31-2018'!D$6:D$256)</f>
        <v>0</v>
      </c>
      <c r="F27" s="3"/>
      <c r="G27" s="3">
        <f t="shared" ref="G27" si="1">C27-E27</f>
        <v>0</v>
      </c>
      <c r="H27" s="76" t="s">
        <v>173</v>
      </c>
      <c r="J27" s="19"/>
    </row>
    <row r="28" spans="1:10" x14ac:dyDescent="0.75">
      <c r="A28" s="12">
        <v>1745</v>
      </c>
      <c r="B28" s="13" t="s">
        <v>489</v>
      </c>
      <c r="C28" s="3">
        <f>SUMIF('Raw Data 10-31-2018'!$A$6:$A$256,'PY TB-18'!A28,'Raw Data 10-31-2018'!C$6:C$256)</f>
        <v>179916.22</v>
      </c>
      <c r="D28" s="4"/>
      <c r="E28" s="3">
        <f>SUMIF('Raw Data 10-31-2018'!$A$6:$A$256,'PY TB-18'!A28,'Raw Data 10-31-2018'!D$6:D$256)</f>
        <v>0</v>
      </c>
      <c r="F28" s="3"/>
      <c r="G28" s="3">
        <f t="shared" si="0"/>
        <v>179916.22</v>
      </c>
      <c r="H28" s="76" t="s">
        <v>173</v>
      </c>
      <c r="J28" s="19"/>
    </row>
    <row r="29" spans="1:10" x14ac:dyDescent="0.75">
      <c r="A29" s="12">
        <v>1750</v>
      </c>
      <c r="B29" s="13" t="s">
        <v>490</v>
      </c>
      <c r="C29" s="3">
        <f>SUMIF('Raw Data 10-31-2018'!$A$6:$A$256,'PY TB-18'!A29,'Raw Data 10-31-2018'!C$6:C$256)</f>
        <v>10394.01</v>
      </c>
      <c r="D29" s="4"/>
      <c r="E29" s="3">
        <f>SUMIF('Raw Data 10-31-2018'!$A$6:$A$256,'PY TB-18'!A29,'Raw Data 10-31-2018'!D$6:D$256)</f>
        <v>0</v>
      </c>
      <c r="F29" s="3"/>
      <c r="G29" s="3">
        <f t="shared" si="0"/>
        <v>10394.01</v>
      </c>
      <c r="H29" s="76" t="s">
        <v>173</v>
      </c>
      <c r="J29" s="19"/>
    </row>
    <row r="30" spans="1:10" x14ac:dyDescent="0.75">
      <c r="A30" s="12">
        <v>1755</v>
      </c>
      <c r="B30" s="13" t="s">
        <v>491</v>
      </c>
      <c r="C30" s="3">
        <f>SUMIF('Raw Data 10-31-2018'!$A$6:$A$256,'PY TB-18'!A30,'Raw Data 10-31-2018'!C$6:C$256)</f>
        <v>787.91</v>
      </c>
      <c r="D30" s="4"/>
      <c r="E30" s="3">
        <f>SUMIF('Raw Data 10-31-2018'!$A$6:$A$256,'PY TB-18'!A30,'Raw Data 10-31-2018'!D$6:D$256)</f>
        <v>0</v>
      </c>
      <c r="F30" s="3"/>
      <c r="G30" s="3">
        <f t="shared" si="0"/>
        <v>787.91</v>
      </c>
      <c r="H30" s="76" t="s">
        <v>173</v>
      </c>
      <c r="J30" s="19"/>
    </row>
    <row r="31" spans="1:10" x14ac:dyDescent="0.75">
      <c r="A31" s="12">
        <v>1760</v>
      </c>
      <c r="B31" s="13" t="s">
        <v>492</v>
      </c>
      <c r="C31" s="3">
        <f>SUMIF('Raw Data 10-31-2018'!$A$6:$A$256,'PY TB-18'!A31,'Raw Data 10-31-2018'!C$6:C$256)</f>
        <v>20105.95</v>
      </c>
      <c r="D31" s="4"/>
      <c r="E31" s="3">
        <f>SUMIF('Raw Data 10-31-2018'!$A$6:$A$256,'PY TB-18'!A31,'Raw Data 10-31-2018'!D$6:D$256)</f>
        <v>0</v>
      </c>
      <c r="F31" s="3"/>
      <c r="G31" s="3">
        <f t="shared" si="0"/>
        <v>20105.95</v>
      </c>
      <c r="H31" s="76" t="s">
        <v>173</v>
      </c>
      <c r="J31" s="19"/>
    </row>
    <row r="32" spans="1:10" x14ac:dyDescent="0.75">
      <c r="A32" s="12">
        <v>1765</v>
      </c>
      <c r="B32" s="13" t="s">
        <v>493</v>
      </c>
      <c r="C32" s="3">
        <f>SUMIF('Raw Data 10-31-2018'!$A$6:$A$256,'PY TB-18'!A32,'Raw Data 10-31-2018'!C$6:C$256)</f>
        <v>1015.31</v>
      </c>
      <c r="D32" s="4"/>
      <c r="E32" s="3">
        <f>SUMIF('Raw Data 10-31-2018'!$A$6:$A$256,'PY TB-18'!A32,'Raw Data 10-31-2018'!D$6:D$256)</f>
        <v>0</v>
      </c>
      <c r="F32" s="3"/>
      <c r="G32" s="3">
        <f t="shared" si="0"/>
        <v>1015.31</v>
      </c>
      <c r="H32" s="76" t="s">
        <v>173</v>
      </c>
      <c r="J32" s="19"/>
    </row>
    <row r="33" spans="1:10" x14ac:dyDescent="0.75">
      <c r="A33" s="12">
        <v>1781</v>
      </c>
      <c r="B33" s="13" t="s">
        <v>482</v>
      </c>
      <c r="C33" s="3">
        <f>SUMIF('Raw Data 10-31-2018'!$A$6:$A$256,'PY TB-18'!A33,'Raw Data 10-31-2018'!C$6:C$256)</f>
        <v>0</v>
      </c>
      <c r="D33" s="4"/>
      <c r="E33" s="3">
        <f>SUMIF('Raw Data 10-31-2018'!$A$6:$A$256,'PY TB-18'!A33,'Raw Data 10-31-2018'!D$6:D$256)</f>
        <v>23548.09</v>
      </c>
      <c r="F33" s="3"/>
      <c r="G33" s="3">
        <f t="shared" si="0"/>
        <v>-23548.09</v>
      </c>
      <c r="H33" s="76" t="s">
        <v>173</v>
      </c>
      <c r="J33" s="19"/>
    </row>
    <row r="34" spans="1:10" x14ac:dyDescent="0.75">
      <c r="A34" s="12">
        <v>1782</v>
      </c>
      <c r="B34" s="13" t="s">
        <v>473</v>
      </c>
      <c r="C34" s="3">
        <f>SUMIF('Raw Data 10-31-2018'!$A$6:$A$256,'PY TB-18'!A34,'Raw Data 10-31-2018'!C$6:C$256)</f>
        <v>0</v>
      </c>
      <c r="D34" s="4"/>
      <c r="E34" s="3">
        <f>SUMIF('Raw Data 10-31-2018'!$A$6:$A$256,'PY TB-18'!A34,'Raw Data 10-31-2018'!D$6:D$256)</f>
        <v>0</v>
      </c>
      <c r="F34" s="3"/>
      <c r="G34" s="3">
        <f t="shared" si="0"/>
        <v>0</v>
      </c>
      <c r="H34" s="76" t="s">
        <v>173</v>
      </c>
      <c r="J34" s="19"/>
    </row>
    <row r="35" spans="1:10" x14ac:dyDescent="0.75">
      <c r="A35" s="12">
        <v>1783</v>
      </c>
      <c r="B35" s="13" t="s">
        <v>474</v>
      </c>
      <c r="C35" s="3">
        <f>SUMIF('Raw Data 10-31-2018'!$A$6:$A$256,'PY TB-18'!A35,'Raw Data 10-31-2018'!C$6:C$256)</f>
        <v>0</v>
      </c>
      <c r="D35" s="4"/>
      <c r="E35" s="3">
        <f>SUMIF('Raw Data 10-31-2018'!$A$6:$A$256,'PY TB-18'!A35,'Raw Data 10-31-2018'!D$6:D$256)</f>
        <v>0</v>
      </c>
      <c r="F35" s="3"/>
      <c r="G35" s="3">
        <f t="shared" si="0"/>
        <v>0</v>
      </c>
      <c r="H35" s="76" t="s">
        <v>173</v>
      </c>
      <c r="J35" s="19"/>
    </row>
    <row r="36" spans="1:10" x14ac:dyDescent="0.75">
      <c r="A36" s="12">
        <v>1784</v>
      </c>
      <c r="B36" s="13" t="s">
        <v>486</v>
      </c>
      <c r="C36" s="3">
        <f>SUMIF('Raw Data 10-31-2018'!$A$6:$A$256,'PY TB-18'!A36,'Raw Data 10-31-2018'!C$6:C$256)</f>
        <v>0</v>
      </c>
      <c r="D36" s="4"/>
      <c r="E36" s="3">
        <f>SUMIF('Raw Data 10-31-2018'!$A$6:$A$256,'PY TB-18'!A36,'Raw Data 10-31-2018'!D$6:D$256)</f>
        <v>0</v>
      </c>
      <c r="F36" s="3"/>
      <c r="G36" s="3">
        <f t="shared" si="0"/>
        <v>0</v>
      </c>
      <c r="H36" s="76" t="s">
        <v>173</v>
      </c>
      <c r="J36" s="19"/>
    </row>
    <row r="37" spans="1:10" x14ac:dyDescent="0.75">
      <c r="A37" s="12">
        <v>1785</v>
      </c>
      <c r="B37" s="13" t="s">
        <v>476</v>
      </c>
      <c r="C37" s="3">
        <f>SUMIF('Raw Data 10-31-2018'!$A$6:$A$256,'PY TB-18'!A37,'Raw Data 10-31-2018'!C$6:C$256)</f>
        <v>0</v>
      </c>
      <c r="D37" s="4"/>
      <c r="E37" s="3">
        <f>SUMIF('Raw Data 10-31-2018'!$A$6:$A$256,'PY TB-18'!A37,'Raw Data 10-31-2018'!D$6:D$256)</f>
        <v>3358</v>
      </c>
      <c r="F37" s="3"/>
      <c r="G37" s="3">
        <f t="shared" si="0"/>
        <v>-3358</v>
      </c>
      <c r="H37" s="76" t="s">
        <v>173</v>
      </c>
      <c r="J37" s="19"/>
    </row>
    <row r="38" spans="1:10" x14ac:dyDescent="0.75">
      <c r="A38" s="12">
        <v>1786</v>
      </c>
      <c r="B38" s="13" t="s">
        <v>475</v>
      </c>
      <c r="C38" s="3">
        <f>SUMIF('Raw Data 10-31-2018'!$A$6:$A$256,'PY TB-18'!A38,'Raw Data 10-31-2018'!C$6:C$256)</f>
        <v>0</v>
      </c>
      <c r="D38" s="4"/>
      <c r="E38" s="3">
        <f>SUMIF('Raw Data 10-31-2018'!$A$6:$A$256,'PY TB-18'!A38,'Raw Data 10-31-2018'!D$6:D$256)</f>
        <v>0</v>
      </c>
      <c r="F38" s="3"/>
      <c r="G38" s="3">
        <f t="shared" si="0"/>
        <v>0</v>
      </c>
      <c r="H38" s="76" t="s">
        <v>173</v>
      </c>
      <c r="J38" s="19"/>
    </row>
    <row r="39" spans="1:10" x14ac:dyDescent="0.75">
      <c r="A39" s="12">
        <v>1787</v>
      </c>
      <c r="B39" s="13" t="s">
        <v>477</v>
      </c>
      <c r="C39" s="3">
        <f>SUMIF('Raw Data 10-31-2018'!$A$6:$A$256,'PY TB-18'!A39,'Raw Data 10-31-2018'!C$6:C$256)</f>
        <v>0</v>
      </c>
      <c r="D39" s="4"/>
      <c r="E39" s="3">
        <f>SUMIF('Raw Data 10-31-2018'!$A$6:$A$256,'PY TB-18'!A39,'Raw Data 10-31-2018'!D$6:D$256)</f>
        <v>155107.56</v>
      </c>
      <c r="F39" s="3"/>
      <c r="G39" s="3">
        <f t="shared" si="0"/>
        <v>-155107.56</v>
      </c>
      <c r="H39" s="76" t="s">
        <v>173</v>
      </c>
      <c r="J39" s="19"/>
    </row>
    <row r="40" spans="1:10" x14ac:dyDescent="0.75">
      <c r="A40" s="12" t="s">
        <v>863</v>
      </c>
      <c r="B40" s="13" t="s">
        <v>864</v>
      </c>
      <c r="C40" s="3">
        <f>SUMIF('Raw Data 10-31-2018'!$A$6:$A$256,'PY TB-18'!A40,'Raw Data 10-31-2018'!C$6:C$256)</f>
        <v>0</v>
      </c>
      <c r="D40" s="4"/>
      <c r="E40" s="3">
        <f>SUMIF('Raw Data 10-31-2018'!$A$6:$A$256,'PY TB-18'!A40,'Raw Data 10-31-2018'!D$6:D$256)</f>
        <v>10394.01</v>
      </c>
      <c r="F40" s="3"/>
      <c r="G40" s="3">
        <f t="shared" si="0"/>
        <v>-10394.01</v>
      </c>
      <c r="H40" s="76" t="s">
        <v>173</v>
      </c>
      <c r="J40" s="19"/>
    </row>
    <row r="41" spans="1:10" x14ac:dyDescent="0.75">
      <c r="A41" s="12">
        <v>1789</v>
      </c>
      <c r="B41" s="13" t="s">
        <v>478</v>
      </c>
      <c r="C41" s="3">
        <f>SUMIF('Raw Data 10-31-2018'!$A$6:$A$256,'PY TB-18'!A41,'Raw Data 10-31-2018'!C$6:C$256)</f>
        <v>0</v>
      </c>
      <c r="D41" s="4"/>
      <c r="E41" s="3">
        <f>SUMIF('Raw Data 10-31-2018'!$A$6:$A$256,'PY TB-18'!A41,'Raw Data 10-31-2018'!D$6:D$256)</f>
        <v>787.91</v>
      </c>
      <c r="F41" s="3"/>
      <c r="G41" s="3">
        <f t="shared" si="0"/>
        <v>-787.91</v>
      </c>
      <c r="H41" s="76" t="s">
        <v>173</v>
      </c>
      <c r="J41" s="19"/>
    </row>
    <row r="42" spans="1:10" x14ac:dyDescent="0.75">
      <c r="A42" s="12">
        <v>1790</v>
      </c>
      <c r="B42" s="13" t="s">
        <v>479</v>
      </c>
      <c r="C42" s="3">
        <f>SUMIF('Raw Data 10-31-2018'!$A$6:$A$256,'PY TB-18'!A42,'Raw Data 10-31-2018'!C$6:C$256)</f>
        <v>0</v>
      </c>
      <c r="D42" s="4"/>
      <c r="E42" s="3">
        <f>SUMIF('Raw Data 10-31-2018'!$A$6:$A$256,'PY TB-18'!A42,'Raw Data 10-31-2018'!D$6:D$256)</f>
        <v>1015.31</v>
      </c>
      <c r="F42" s="3"/>
      <c r="G42" s="3">
        <f t="shared" si="0"/>
        <v>-1015.31</v>
      </c>
      <c r="H42" s="76" t="s">
        <v>173</v>
      </c>
      <c r="J42" s="19"/>
    </row>
    <row r="43" spans="1:10" x14ac:dyDescent="0.75">
      <c r="A43" s="12">
        <v>1791</v>
      </c>
      <c r="B43" s="13" t="s">
        <v>480</v>
      </c>
      <c r="C43" s="3">
        <f>SUMIF('Raw Data 10-31-2018'!$A$6:$A$256,'PY TB-18'!A43,'Raw Data 10-31-2018'!C$6:C$256)</f>
        <v>0</v>
      </c>
      <c r="D43" s="4"/>
      <c r="E43" s="3">
        <f>SUMIF('Raw Data 10-31-2018'!$A$6:$A$256,'PY TB-18'!A43,'Raw Data 10-31-2018'!D$6:D$256)</f>
        <v>19154.07</v>
      </c>
      <c r="F43" s="3"/>
      <c r="G43" s="3">
        <f t="shared" si="0"/>
        <v>-19154.07</v>
      </c>
      <c r="H43" s="76" t="s">
        <v>173</v>
      </c>
      <c r="J43" s="19"/>
    </row>
    <row r="44" spans="1:10" s="85" customFormat="1" x14ac:dyDescent="0.75">
      <c r="A44" s="12" t="s">
        <v>67</v>
      </c>
      <c r="B44" s="13" t="s">
        <v>921</v>
      </c>
      <c r="C44" s="3">
        <f>SUMIF('Raw Data 10-31-2018'!$A$6:$A$256,'PY TB-18'!A44,'Raw Data 10-31-2018'!C$6:C$256)</f>
        <v>0</v>
      </c>
      <c r="D44" s="4"/>
      <c r="E44" s="3">
        <f>SUMIF('Raw Data 10-31-2018'!$A$6:$A$256,'PY TB-18'!A44,'Raw Data 10-31-2018'!D$6:D$256)</f>
        <v>0</v>
      </c>
      <c r="F44" s="3"/>
      <c r="G44" s="3">
        <f t="shared" ref="G44" si="2">C44-E44</f>
        <v>0</v>
      </c>
      <c r="H44" s="85" t="s">
        <v>922</v>
      </c>
      <c r="J44" s="19"/>
    </row>
    <row r="45" spans="1:10" x14ac:dyDescent="0.75">
      <c r="A45" s="12">
        <v>1820</v>
      </c>
      <c r="B45" s="13" t="s">
        <v>495</v>
      </c>
      <c r="C45" s="3">
        <f>SUMIF('Raw Data 10-31-2018'!$A$6:$A$256,'PY TB-18'!A45,'Raw Data 10-31-2018'!C$6:C$256)</f>
        <v>0</v>
      </c>
      <c r="D45" s="4"/>
      <c r="E45" s="3">
        <f>SUMIF('Raw Data 10-31-2018'!$A$6:$A$256,'PY TB-18'!A45,'Raw Data 10-31-2018'!D$6:D$256)</f>
        <v>0</v>
      </c>
      <c r="F45" s="3"/>
      <c r="G45" s="3">
        <f t="shared" si="0"/>
        <v>0</v>
      </c>
      <c r="H45" s="76" t="s">
        <v>444</v>
      </c>
      <c r="J45" s="19"/>
    </row>
    <row r="46" spans="1:10" x14ac:dyDescent="0.75">
      <c r="A46" s="12">
        <v>1830</v>
      </c>
      <c r="B46" s="13" t="s">
        <v>496</v>
      </c>
      <c r="C46" s="3">
        <f>SUMIF('Raw Data 10-31-2018'!$A$6:$A$256,'PY TB-18'!A46,'Raw Data 10-31-2018'!C$6:C$256)</f>
        <v>0</v>
      </c>
      <c r="D46" s="4"/>
      <c r="E46" s="3">
        <f>SUMIF('Raw Data 10-31-2018'!$A$6:$A$256,'PY TB-18'!A46,'Raw Data 10-31-2018'!D$6:D$256)</f>
        <v>0</v>
      </c>
      <c r="F46" s="3"/>
      <c r="G46" s="3">
        <f t="shared" si="0"/>
        <v>0</v>
      </c>
      <c r="H46" s="76" t="s">
        <v>444</v>
      </c>
      <c r="J46" s="19"/>
    </row>
    <row r="47" spans="1:10" x14ac:dyDescent="0.75">
      <c r="A47" s="12">
        <v>1840</v>
      </c>
      <c r="B47" s="13" t="s">
        <v>497</v>
      </c>
      <c r="C47" s="3">
        <f>SUMIF('Raw Data 10-31-2018'!$A$6:$A$256,'PY TB-18'!A47,'Raw Data 10-31-2018'!C$6:C$256)</f>
        <v>0</v>
      </c>
      <c r="D47" s="4"/>
      <c r="E47" s="3">
        <f>SUMIF('Raw Data 10-31-2018'!$A$6:$A$256,'PY TB-18'!A47,'Raw Data 10-31-2018'!D$6:D$256)</f>
        <v>0</v>
      </c>
      <c r="F47" s="3"/>
      <c r="G47" s="3">
        <f t="shared" si="0"/>
        <v>0</v>
      </c>
      <c r="H47" s="76" t="s">
        <v>444</v>
      </c>
      <c r="J47" s="19"/>
    </row>
    <row r="48" spans="1:10" x14ac:dyDescent="0.75">
      <c r="A48" s="12">
        <v>1900</v>
      </c>
      <c r="B48" s="13" t="s">
        <v>498</v>
      </c>
      <c r="C48" s="3">
        <f>SUMIF('Raw Data 10-31-2018'!$A$6:$A$256,'PY TB-18'!A48,'Raw Data 10-31-2018'!C$6:C$256)</f>
        <v>0</v>
      </c>
      <c r="D48" s="4"/>
      <c r="E48" s="3">
        <f>SUMIF('Raw Data 10-31-2018'!$A$6:$A$256,'PY TB-18'!A48,'Raw Data 10-31-2018'!D$6:D$256)</f>
        <v>0</v>
      </c>
      <c r="F48" s="3"/>
      <c r="G48" s="3">
        <f t="shared" si="0"/>
        <v>0</v>
      </c>
      <c r="H48" s="76" t="s">
        <v>443</v>
      </c>
      <c r="J48" s="19"/>
    </row>
    <row r="49" spans="1:10" x14ac:dyDescent="0.75">
      <c r="A49" s="12">
        <v>1902</v>
      </c>
      <c r="B49" s="13" t="s">
        <v>499</v>
      </c>
      <c r="C49" s="3">
        <f>SUMIF('Raw Data 10-31-2018'!$A$6:$A$256,'PY TB-18'!A49,'Raw Data 10-31-2018'!C$6:C$256)</f>
        <v>0</v>
      </c>
      <c r="D49" s="4"/>
      <c r="E49" s="3">
        <f>SUMIF('Raw Data 10-31-2018'!$A$6:$A$256,'PY TB-18'!A49,'Raw Data 10-31-2018'!D$6:D$256)</f>
        <v>0</v>
      </c>
      <c r="F49" s="3"/>
      <c r="G49" s="3">
        <f t="shared" si="0"/>
        <v>0</v>
      </c>
      <c r="H49" s="76" t="s">
        <v>443</v>
      </c>
      <c r="J49" s="19"/>
    </row>
    <row r="50" spans="1:10" x14ac:dyDescent="0.75">
      <c r="A50" s="12">
        <v>1904</v>
      </c>
      <c r="B50" s="13" t="s">
        <v>500</v>
      </c>
      <c r="C50" s="3">
        <f>SUMIF('Raw Data 10-31-2018'!$A$6:$A$256,'PY TB-18'!A50,'Raw Data 10-31-2018'!C$6:C$256)</f>
        <v>0</v>
      </c>
      <c r="D50" s="4"/>
      <c r="E50" s="3">
        <f>SUMIF('Raw Data 10-31-2018'!$A$6:$A$256,'PY TB-18'!A50,'Raw Data 10-31-2018'!D$6:D$256)</f>
        <v>0</v>
      </c>
      <c r="F50" s="3"/>
      <c r="G50" s="3">
        <f t="shared" si="0"/>
        <v>0</v>
      </c>
      <c r="H50" s="76" t="s">
        <v>176</v>
      </c>
      <c r="J50" s="19"/>
    </row>
    <row r="51" spans="1:10" x14ac:dyDescent="0.75">
      <c r="A51" s="12">
        <v>1906</v>
      </c>
      <c r="B51" s="13" t="s">
        <v>501</v>
      </c>
      <c r="C51" s="3">
        <f>SUMIF('Raw Data 10-31-2018'!$A$6:$A$256,'PY TB-18'!A51,'Raw Data 10-31-2018'!C$6:C$256)</f>
        <v>0</v>
      </c>
      <c r="D51" s="4"/>
      <c r="E51" s="3">
        <f>SUMIF('Raw Data 10-31-2018'!$A$6:$A$256,'PY TB-18'!A51,'Raw Data 10-31-2018'!D$6:D$256)</f>
        <v>0</v>
      </c>
      <c r="F51" s="3"/>
      <c r="G51" s="3">
        <f t="shared" si="0"/>
        <v>0</v>
      </c>
      <c r="H51" s="76" t="s">
        <v>176</v>
      </c>
      <c r="J51" s="19"/>
    </row>
    <row r="52" spans="1:10" x14ac:dyDescent="0.75">
      <c r="A52" s="12">
        <v>1908</v>
      </c>
      <c r="B52" s="13" t="s">
        <v>502</v>
      </c>
      <c r="C52" s="3">
        <f>SUMIF('Raw Data 10-31-2018'!$A$6:$A$256,'PY TB-18'!A52,'Raw Data 10-31-2018'!C$6:C$256)</f>
        <v>0</v>
      </c>
      <c r="D52" s="4"/>
      <c r="E52" s="3">
        <f>SUMIF('Raw Data 10-31-2018'!$A$6:$A$256,'PY TB-18'!A52,'Raw Data 10-31-2018'!D$6:D$256)</f>
        <v>0</v>
      </c>
      <c r="F52" s="3"/>
      <c r="G52" s="3">
        <f t="shared" si="0"/>
        <v>0</v>
      </c>
      <c r="H52" s="76" t="s">
        <v>176</v>
      </c>
      <c r="J52" s="19"/>
    </row>
    <row r="53" spans="1:10" x14ac:dyDescent="0.75">
      <c r="A53" s="12">
        <v>1910</v>
      </c>
      <c r="B53" s="13" t="s">
        <v>503</v>
      </c>
      <c r="C53" s="3">
        <f>SUMIF('Raw Data 10-31-2018'!$A$6:$A$256,'PY TB-18'!A53,'Raw Data 10-31-2018'!C$6:C$256)</f>
        <v>0</v>
      </c>
      <c r="D53" s="4"/>
      <c r="E53" s="3">
        <f>SUMIF('Raw Data 10-31-2018'!$A$6:$A$256,'PY TB-18'!A53,'Raw Data 10-31-2018'!D$6:D$256)</f>
        <v>0</v>
      </c>
      <c r="F53" s="3"/>
      <c r="G53" s="3">
        <f t="shared" si="0"/>
        <v>0</v>
      </c>
      <c r="H53" s="76" t="s">
        <v>443</v>
      </c>
      <c r="J53" s="19"/>
    </row>
    <row r="54" spans="1:10" x14ac:dyDescent="0.75">
      <c r="A54" s="12">
        <v>1912</v>
      </c>
      <c r="B54" s="13" t="s">
        <v>504</v>
      </c>
      <c r="C54" s="3">
        <f>SUMIF('Raw Data 10-31-2018'!$A$6:$A$256,'PY TB-18'!A54,'Raw Data 10-31-2018'!C$6:C$256)</f>
        <v>0</v>
      </c>
      <c r="D54" s="4"/>
      <c r="E54" s="3">
        <f>SUMIF('Raw Data 10-31-2018'!$A$6:$A$256,'PY TB-18'!A54,'Raw Data 10-31-2018'!D$6:D$256)</f>
        <v>0</v>
      </c>
      <c r="F54" s="3"/>
      <c r="G54" s="3">
        <f t="shared" si="0"/>
        <v>0</v>
      </c>
      <c r="H54" s="76" t="s">
        <v>176</v>
      </c>
      <c r="J54" s="19"/>
    </row>
    <row r="55" spans="1:10" x14ac:dyDescent="0.75">
      <c r="A55" s="12">
        <v>1914</v>
      </c>
      <c r="B55" s="13" t="s">
        <v>505</v>
      </c>
      <c r="C55" s="3">
        <f>SUMIF('Raw Data 10-31-2018'!$A$6:$A$256,'PY TB-18'!A55,'Raw Data 10-31-2018'!C$6:C$256)</f>
        <v>0</v>
      </c>
      <c r="D55" s="4"/>
      <c r="E55" s="3">
        <f>SUMIF('Raw Data 10-31-2018'!$A$6:$A$256,'PY TB-18'!A55,'Raw Data 10-31-2018'!D$6:D$256)</f>
        <v>0</v>
      </c>
      <c r="F55" s="3"/>
      <c r="G55" s="3">
        <f t="shared" si="0"/>
        <v>0</v>
      </c>
      <c r="H55" s="76" t="s">
        <v>176</v>
      </c>
      <c r="J55" s="19"/>
    </row>
    <row r="56" spans="1:10" x14ac:dyDescent="0.75">
      <c r="A56" s="12">
        <v>1916</v>
      </c>
      <c r="B56" s="13" t="s">
        <v>506</v>
      </c>
      <c r="C56" s="3">
        <f>SUMIF('Raw Data 10-31-2018'!$A$6:$A$256,'PY TB-18'!A56,'Raw Data 10-31-2018'!C$6:C$256)</f>
        <v>0</v>
      </c>
      <c r="D56" s="4"/>
      <c r="E56" s="3">
        <f>SUMIF('Raw Data 10-31-2018'!$A$6:$A$256,'PY TB-18'!A56,'Raw Data 10-31-2018'!D$6:D$256)</f>
        <v>0</v>
      </c>
      <c r="F56" s="3"/>
      <c r="G56" s="3">
        <f t="shared" si="0"/>
        <v>0</v>
      </c>
      <c r="H56" s="76" t="s">
        <v>176</v>
      </c>
      <c r="J56" s="19"/>
    </row>
    <row r="57" spans="1:10" x14ac:dyDescent="0.75">
      <c r="A57" s="12">
        <v>1918</v>
      </c>
      <c r="B57" s="13" t="s">
        <v>507</v>
      </c>
      <c r="C57" s="3">
        <f>SUMIF('Raw Data 10-31-2018'!$A$6:$A$256,'PY TB-18'!A57,'Raw Data 10-31-2018'!C$6:C$256)</f>
        <v>0</v>
      </c>
      <c r="D57" s="4"/>
      <c r="E57" s="3">
        <f>SUMIF('Raw Data 10-31-2018'!$A$6:$A$256,'PY TB-18'!A57,'Raw Data 10-31-2018'!D$6:D$256)</f>
        <v>0</v>
      </c>
      <c r="F57" s="3"/>
      <c r="G57" s="3">
        <f t="shared" si="0"/>
        <v>0</v>
      </c>
      <c r="H57" s="76" t="s">
        <v>176</v>
      </c>
      <c r="J57" s="19"/>
    </row>
    <row r="58" spans="1:10" x14ac:dyDescent="0.75">
      <c r="A58" s="12">
        <v>1920</v>
      </c>
      <c r="B58" s="13" t="s">
        <v>508</v>
      </c>
      <c r="C58" s="3">
        <f>SUMIF('Raw Data 10-31-2018'!$A$6:$A$256,'PY TB-18'!A58,'Raw Data 10-31-2018'!C$6:C$256)</f>
        <v>0</v>
      </c>
      <c r="D58" s="4"/>
      <c r="E58" s="3">
        <f>SUMIF('Raw Data 10-31-2018'!$A$6:$A$256,'PY TB-18'!A58,'Raw Data 10-31-2018'!D$6:D$256)</f>
        <v>0</v>
      </c>
      <c r="F58" s="3"/>
      <c r="G58" s="3">
        <f t="shared" si="0"/>
        <v>0</v>
      </c>
      <c r="H58" s="76" t="s">
        <v>176</v>
      </c>
      <c r="J58" s="19"/>
    </row>
    <row r="59" spans="1:10" x14ac:dyDescent="0.75">
      <c r="A59" s="12">
        <v>1922</v>
      </c>
      <c r="B59" s="13" t="s">
        <v>509</v>
      </c>
      <c r="C59" s="3">
        <f>SUMIF('Raw Data 10-31-2018'!$A$6:$A$256,'PY TB-18'!A59,'Raw Data 10-31-2018'!C$6:C$256)</f>
        <v>0</v>
      </c>
      <c r="D59" s="4"/>
      <c r="E59" s="3">
        <f>SUMIF('Raw Data 10-31-2018'!$A$6:$A$256,'PY TB-18'!A59,'Raw Data 10-31-2018'!D$6:D$256)</f>
        <v>0</v>
      </c>
      <c r="F59" s="3"/>
      <c r="G59" s="3">
        <f t="shared" si="0"/>
        <v>0</v>
      </c>
      <c r="H59" s="76" t="s">
        <v>176</v>
      </c>
      <c r="J59" s="19"/>
    </row>
    <row r="60" spans="1:10" x14ac:dyDescent="0.75">
      <c r="A60" s="12">
        <v>1924</v>
      </c>
      <c r="B60" s="13" t="s">
        <v>510</v>
      </c>
      <c r="C60" s="3">
        <f>SUMIF('Raw Data 10-31-2018'!$A$6:$A$256,'PY TB-18'!A60,'Raw Data 10-31-2018'!C$6:C$256)</f>
        <v>0</v>
      </c>
      <c r="D60" s="4"/>
      <c r="E60" s="3">
        <f>SUMIF('Raw Data 10-31-2018'!$A$6:$A$256,'PY TB-18'!A60,'Raw Data 10-31-2018'!D$6:D$256)</f>
        <v>0</v>
      </c>
      <c r="F60" s="3"/>
      <c r="G60" s="3">
        <f t="shared" si="0"/>
        <v>0</v>
      </c>
      <c r="H60" s="76" t="s">
        <v>176</v>
      </c>
      <c r="J60" s="19"/>
    </row>
    <row r="61" spans="1:10" x14ac:dyDescent="0.75">
      <c r="A61" s="12">
        <v>1926</v>
      </c>
      <c r="B61" s="13" t="s">
        <v>511</v>
      </c>
      <c r="C61" s="3">
        <f>SUMIF('Raw Data 10-31-2018'!$A$6:$A$256,'PY TB-18'!A61,'Raw Data 10-31-2018'!C$6:C$256)</f>
        <v>0</v>
      </c>
      <c r="D61" s="4"/>
      <c r="E61" s="3">
        <f>SUMIF('Raw Data 10-31-2018'!$A$6:$A$256,'PY TB-18'!A61,'Raw Data 10-31-2018'!D$6:D$256)</f>
        <v>0</v>
      </c>
      <c r="F61" s="3"/>
      <c r="G61" s="3">
        <f t="shared" si="0"/>
        <v>0</v>
      </c>
      <c r="H61" s="76" t="s">
        <v>176</v>
      </c>
      <c r="J61" s="19"/>
    </row>
    <row r="62" spans="1:10" x14ac:dyDescent="0.75">
      <c r="A62" s="12">
        <v>1928</v>
      </c>
      <c r="B62" s="13" t="s">
        <v>512</v>
      </c>
      <c r="C62" s="3">
        <f>SUMIF('Raw Data 10-31-2018'!$A$6:$A$256,'PY TB-18'!A62,'Raw Data 10-31-2018'!C$6:C$256)</f>
        <v>43132.88</v>
      </c>
      <c r="D62" s="4"/>
      <c r="E62" s="3">
        <f>SUMIF('Raw Data 10-31-2018'!$A$6:$A$256,'PY TB-18'!A62,'Raw Data 10-31-2018'!D$6:D$256)</f>
        <v>0</v>
      </c>
      <c r="F62" s="3"/>
      <c r="G62" s="3">
        <f t="shared" si="0"/>
        <v>43132.88</v>
      </c>
      <c r="H62" s="76" t="s">
        <v>176</v>
      </c>
      <c r="J62" s="19"/>
    </row>
    <row r="63" spans="1:10" x14ac:dyDescent="0.75">
      <c r="A63" s="12">
        <v>1930</v>
      </c>
      <c r="B63" s="13" t="s">
        <v>513</v>
      </c>
      <c r="C63" s="3">
        <f>SUMIF('Raw Data 10-31-2018'!$A$6:$A$256,'PY TB-18'!A63,'Raw Data 10-31-2018'!C$6:C$256)</f>
        <v>0</v>
      </c>
      <c r="D63" s="4"/>
      <c r="E63" s="3">
        <f>SUMIF('Raw Data 10-31-2018'!$A$6:$A$256,'PY TB-18'!A63,'Raw Data 10-31-2018'!D$6:D$256)</f>
        <v>0</v>
      </c>
      <c r="F63" s="3"/>
      <c r="G63" s="3">
        <f t="shared" si="0"/>
        <v>0</v>
      </c>
      <c r="H63" s="76" t="s">
        <v>176</v>
      </c>
      <c r="J63" s="19"/>
    </row>
    <row r="64" spans="1:10" x14ac:dyDescent="0.75">
      <c r="A64" s="12">
        <v>1932</v>
      </c>
      <c r="B64" s="13" t="s">
        <v>514</v>
      </c>
      <c r="C64" s="3">
        <f>SUMIF('Raw Data 10-31-2018'!$A$6:$A$256,'PY TB-18'!A64,'Raw Data 10-31-2018'!C$6:C$256)</f>
        <v>0</v>
      </c>
      <c r="D64" s="4"/>
      <c r="E64" s="3">
        <f>SUMIF('Raw Data 10-31-2018'!$A$6:$A$256,'PY TB-18'!A64,'Raw Data 10-31-2018'!D$6:D$256)</f>
        <v>0</v>
      </c>
      <c r="F64" s="3"/>
      <c r="G64" s="3">
        <f t="shared" si="0"/>
        <v>0</v>
      </c>
      <c r="H64" s="76" t="s">
        <v>176</v>
      </c>
      <c r="J64" s="19"/>
    </row>
    <row r="65" spans="1:10" x14ac:dyDescent="0.75">
      <c r="A65" s="12">
        <v>1950</v>
      </c>
      <c r="B65" s="13" t="s">
        <v>494</v>
      </c>
      <c r="C65" s="3">
        <f>SUMIF('Raw Data 10-31-2018'!$A$6:$A$256,'PY TB-18'!A65,'Raw Data 10-31-2018'!C$6:C$256)</f>
        <v>0</v>
      </c>
      <c r="D65" s="4"/>
      <c r="E65" s="3">
        <f>SUMIF('Raw Data 10-31-2018'!$A$6:$A$256,'PY TB-18'!A65,'Raw Data 10-31-2018'!D$6:D$256)</f>
        <v>33378.47</v>
      </c>
      <c r="F65" s="3"/>
      <c r="G65" s="3">
        <f t="shared" si="0"/>
        <v>-33378.47</v>
      </c>
      <c r="H65" s="76" t="s">
        <v>176</v>
      </c>
      <c r="J65" s="19"/>
    </row>
    <row r="66" spans="1:10" x14ac:dyDescent="0.75">
      <c r="A66" s="12">
        <v>1960</v>
      </c>
      <c r="B66" s="13" t="s">
        <v>515</v>
      </c>
      <c r="C66" s="3">
        <f>SUMIF('Raw Data 10-31-2018'!$A$6:$A$256,'PY TB-18'!A66,'Raw Data 10-31-2018'!C$6:C$256)</f>
        <v>0</v>
      </c>
      <c r="D66" s="4"/>
      <c r="E66" s="3">
        <f>SUMIF('Raw Data 10-31-2018'!$A$6:$A$256,'PY TB-18'!A66,'Raw Data 10-31-2018'!D$6:D$256)</f>
        <v>0</v>
      </c>
      <c r="F66" s="3"/>
      <c r="G66" s="3">
        <f t="shared" si="0"/>
        <v>0</v>
      </c>
      <c r="H66" s="76" t="s">
        <v>444</v>
      </c>
      <c r="J66" s="19"/>
    </row>
    <row r="67" spans="1:10" x14ac:dyDescent="0.75">
      <c r="A67" s="12">
        <v>1980</v>
      </c>
      <c r="B67" s="13" t="s">
        <v>516</v>
      </c>
      <c r="C67" s="3">
        <f>SUMIF('Raw Data 10-31-2018'!$A$6:$A$256,'PY TB-18'!A67,'Raw Data 10-31-2018'!C$6:C$256)</f>
        <v>0</v>
      </c>
      <c r="D67" s="4"/>
      <c r="E67" s="3">
        <f>SUMIF('Raw Data 10-31-2018'!$A$6:$A$256,'PY TB-18'!A67,'Raw Data 10-31-2018'!D$6:D$256)</f>
        <v>0</v>
      </c>
      <c r="F67" s="3"/>
      <c r="G67" s="3">
        <f t="shared" si="0"/>
        <v>0</v>
      </c>
      <c r="H67" s="76" t="s">
        <v>444</v>
      </c>
      <c r="J67" s="19"/>
    </row>
    <row r="68" spans="1:10" x14ac:dyDescent="0.75">
      <c r="A68" s="12">
        <v>2000</v>
      </c>
      <c r="B68" s="13" t="s">
        <v>517</v>
      </c>
      <c r="C68" s="3">
        <f>SUMIF('Raw Data 10-31-2018'!$A$6:$A$256,'PY TB-18'!A68,'Raw Data 10-31-2018'!C$6:C$256)</f>
        <v>0</v>
      </c>
      <c r="D68" s="4"/>
      <c r="E68" s="3">
        <f>SUMIF('Raw Data 10-31-2018'!$A$6:$A$256,'PY TB-18'!A68,'Raw Data 10-31-2018'!D$6:D$256)</f>
        <v>49030.63</v>
      </c>
      <c r="F68" s="3"/>
      <c r="G68" s="3">
        <f t="shared" si="0"/>
        <v>-49030.63</v>
      </c>
      <c r="H68" s="76" t="s">
        <v>177</v>
      </c>
      <c r="J68" s="19"/>
    </row>
    <row r="69" spans="1:10" x14ac:dyDescent="0.75">
      <c r="A69" s="12">
        <v>2010</v>
      </c>
      <c r="B69" s="13" t="s">
        <v>524</v>
      </c>
      <c r="C69" s="3">
        <f>SUMIF('Raw Data 10-31-2018'!$A$6:$A$256,'PY TB-18'!A69,'Raw Data 10-31-2018'!C$6:C$256)</f>
        <v>0</v>
      </c>
      <c r="D69" s="4"/>
      <c r="E69" s="3">
        <f>SUMIF('Raw Data 10-31-2018'!$A$6:$A$256,'PY TB-18'!A69,'Raw Data 10-31-2018'!D$6:D$256)</f>
        <v>0</v>
      </c>
      <c r="F69" s="3"/>
      <c r="G69" s="3">
        <f t="shared" si="0"/>
        <v>0</v>
      </c>
      <c r="H69" s="76" t="s">
        <v>177</v>
      </c>
      <c r="J69" s="19"/>
    </row>
    <row r="70" spans="1:10" x14ac:dyDescent="0.75">
      <c r="A70" s="12">
        <v>2020</v>
      </c>
      <c r="B70" s="13" t="s">
        <v>525</v>
      </c>
      <c r="C70" s="3">
        <f>SUMIF('Raw Data 10-31-2018'!$A$6:$A$256,'PY TB-18'!A70,'Raw Data 10-31-2018'!C$6:C$256)</f>
        <v>0</v>
      </c>
      <c r="D70" s="4"/>
      <c r="E70" s="3">
        <f>SUMIF('Raw Data 10-31-2018'!$A$6:$A$256,'PY TB-18'!A70,'Raw Data 10-31-2018'!D$6:D$256)</f>
        <v>0</v>
      </c>
      <c r="F70" s="3"/>
      <c r="G70" s="3">
        <f t="shared" si="0"/>
        <v>0</v>
      </c>
      <c r="H70" s="76" t="s">
        <v>177</v>
      </c>
      <c r="J70" s="19"/>
    </row>
    <row r="71" spans="1:10" x14ac:dyDescent="0.75">
      <c r="A71" s="12">
        <v>2101</v>
      </c>
      <c r="B71" s="13" t="s">
        <v>518</v>
      </c>
      <c r="C71" s="3">
        <f>SUMIF('Raw Data 10-31-2018'!$A$6:$A$256,'PY TB-18'!A71,'Raw Data 10-31-2018'!C$6:C$256)</f>
        <v>0</v>
      </c>
      <c r="D71" s="4"/>
      <c r="E71" s="3">
        <f>SUMIF('Raw Data 10-31-2018'!$A$6:$A$256,'PY TB-18'!A71,'Raw Data 10-31-2018'!D$6:D$256)</f>
        <v>2180.96</v>
      </c>
      <c r="F71" s="3"/>
      <c r="G71" s="3">
        <f t="shared" si="0"/>
        <v>-2180.96</v>
      </c>
      <c r="H71" s="76" t="s">
        <v>178</v>
      </c>
      <c r="J71" s="19"/>
    </row>
    <row r="72" spans="1:10" x14ac:dyDescent="0.75">
      <c r="A72" s="12">
        <v>2102</v>
      </c>
      <c r="B72" s="13" t="s">
        <v>519</v>
      </c>
      <c r="C72" s="3">
        <f>SUMIF('Raw Data 10-31-2018'!$A$6:$A$256,'PY TB-18'!A72,'Raw Data 10-31-2018'!C$6:C$256)</f>
        <v>0</v>
      </c>
      <c r="D72" s="4"/>
      <c r="E72" s="3">
        <f>SUMIF('Raw Data 10-31-2018'!$A$6:$A$256,'PY TB-18'!A72,'Raw Data 10-31-2018'!D$6:D$256)</f>
        <v>15648.04</v>
      </c>
      <c r="F72" s="3"/>
      <c r="G72" s="3">
        <f t="shared" si="0"/>
        <v>-15648.04</v>
      </c>
      <c r="H72" s="76" t="s">
        <v>178</v>
      </c>
      <c r="J72" s="19"/>
    </row>
    <row r="73" spans="1:10" x14ac:dyDescent="0.75">
      <c r="A73" s="12">
        <v>2103</v>
      </c>
      <c r="B73" s="13" t="s">
        <v>520</v>
      </c>
      <c r="C73" s="3">
        <f>SUMIF('Raw Data 10-31-2018'!$A$6:$A$256,'PY TB-18'!A73,'Raw Data 10-31-2018'!C$6:C$256)</f>
        <v>0</v>
      </c>
      <c r="D73" s="4"/>
      <c r="E73" s="3">
        <f>SUMIF('Raw Data 10-31-2018'!$A$6:$A$256,'PY TB-18'!A73,'Raw Data 10-31-2018'!D$6:D$256)</f>
        <v>8469.4</v>
      </c>
      <c r="F73" s="3"/>
      <c r="G73" s="3">
        <f t="shared" ref="G73:G141" si="3">C73-E73</f>
        <v>-8469.4</v>
      </c>
      <c r="H73" s="76" t="s">
        <v>178</v>
      </c>
      <c r="J73" s="19"/>
    </row>
    <row r="74" spans="1:10" x14ac:dyDescent="0.75">
      <c r="A74" s="12">
        <v>2104</v>
      </c>
      <c r="B74" s="13" t="s">
        <v>521</v>
      </c>
      <c r="C74" s="3">
        <f>SUMIF('Raw Data 10-31-2018'!$A$6:$A$256,'PY TB-18'!A74,'Raw Data 10-31-2018'!C$6:C$256)</f>
        <v>0</v>
      </c>
      <c r="D74" s="4"/>
      <c r="E74" s="3">
        <f>SUMIF('Raw Data 10-31-2018'!$A$6:$A$256,'PY TB-18'!A74,'Raw Data 10-31-2018'!D$6:D$256)</f>
        <v>10638.18</v>
      </c>
      <c r="F74" s="3"/>
      <c r="G74" s="3">
        <f t="shared" si="3"/>
        <v>-10638.18</v>
      </c>
      <c r="H74" s="76" t="s">
        <v>178</v>
      </c>
      <c r="J74" s="19"/>
    </row>
    <row r="75" spans="1:10" x14ac:dyDescent="0.75">
      <c r="A75" s="12">
        <v>2105</v>
      </c>
      <c r="B75" s="13" t="s">
        <v>522</v>
      </c>
      <c r="C75" s="3">
        <f>SUMIF('Raw Data 10-31-2018'!$A$6:$A$256,'PY TB-18'!A75,'Raw Data 10-31-2018'!C$6:C$256)</f>
        <v>0</v>
      </c>
      <c r="D75" s="4"/>
      <c r="E75" s="3">
        <f>SUMIF('Raw Data 10-31-2018'!$A$6:$A$256,'PY TB-18'!A75,'Raw Data 10-31-2018'!D$6:D$256)</f>
        <v>0</v>
      </c>
      <c r="F75" s="3"/>
      <c r="G75" s="3">
        <f t="shared" si="3"/>
        <v>0</v>
      </c>
      <c r="H75" s="76" t="s">
        <v>178</v>
      </c>
      <c r="J75" s="19"/>
    </row>
    <row r="76" spans="1:10" x14ac:dyDescent="0.75">
      <c r="A76" s="12">
        <v>2106</v>
      </c>
      <c r="B76" s="13" t="s">
        <v>546</v>
      </c>
      <c r="C76" s="3">
        <f>SUMIF('Raw Data 10-31-2018'!$A$6:$A$256,'PY TB-18'!A76,'Raw Data 10-31-2018'!C$6:C$256)</f>
        <v>0</v>
      </c>
      <c r="D76" s="4"/>
      <c r="E76" s="3">
        <f>SUMIF('Raw Data 10-31-2018'!$A$6:$A$256,'PY TB-18'!A76,'Raw Data 10-31-2018'!D$6:D$256)</f>
        <v>8342.5400000000009</v>
      </c>
      <c r="F76" s="3"/>
      <c r="G76" s="3">
        <f t="shared" si="3"/>
        <v>-8342.5400000000009</v>
      </c>
      <c r="H76" s="76" t="s">
        <v>178</v>
      </c>
      <c r="J76" s="19"/>
    </row>
    <row r="77" spans="1:10" x14ac:dyDescent="0.75">
      <c r="A77" s="12">
        <v>2210</v>
      </c>
      <c r="B77" s="13" t="s">
        <v>526</v>
      </c>
      <c r="C77" s="3">
        <f>SUMIF('Raw Data 10-31-2018'!$A$6:$A$256,'PY TB-18'!A77,'Raw Data 10-31-2018'!C$6:C$256)</f>
        <v>0</v>
      </c>
      <c r="D77" s="4"/>
      <c r="E77" s="3">
        <f>SUMIF('Raw Data 10-31-2018'!$A$6:$A$256,'PY TB-18'!A77,'Raw Data 10-31-2018'!D$6:D$256)</f>
        <v>663034.31000000006</v>
      </c>
      <c r="F77" s="3"/>
      <c r="G77" s="3">
        <f t="shared" si="3"/>
        <v>-663034.31000000006</v>
      </c>
      <c r="H77" s="76" t="s">
        <v>446</v>
      </c>
      <c r="J77" s="19"/>
    </row>
    <row r="78" spans="1:10" s="89" customFormat="1" x14ac:dyDescent="0.75">
      <c r="A78" s="12" t="s">
        <v>93</v>
      </c>
      <c r="B78" s="13" t="s">
        <v>1001</v>
      </c>
      <c r="C78" s="3">
        <f>SUMIF('Raw Data 10-31-2018'!$A$6:$A$256,'PY TB-18'!A78,'Raw Data 10-31-2018'!C$6:C$256)</f>
        <v>0</v>
      </c>
      <c r="D78" s="4"/>
      <c r="E78" s="3">
        <f>SUMIF('Raw Data 10-31-2018'!$A$6:$A$256,'PY TB-18'!A78,'Raw Data 10-31-2018'!D$6:D$256)</f>
        <v>0</v>
      </c>
      <c r="F78" s="3"/>
      <c r="G78" s="3">
        <f t="shared" ref="G78" si="4">C78-E78</f>
        <v>0</v>
      </c>
      <c r="H78" s="89" t="s">
        <v>178</v>
      </c>
      <c r="J78" s="19"/>
    </row>
    <row r="79" spans="1:10" x14ac:dyDescent="0.75">
      <c r="A79" s="12">
        <v>2231</v>
      </c>
      <c r="B79" s="13" t="s">
        <v>534</v>
      </c>
      <c r="C79" s="3">
        <f>SUMIF('Raw Data 10-31-2018'!$A$6:$A$256,'PY TB-18'!A79,'Raw Data 10-31-2018'!C$6:C$256)</f>
        <v>0</v>
      </c>
      <c r="D79" s="4"/>
      <c r="E79" s="3">
        <f>SUMIF('Raw Data 10-31-2018'!$A$6:$A$256,'PY TB-18'!A79,'Raw Data 10-31-2018'!D$6:D$256)</f>
        <v>0</v>
      </c>
      <c r="F79" s="3"/>
      <c r="G79" s="3">
        <f t="shared" si="3"/>
        <v>0</v>
      </c>
      <c r="H79" s="76" t="s">
        <v>178</v>
      </c>
      <c r="J79" s="19"/>
    </row>
    <row r="80" spans="1:10" x14ac:dyDescent="0.75">
      <c r="A80" s="12">
        <v>2232</v>
      </c>
      <c r="B80" s="13" t="s">
        <v>535</v>
      </c>
      <c r="C80" s="3">
        <f>SUMIF('Raw Data 10-31-2018'!$A$6:$A$256,'PY TB-18'!A80,'Raw Data 10-31-2018'!C$6:C$256)</f>
        <v>0</v>
      </c>
      <c r="D80" s="4"/>
      <c r="E80" s="3">
        <f>SUMIF('Raw Data 10-31-2018'!$A$6:$A$256,'PY TB-18'!A80,'Raw Data 10-31-2018'!D$6:D$256)</f>
        <v>0</v>
      </c>
      <c r="F80" s="3"/>
      <c r="G80" s="3">
        <f t="shared" si="3"/>
        <v>0</v>
      </c>
      <c r="H80" s="76" t="s">
        <v>178</v>
      </c>
      <c r="J80" s="19"/>
    </row>
    <row r="81" spans="1:10" x14ac:dyDescent="0.75">
      <c r="A81" s="12">
        <v>2233</v>
      </c>
      <c r="B81" s="13" t="s">
        <v>537</v>
      </c>
      <c r="C81" s="3">
        <f>SUMIF('Raw Data 10-31-2018'!$A$6:$A$256,'PY TB-18'!A81,'Raw Data 10-31-2018'!C$6:C$256)</f>
        <v>0</v>
      </c>
      <c r="D81" s="4"/>
      <c r="E81" s="3">
        <f>SUMIF('Raw Data 10-31-2018'!$A$6:$A$256,'PY TB-18'!A81,'Raw Data 10-31-2018'!D$6:D$256)</f>
        <v>0</v>
      </c>
      <c r="F81" s="3"/>
      <c r="G81" s="3">
        <f t="shared" si="3"/>
        <v>0</v>
      </c>
      <c r="H81" s="76" t="s">
        <v>178</v>
      </c>
      <c r="J81" s="19"/>
    </row>
    <row r="82" spans="1:10" x14ac:dyDescent="0.75">
      <c r="A82" s="12">
        <v>2235</v>
      </c>
      <c r="B82" s="13" t="s">
        <v>543</v>
      </c>
      <c r="C82" s="3">
        <f>SUMIF('Raw Data 10-31-2018'!$A$6:$A$256,'PY TB-18'!A82,'Raw Data 10-31-2018'!C$6:C$256)</f>
        <v>0</v>
      </c>
      <c r="D82" s="4"/>
      <c r="E82" s="3">
        <f>SUMIF('Raw Data 10-31-2018'!$A$6:$A$256,'PY TB-18'!A82,'Raw Data 10-31-2018'!D$6:D$256)</f>
        <v>0</v>
      </c>
      <c r="F82" s="3"/>
      <c r="G82" s="3">
        <f t="shared" si="3"/>
        <v>0</v>
      </c>
      <c r="H82" s="76" t="s">
        <v>178</v>
      </c>
      <c r="J82" s="19"/>
    </row>
    <row r="83" spans="1:10" x14ac:dyDescent="0.75">
      <c r="A83" s="12">
        <v>2236</v>
      </c>
      <c r="B83" s="13" t="s">
        <v>523</v>
      </c>
      <c r="C83" s="3">
        <f>SUMIF('Raw Data 10-31-2018'!$A$6:$A$256,'PY TB-18'!A83,'Raw Data 10-31-2018'!C$6:C$256)</f>
        <v>0</v>
      </c>
      <c r="D83" s="4"/>
      <c r="E83" s="3">
        <f>SUMIF('Raw Data 10-31-2018'!$A$6:$A$256,'PY TB-18'!A83,'Raw Data 10-31-2018'!D$6:D$256)</f>
        <v>0</v>
      </c>
      <c r="F83" s="3"/>
      <c r="G83" s="3">
        <f t="shared" si="3"/>
        <v>0</v>
      </c>
      <c r="H83" s="76" t="s">
        <v>178</v>
      </c>
      <c r="J83" s="19"/>
    </row>
    <row r="84" spans="1:10" x14ac:dyDescent="0.75">
      <c r="A84" s="12">
        <v>2250</v>
      </c>
      <c r="B84" s="13" t="s">
        <v>536</v>
      </c>
      <c r="C84" s="3">
        <f>SUMIF('Raw Data 10-31-2018'!$A$6:$A$256,'PY TB-18'!A84,'Raw Data 10-31-2018'!C$6:C$256)</f>
        <v>0</v>
      </c>
      <c r="D84" s="4"/>
      <c r="E84" s="3">
        <f>SUMIF('Raw Data 10-31-2018'!$A$6:$A$256,'PY TB-18'!A84,'Raw Data 10-31-2018'!D$6:D$256)</f>
        <v>0</v>
      </c>
      <c r="F84" s="3"/>
      <c r="G84" s="3">
        <f t="shared" si="3"/>
        <v>0</v>
      </c>
      <c r="H84" s="76" t="s">
        <v>178</v>
      </c>
      <c r="J84" s="19"/>
    </row>
    <row r="85" spans="1:10" x14ac:dyDescent="0.75">
      <c r="A85" s="12">
        <v>2270</v>
      </c>
      <c r="B85" s="13" t="s">
        <v>544</v>
      </c>
      <c r="C85" s="3">
        <f>SUMIF('Raw Data 10-31-2018'!$A$6:$A$256,'PY TB-18'!A85,'Raw Data 10-31-2018'!C$6:C$256)</f>
        <v>0</v>
      </c>
      <c r="D85" s="4"/>
      <c r="E85" s="3">
        <f>SUMIF('Raw Data 10-31-2018'!$A$6:$A$256,'PY TB-18'!A85,'Raw Data 10-31-2018'!D$6:D$256)</f>
        <v>0</v>
      </c>
      <c r="F85" s="3"/>
      <c r="G85" s="3">
        <f t="shared" si="3"/>
        <v>0</v>
      </c>
      <c r="H85" s="76" t="s">
        <v>178</v>
      </c>
      <c r="J85" s="19"/>
    </row>
    <row r="86" spans="1:10" x14ac:dyDescent="0.75">
      <c r="A86" s="12">
        <v>2280</v>
      </c>
      <c r="B86" s="13" t="s">
        <v>541</v>
      </c>
      <c r="C86" s="3">
        <f>SUMIF('Raw Data 10-31-2018'!$A$6:$A$256,'PY TB-18'!A86,'Raw Data 10-31-2018'!C$6:C$256)</f>
        <v>0</v>
      </c>
      <c r="D86" s="4"/>
      <c r="E86" s="3">
        <f>SUMIF('Raw Data 10-31-2018'!$A$6:$A$256,'PY TB-18'!A86,'Raw Data 10-31-2018'!D$6:D$256)</f>
        <v>0</v>
      </c>
      <c r="F86" s="3"/>
      <c r="G86" s="3">
        <f t="shared" si="3"/>
        <v>0</v>
      </c>
      <c r="H86" s="76" t="s">
        <v>178</v>
      </c>
      <c r="J86" s="19"/>
    </row>
    <row r="87" spans="1:10" x14ac:dyDescent="0.75">
      <c r="A87" s="12">
        <v>2285</v>
      </c>
      <c r="B87" s="13" t="s">
        <v>545</v>
      </c>
      <c r="C87" s="3">
        <f>SUMIF('Raw Data 10-31-2018'!$A$6:$A$256,'PY TB-18'!A87,'Raw Data 10-31-2018'!C$6:C$256)</f>
        <v>0</v>
      </c>
      <c r="D87" s="4"/>
      <c r="E87" s="3">
        <f>SUMIF('Raw Data 10-31-2018'!$A$6:$A$256,'PY TB-18'!A87,'Raw Data 10-31-2018'!D$6:D$256)</f>
        <v>0</v>
      </c>
      <c r="F87" s="3"/>
      <c r="G87" s="3">
        <f t="shared" si="3"/>
        <v>0</v>
      </c>
      <c r="H87" s="76" t="s">
        <v>178</v>
      </c>
      <c r="J87" s="19"/>
    </row>
    <row r="88" spans="1:10" x14ac:dyDescent="0.75">
      <c r="A88" s="12">
        <v>2290</v>
      </c>
      <c r="B88" s="13" t="s">
        <v>540</v>
      </c>
      <c r="C88" s="3">
        <f>SUMIF('Raw Data 10-31-2018'!$A$6:$A$256,'PY TB-18'!A88,'Raw Data 10-31-2018'!C$6:C$256)</f>
        <v>0</v>
      </c>
      <c r="D88" s="4"/>
      <c r="E88" s="3">
        <f>SUMIF('Raw Data 10-31-2018'!$A$6:$A$256,'PY TB-18'!A88,'Raw Data 10-31-2018'!D$6:D$256)</f>
        <v>0</v>
      </c>
      <c r="F88" s="3"/>
      <c r="G88" s="3">
        <f t="shared" si="3"/>
        <v>0</v>
      </c>
      <c r="H88" s="76" t="s">
        <v>178</v>
      </c>
      <c r="J88" s="19"/>
    </row>
    <row r="89" spans="1:10" x14ac:dyDescent="0.75">
      <c r="A89" s="12">
        <v>2305</v>
      </c>
      <c r="B89" s="13" t="s">
        <v>542</v>
      </c>
      <c r="C89" s="3">
        <f>SUMIF('Raw Data 10-31-2018'!$A$6:$A$256,'PY TB-18'!A89,'Raw Data 10-31-2018'!C$6:C$256)</f>
        <v>0</v>
      </c>
      <c r="D89" s="4"/>
      <c r="E89" s="3">
        <f>SUMIF('Raw Data 10-31-2018'!$A$6:$A$256,'PY TB-18'!A89,'Raw Data 10-31-2018'!D$6:D$256)</f>
        <v>1221957.72</v>
      </c>
      <c r="F89" s="3"/>
      <c r="G89" s="3">
        <f t="shared" si="3"/>
        <v>-1221957.72</v>
      </c>
      <c r="H89" s="76" t="s">
        <v>181</v>
      </c>
      <c r="J89" s="19"/>
    </row>
    <row r="90" spans="1:10" x14ac:dyDescent="0.75">
      <c r="A90" s="12">
        <v>2310</v>
      </c>
      <c r="B90" s="13" t="s">
        <v>538</v>
      </c>
      <c r="C90" s="3">
        <f>SUMIF('Raw Data 10-31-2018'!$A$6:$A$256,'PY TB-18'!A90,'Raw Data 10-31-2018'!C$6:C$256)</f>
        <v>0</v>
      </c>
      <c r="D90" s="4"/>
      <c r="E90" s="3">
        <f>SUMIF('Raw Data 10-31-2018'!$A$6:$A$256,'PY TB-18'!A90,'Raw Data 10-31-2018'!D$6:D$256)</f>
        <v>0</v>
      </c>
      <c r="F90" s="3"/>
      <c r="G90" s="3">
        <f t="shared" si="3"/>
        <v>0</v>
      </c>
      <c r="H90" s="76" t="s">
        <v>446</v>
      </c>
      <c r="J90" s="19"/>
    </row>
    <row r="91" spans="1:10" x14ac:dyDescent="0.75">
      <c r="A91" s="12">
        <v>2320</v>
      </c>
      <c r="B91" s="13" t="s">
        <v>539</v>
      </c>
      <c r="C91" s="3">
        <f>SUMIF('Raw Data 10-31-2018'!$A$6:$A$256,'PY TB-18'!A91,'Raw Data 10-31-2018'!C$6:C$256)</f>
        <v>0</v>
      </c>
      <c r="D91" s="4"/>
      <c r="E91" s="3">
        <f>SUMIF('Raw Data 10-31-2018'!$A$6:$A$256,'PY TB-18'!A91,'Raw Data 10-31-2018'!D$6:D$256)</f>
        <v>0</v>
      </c>
      <c r="F91" s="3"/>
      <c r="G91" s="3">
        <f t="shared" si="3"/>
        <v>0</v>
      </c>
      <c r="H91" s="76" t="s">
        <v>178</v>
      </c>
      <c r="J91" s="19"/>
    </row>
    <row r="92" spans="1:10" x14ac:dyDescent="0.75">
      <c r="A92" s="12">
        <v>2400</v>
      </c>
      <c r="B92" s="13" t="s">
        <v>527</v>
      </c>
      <c r="C92" s="3">
        <f>SUMIF('Raw Data 10-31-2018'!$A$6:$A$256,'PY TB-18'!A92,'Raw Data 10-31-2018'!C$6:C$256)</f>
        <v>0</v>
      </c>
      <c r="D92" s="4"/>
      <c r="E92" s="3">
        <f>SUMIF('Raw Data 10-31-2018'!$A$6:$A$256,'PY TB-18'!A92,'Raw Data 10-31-2018'!D$6:D$256)</f>
        <v>0</v>
      </c>
      <c r="F92" s="3"/>
      <c r="G92" s="3">
        <f t="shared" si="3"/>
        <v>0</v>
      </c>
      <c r="H92" s="76" t="s">
        <v>180</v>
      </c>
      <c r="J92" s="19"/>
    </row>
    <row r="93" spans="1:10" x14ac:dyDescent="0.75">
      <c r="A93" s="12">
        <v>2405</v>
      </c>
      <c r="B93" s="13" t="s">
        <v>528</v>
      </c>
      <c r="C93" s="3">
        <f>SUMIF('Raw Data 10-31-2018'!$A$6:$A$256,'PY TB-18'!A93,'Raw Data 10-31-2018'!C$6:C$256)</f>
        <v>0</v>
      </c>
      <c r="D93" s="4"/>
      <c r="E93" s="3">
        <f>SUMIF('Raw Data 10-31-2018'!$A$6:$A$256,'PY TB-18'!A93,'Raw Data 10-31-2018'!D$6:D$256)</f>
        <v>73531.990000000005</v>
      </c>
      <c r="F93" s="3"/>
      <c r="G93" s="3">
        <f t="shared" si="3"/>
        <v>-73531.990000000005</v>
      </c>
      <c r="H93" s="76" t="s">
        <v>180</v>
      </c>
      <c r="J93" s="19"/>
    </row>
    <row r="94" spans="1:10" x14ac:dyDescent="0.75">
      <c r="A94" s="12">
        <v>2410</v>
      </c>
      <c r="B94" s="13" t="s">
        <v>529</v>
      </c>
      <c r="C94" s="3">
        <f>SUMIF('Raw Data 10-31-2018'!$A$6:$A$256,'PY TB-18'!A94,'Raw Data 10-31-2018'!C$6:C$256)</f>
        <v>0</v>
      </c>
      <c r="D94" s="4"/>
      <c r="E94" s="3">
        <f>SUMIF('Raw Data 10-31-2018'!$A$6:$A$256,'PY TB-18'!A94,'Raw Data 10-31-2018'!D$6:D$256)</f>
        <v>0</v>
      </c>
      <c r="F94" s="3"/>
      <c r="G94" s="3">
        <f t="shared" si="3"/>
        <v>0</v>
      </c>
      <c r="H94" s="76" t="s">
        <v>180</v>
      </c>
      <c r="J94" s="19"/>
    </row>
    <row r="95" spans="1:10" x14ac:dyDescent="0.75">
      <c r="A95" s="12">
        <v>2415</v>
      </c>
      <c r="B95" s="13" t="s">
        <v>530</v>
      </c>
      <c r="C95" s="3">
        <f>SUMIF('Raw Data 10-31-2018'!$A$6:$A$256,'PY TB-18'!A95,'Raw Data 10-31-2018'!C$6:C$256)</f>
        <v>0</v>
      </c>
      <c r="D95" s="4"/>
      <c r="E95" s="3">
        <f>SUMIF('Raw Data 10-31-2018'!$A$6:$A$256,'PY TB-18'!A95,'Raw Data 10-31-2018'!D$6:D$256)</f>
        <v>0</v>
      </c>
      <c r="F95" s="3"/>
      <c r="G95" s="3">
        <f t="shared" si="3"/>
        <v>0</v>
      </c>
      <c r="H95" s="76" t="s">
        <v>180</v>
      </c>
      <c r="J95" s="19"/>
    </row>
    <row r="96" spans="1:10" x14ac:dyDescent="0.75">
      <c r="A96" s="12">
        <v>2420</v>
      </c>
      <c r="B96" s="13" t="s">
        <v>531</v>
      </c>
      <c r="C96" s="3">
        <f>SUMIF('Raw Data 10-31-2018'!$A$6:$A$256,'PY TB-18'!A96,'Raw Data 10-31-2018'!C$6:C$256)</f>
        <v>0</v>
      </c>
      <c r="D96" s="4"/>
      <c r="E96" s="3">
        <f>SUMIF('Raw Data 10-31-2018'!$A$6:$A$256,'PY TB-18'!A96,'Raw Data 10-31-2018'!D$6:D$256)</f>
        <v>0</v>
      </c>
      <c r="F96" s="3"/>
      <c r="G96" s="3">
        <f t="shared" si="3"/>
        <v>0</v>
      </c>
      <c r="H96" s="76" t="s">
        <v>180</v>
      </c>
      <c r="J96" s="19"/>
    </row>
    <row r="97" spans="1:10" x14ac:dyDescent="0.75">
      <c r="A97" s="12">
        <v>2425</v>
      </c>
      <c r="B97" s="13" t="s">
        <v>532</v>
      </c>
      <c r="C97" s="3">
        <f>SUMIF('Raw Data 10-31-2018'!$A$6:$A$256,'PY TB-18'!A97,'Raw Data 10-31-2018'!C$6:C$256)</f>
        <v>0</v>
      </c>
      <c r="D97" s="4"/>
      <c r="E97" s="3">
        <f>SUMIF('Raw Data 10-31-2018'!$A$6:$A$256,'PY TB-18'!A97,'Raw Data 10-31-2018'!D$6:D$256)</f>
        <v>0</v>
      </c>
      <c r="F97" s="3"/>
      <c r="G97" s="3">
        <f t="shared" si="3"/>
        <v>0</v>
      </c>
      <c r="H97" s="76" t="s">
        <v>180</v>
      </c>
      <c r="J97" s="19"/>
    </row>
    <row r="98" spans="1:10" x14ac:dyDescent="0.75">
      <c r="A98" s="12">
        <v>2430</v>
      </c>
      <c r="B98" s="13" t="s">
        <v>533</v>
      </c>
      <c r="C98" s="3">
        <f>SUMIF('Raw Data 10-31-2018'!$A$6:$A$256,'PY TB-18'!A98,'Raw Data 10-31-2018'!C$6:C$256)</f>
        <v>0</v>
      </c>
      <c r="D98" s="4"/>
      <c r="E98" s="3">
        <f>SUMIF('Raw Data 10-31-2018'!$A$6:$A$256,'PY TB-18'!A98,'Raw Data 10-31-2018'!D$6:D$256)</f>
        <v>0</v>
      </c>
      <c r="F98" s="3"/>
      <c r="G98" s="3">
        <f t="shared" si="3"/>
        <v>0</v>
      </c>
      <c r="H98" s="76" t="s">
        <v>180</v>
      </c>
      <c r="J98" s="19"/>
    </row>
    <row r="99" spans="1:10" s="85" customFormat="1" x14ac:dyDescent="0.75">
      <c r="A99" s="12" t="s">
        <v>952</v>
      </c>
      <c r="B99" s="13" t="s">
        <v>953</v>
      </c>
      <c r="C99" s="3">
        <f>SUMIF('Raw Data 10-31-2018'!$A$6:$A$256,'PY TB-18'!A99,'Raw Data 10-31-2018'!C$6:C$256)</f>
        <v>0</v>
      </c>
      <c r="D99" s="4"/>
      <c r="E99" s="3">
        <f>SUMIF('Raw Data 10-31-2018'!$A$6:$A$256,'PY TB-18'!A99,'Raw Data 10-31-2018'!D$6:D$256)</f>
        <v>0</v>
      </c>
      <c r="F99" s="3"/>
      <c r="G99" s="3">
        <f t="shared" ref="G99" si="5">C99-E99</f>
        <v>0</v>
      </c>
      <c r="H99" s="85" t="s">
        <v>954</v>
      </c>
      <c r="J99" s="19"/>
    </row>
    <row r="100" spans="1:10" x14ac:dyDescent="0.75">
      <c r="A100" s="12">
        <v>2705</v>
      </c>
      <c r="B100" s="13" t="s">
        <v>547</v>
      </c>
      <c r="C100" s="3">
        <f>SUMIF('Raw Data 10-31-2018'!$A$6:$A$256,'PY TB-18'!A100,'Raw Data 10-31-2018'!C$6:C$256)</f>
        <v>0</v>
      </c>
      <c r="D100" s="4"/>
      <c r="E100" s="3">
        <f>SUMIF('Raw Data 10-31-2018'!$A$6:$A$256,'PY TB-18'!A100,'Raw Data 10-31-2018'!D$6:D$256)</f>
        <v>50000</v>
      </c>
      <c r="F100" s="3"/>
      <c r="G100" s="3">
        <f t="shared" si="3"/>
        <v>-50000</v>
      </c>
      <c r="H100" s="76" t="s">
        <v>800</v>
      </c>
      <c r="I100" s="51"/>
      <c r="J100" s="19"/>
    </row>
    <row r="101" spans="1:10" x14ac:dyDescent="0.75">
      <c r="A101" s="12">
        <v>2710</v>
      </c>
      <c r="B101" s="13" t="s">
        <v>548</v>
      </c>
      <c r="C101" s="3">
        <f>SUMIF('Raw Data 10-31-2018'!$A$6:$A$256,'PY TB-18'!A101,'Raw Data 10-31-2018'!C$6:C$256)</f>
        <v>0</v>
      </c>
      <c r="D101" s="4"/>
      <c r="E101" s="3">
        <f>SUMIF('Raw Data 10-31-2018'!$A$6:$A$256,'PY TB-18'!A101,'Raw Data 10-31-2018'!D$6:D$256)</f>
        <v>15000</v>
      </c>
      <c r="F101" s="3"/>
      <c r="G101" s="3">
        <f t="shared" si="3"/>
        <v>-15000</v>
      </c>
      <c r="H101" s="76" t="s">
        <v>800</v>
      </c>
      <c r="I101" s="51"/>
      <c r="J101" s="19"/>
    </row>
    <row r="102" spans="1:10" x14ac:dyDescent="0.75">
      <c r="A102" s="12">
        <v>2715</v>
      </c>
      <c r="B102" s="13" t="s">
        <v>549</v>
      </c>
      <c r="C102" s="3">
        <f>SUMIF('Raw Data 10-31-2018'!$A$6:$A$256,'PY TB-18'!A102,'Raw Data 10-31-2018'!C$6:C$256)</f>
        <v>0</v>
      </c>
      <c r="D102" s="4"/>
      <c r="E102" s="3">
        <f>SUMIF('Raw Data 10-31-2018'!$A$6:$A$256,'PY TB-18'!A102,'Raw Data 10-31-2018'!D$6:D$256)</f>
        <v>25000</v>
      </c>
      <c r="F102" s="3"/>
      <c r="G102" s="3">
        <f t="shared" si="3"/>
        <v>-25000</v>
      </c>
      <c r="H102" s="76" t="s">
        <v>800</v>
      </c>
      <c r="I102" s="51"/>
      <c r="J102" s="19"/>
    </row>
    <row r="103" spans="1:10" x14ac:dyDescent="0.75">
      <c r="A103" s="12">
        <v>2720</v>
      </c>
      <c r="B103" s="13" t="s">
        <v>550</v>
      </c>
      <c r="C103" s="3">
        <f>SUMIF('Raw Data 10-31-2018'!$A$6:$A$256,'PY TB-18'!A103,'Raw Data 10-31-2018'!C$6:C$256)</f>
        <v>0</v>
      </c>
      <c r="D103" s="4"/>
      <c r="E103" s="3">
        <f>SUMIF('Raw Data 10-31-2018'!$A$6:$A$256,'PY TB-18'!A103,'Raw Data 10-31-2018'!D$6:D$256)</f>
        <v>50000</v>
      </c>
      <c r="F103" s="3"/>
      <c r="G103" s="3">
        <f t="shared" si="3"/>
        <v>-50000</v>
      </c>
      <c r="H103" s="76" t="s">
        <v>800</v>
      </c>
      <c r="I103" s="51"/>
      <c r="J103" s="19"/>
    </row>
    <row r="104" spans="1:10" x14ac:dyDescent="0.75">
      <c r="A104" s="12">
        <v>2725</v>
      </c>
      <c r="B104" s="13" t="s">
        <v>551</v>
      </c>
      <c r="C104" s="3">
        <f>SUMIF('Raw Data 10-31-2018'!$A$6:$A$256,'PY TB-18'!A104,'Raw Data 10-31-2018'!C$6:C$256)</f>
        <v>0</v>
      </c>
      <c r="D104" s="4"/>
      <c r="E104" s="3">
        <f>SUMIF('Raw Data 10-31-2018'!$A$6:$A$256,'PY TB-18'!A104,'Raw Data 10-31-2018'!D$6:D$256)</f>
        <v>40000</v>
      </c>
      <c r="F104" s="3"/>
      <c r="G104" s="3">
        <f t="shared" si="3"/>
        <v>-40000</v>
      </c>
      <c r="H104" s="76" t="s">
        <v>800</v>
      </c>
      <c r="I104" s="51"/>
      <c r="J104" s="19"/>
    </row>
    <row r="105" spans="1:10" x14ac:dyDescent="0.75">
      <c r="A105" s="12">
        <v>2730</v>
      </c>
      <c r="B105" s="13" t="s">
        <v>552</v>
      </c>
      <c r="C105" s="3">
        <f>SUMIF('Raw Data 10-31-2018'!$A$6:$A$256,'PY TB-18'!A105,'Raw Data 10-31-2018'!C$6:C$256)</f>
        <v>0</v>
      </c>
      <c r="D105" s="4"/>
      <c r="E105" s="3">
        <f>SUMIF('Raw Data 10-31-2018'!$A$6:$A$256,'PY TB-18'!A105,'Raw Data 10-31-2018'!D$6:D$256)</f>
        <v>108527</v>
      </c>
      <c r="F105" s="3"/>
      <c r="G105" s="3">
        <f t="shared" si="3"/>
        <v>-108527</v>
      </c>
      <c r="H105" s="76" t="s">
        <v>800</v>
      </c>
      <c r="I105" s="51"/>
      <c r="J105" s="19"/>
    </row>
    <row r="106" spans="1:10" x14ac:dyDescent="0.75">
      <c r="A106" s="12">
        <v>2735</v>
      </c>
      <c r="B106" s="13" t="s">
        <v>553</v>
      </c>
      <c r="C106" s="3">
        <f>SUMIF('Raw Data 10-31-2018'!$A$6:$A$256,'PY TB-18'!A106,'Raw Data 10-31-2018'!C$6:C$256)</f>
        <v>0</v>
      </c>
      <c r="D106" s="4"/>
      <c r="E106" s="3">
        <f>SUMIF('Raw Data 10-31-2018'!$A$6:$A$256,'PY TB-18'!A106,'Raw Data 10-31-2018'!D$6:D$256)</f>
        <v>150000</v>
      </c>
      <c r="F106" s="3"/>
      <c r="G106" s="3">
        <f t="shared" si="3"/>
        <v>-150000</v>
      </c>
      <c r="H106" s="76" t="s">
        <v>800</v>
      </c>
      <c r="I106" s="51"/>
      <c r="J106" s="19"/>
    </row>
    <row r="107" spans="1:10" x14ac:dyDescent="0.75">
      <c r="A107" s="12">
        <v>2740</v>
      </c>
      <c r="B107" s="13" t="s">
        <v>554</v>
      </c>
      <c r="C107" s="3">
        <f>SUMIF('Raw Data 10-31-2018'!$A$6:$A$256,'PY TB-18'!A107,'Raw Data 10-31-2018'!C$6:C$256)</f>
        <v>0</v>
      </c>
      <c r="D107" s="4"/>
      <c r="E107" s="3">
        <f>SUMIF('Raw Data 10-31-2018'!$A$6:$A$256,'PY TB-18'!A107,'Raw Data 10-31-2018'!D$6:D$256)</f>
        <v>30000</v>
      </c>
      <c r="F107" s="3"/>
      <c r="G107" s="3">
        <f t="shared" si="3"/>
        <v>-30000</v>
      </c>
      <c r="H107" s="76" t="s">
        <v>800</v>
      </c>
      <c r="I107" s="51"/>
      <c r="J107" s="19"/>
    </row>
    <row r="108" spans="1:10" x14ac:dyDescent="0.75">
      <c r="A108" s="12">
        <v>2745</v>
      </c>
      <c r="B108" s="13" t="s">
        <v>939</v>
      </c>
      <c r="C108" s="3">
        <f>SUMIF('Raw Data 10-31-2018'!$A$6:$A$256,'PY TB-18'!A108,'Raw Data 10-31-2018'!C$6:C$256)</f>
        <v>0</v>
      </c>
      <c r="D108" s="4"/>
      <c r="E108" s="3">
        <f>SUMIF('Raw Data 10-31-2018'!$A$6:$A$256,'PY TB-18'!A108,'Raw Data 10-31-2018'!D$6:D$256)</f>
        <v>33140.129999999997</v>
      </c>
      <c r="F108" s="3"/>
      <c r="G108" s="3">
        <f t="shared" si="3"/>
        <v>-33140.129999999997</v>
      </c>
      <c r="H108" s="76" t="s">
        <v>182</v>
      </c>
      <c r="I108" s="51"/>
      <c r="J108" s="19"/>
    </row>
    <row r="109" spans="1:10" x14ac:dyDescent="0.75">
      <c r="A109" s="12">
        <v>2750</v>
      </c>
      <c r="B109" s="13" t="s">
        <v>555</v>
      </c>
      <c r="C109" s="3">
        <f>SUMIF('Raw Data 10-31-2018'!$A$6:$A$256,'PY TB-18'!A109,'Raw Data 10-31-2018'!C$6:C$256)</f>
        <v>0</v>
      </c>
      <c r="D109" s="4"/>
      <c r="E109" s="3">
        <f>SUMIF('Raw Data 10-31-2018'!$A$6:$A$256,'PY TB-18'!A109,'Raw Data 10-31-2018'!D$6:D$256)</f>
        <v>50000</v>
      </c>
      <c r="F109" s="3"/>
      <c r="G109" s="3">
        <f t="shared" si="3"/>
        <v>-50000</v>
      </c>
      <c r="H109" s="76" t="s">
        <v>800</v>
      </c>
      <c r="I109" s="51"/>
      <c r="J109" s="19"/>
    </row>
    <row r="110" spans="1:10" x14ac:dyDescent="0.75">
      <c r="A110" s="12">
        <v>2755</v>
      </c>
      <c r="B110" s="13" t="s">
        <v>556</v>
      </c>
      <c r="C110" s="3">
        <f>SUMIF('Raw Data 10-31-2018'!$A$6:$A$256,'PY TB-18'!A110,'Raw Data 10-31-2018'!C$6:C$256)</f>
        <v>0</v>
      </c>
      <c r="D110" s="4"/>
      <c r="E110" s="3">
        <f>SUMIF('Raw Data 10-31-2018'!$A$6:$A$256,'PY TB-18'!A110,'Raw Data 10-31-2018'!D$6:D$256)</f>
        <v>25000</v>
      </c>
      <c r="F110" s="3"/>
      <c r="G110" s="3">
        <f t="shared" si="3"/>
        <v>-25000</v>
      </c>
      <c r="H110" s="76" t="s">
        <v>800</v>
      </c>
      <c r="I110" s="51"/>
      <c r="J110" s="19"/>
    </row>
    <row r="111" spans="1:10" x14ac:dyDescent="0.75">
      <c r="A111" s="12">
        <v>2760</v>
      </c>
      <c r="B111" s="13" t="s">
        <v>557</v>
      </c>
      <c r="C111" s="3">
        <f>SUMIF('Raw Data 10-31-2018'!$A$6:$A$256,'PY TB-18'!A111,'Raw Data 10-31-2018'!C$6:C$256)</f>
        <v>0</v>
      </c>
      <c r="D111" s="4"/>
      <c r="E111" s="3">
        <f>SUMIF('Raw Data 10-31-2018'!$A$6:$A$256,'PY TB-18'!A111,'Raw Data 10-31-2018'!D$6:D$256)</f>
        <v>100000</v>
      </c>
      <c r="F111" s="3"/>
      <c r="G111" s="3">
        <f t="shared" si="3"/>
        <v>-100000</v>
      </c>
      <c r="H111" s="76" t="s">
        <v>800</v>
      </c>
      <c r="I111" s="51"/>
      <c r="J111" s="19"/>
    </row>
    <row r="112" spans="1:10" x14ac:dyDescent="0.75">
      <c r="A112" s="12">
        <v>2765</v>
      </c>
      <c r="B112" s="13" t="s">
        <v>558</v>
      </c>
      <c r="C112" s="3">
        <f>SUMIF('Raw Data 10-31-2018'!$A$6:$A$256,'PY TB-18'!A112,'Raw Data 10-31-2018'!C$6:C$256)</f>
        <v>0</v>
      </c>
      <c r="D112" s="4"/>
      <c r="E112" s="3">
        <f>SUMIF('Raw Data 10-31-2018'!$A$6:$A$256,'PY TB-18'!A112,'Raw Data 10-31-2018'!D$6:D$256)</f>
        <v>50000</v>
      </c>
      <c r="F112" s="3"/>
      <c r="G112" s="3">
        <f t="shared" si="3"/>
        <v>-50000</v>
      </c>
      <c r="H112" s="76" t="s">
        <v>800</v>
      </c>
      <c r="I112" s="51"/>
      <c r="J112" s="19"/>
    </row>
    <row r="113" spans="1:10" x14ac:dyDescent="0.75">
      <c r="A113" s="12">
        <v>2770</v>
      </c>
      <c r="B113" s="13" t="s">
        <v>559</v>
      </c>
      <c r="C113" s="3">
        <f>SUMIF('Raw Data 10-31-2018'!$A$6:$A$256,'PY TB-18'!A113,'Raw Data 10-31-2018'!C$6:C$256)</f>
        <v>0</v>
      </c>
      <c r="D113" s="4"/>
      <c r="E113" s="3">
        <f>SUMIF('Raw Data 10-31-2018'!$A$6:$A$256,'PY TB-18'!A113,'Raw Data 10-31-2018'!D$6:D$256)</f>
        <v>2500</v>
      </c>
      <c r="F113" s="3"/>
      <c r="G113" s="3">
        <f t="shared" si="3"/>
        <v>-2500</v>
      </c>
      <c r="H113" s="76" t="s">
        <v>800</v>
      </c>
      <c r="I113" s="51"/>
      <c r="J113" s="19"/>
    </row>
    <row r="114" spans="1:10" x14ac:dyDescent="0.75">
      <c r="A114" s="12">
        <v>2775</v>
      </c>
      <c r="B114" s="13" t="s">
        <v>560</v>
      </c>
      <c r="C114" s="3">
        <f>SUMIF('Raw Data 10-31-2018'!$A$6:$A$256,'PY TB-18'!A114,'Raw Data 10-31-2018'!C$6:C$256)</f>
        <v>0</v>
      </c>
      <c r="D114" s="4"/>
      <c r="E114" s="3">
        <f>SUMIF('Raw Data 10-31-2018'!$A$6:$A$256,'PY TB-18'!A114,'Raw Data 10-31-2018'!D$6:D$256)</f>
        <v>50000</v>
      </c>
      <c r="F114" s="3"/>
      <c r="G114" s="3">
        <f t="shared" si="3"/>
        <v>-50000</v>
      </c>
      <c r="H114" s="76" t="s">
        <v>800</v>
      </c>
      <c r="I114" s="51"/>
      <c r="J114" s="19"/>
    </row>
    <row r="115" spans="1:10" x14ac:dyDescent="0.75">
      <c r="A115" s="12">
        <v>2780</v>
      </c>
      <c r="B115" s="13" t="s">
        <v>561</v>
      </c>
      <c r="C115" s="3">
        <f>SUMIF('Raw Data 10-31-2018'!$A$6:$A$256,'PY TB-18'!A115,'Raw Data 10-31-2018'!C$6:C$256)</f>
        <v>0</v>
      </c>
      <c r="D115" s="4"/>
      <c r="E115" s="3">
        <f>SUMIF('Raw Data 10-31-2018'!$A$6:$A$256,'PY TB-18'!A115,'Raw Data 10-31-2018'!D$6:D$256)</f>
        <v>25000</v>
      </c>
      <c r="F115" s="3"/>
      <c r="G115" s="3">
        <f t="shared" si="3"/>
        <v>-25000</v>
      </c>
      <c r="H115" s="76" t="s">
        <v>800</v>
      </c>
      <c r="I115" s="51"/>
      <c r="J115" s="19"/>
    </row>
    <row r="116" spans="1:10" s="77" customFormat="1" x14ac:dyDescent="0.75">
      <c r="A116" s="12" t="s">
        <v>941</v>
      </c>
      <c r="B116" s="13" t="s">
        <v>942</v>
      </c>
      <c r="C116" s="3">
        <f>SUMIF('Raw Data 10-31-2018'!$A$6:$A$256,'PY TB-18'!A116,'Raw Data 10-31-2018'!C$6:C$256)</f>
        <v>389415</v>
      </c>
      <c r="D116" s="4"/>
      <c r="E116" s="3">
        <f>SUMIF('Raw Data 10-31-2018'!$A$6:$A$256,'PY TB-18'!A116,'Raw Data 10-31-2018'!D$6:D$256)</f>
        <v>0</v>
      </c>
      <c r="F116" s="3"/>
      <c r="G116" s="3">
        <f t="shared" ref="G116" si="6">C116-E116</f>
        <v>389415</v>
      </c>
      <c r="H116" s="77" t="s">
        <v>800</v>
      </c>
      <c r="J116" s="19"/>
    </row>
    <row r="117" spans="1:10" x14ac:dyDescent="0.75">
      <c r="A117" s="12">
        <v>3000</v>
      </c>
      <c r="B117" s="13" t="s">
        <v>563</v>
      </c>
      <c r="C117" s="3">
        <f>SUMIF('Raw Data 10-31-2018'!$A$6:$A$256,'PY TB-18'!A117,'Raw Data 10-31-2018'!C$6:C$256)</f>
        <v>0</v>
      </c>
      <c r="D117" s="4"/>
      <c r="E117" s="3">
        <f>SUMIF('Raw Data 10-31-2018'!$A$6:$A$256,'PY TB-18'!A117,'Raw Data 10-31-2018'!D$6:D$256)</f>
        <v>46244.14</v>
      </c>
      <c r="F117" s="3"/>
      <c r="G117" s="3">
        <f t="shared" si="3"/>
        <v>-46244.14</v>
      </c>
      <c r="H117" s="76" t="s">
        <v>183</v>
      </c>
      <c r="J117" s="19"/>
    </row>
    <row r="118" spans="1:10" x14ac:dyDescent="0.75">
      <c r="A118" s="12">
        <v>3050</v>
      </c>
      <c r="B118" s="13" t="s">
        <v>569</v>
      </c>
      <c r="C118" s="3">
        <f>SUMIF('Raw Data 10-31-2018'!$A$6:$A$256,'PY TB-18'!A118,'Raw Data 10-31-2018'!C$6:C$256)</f>
        <v>0</v>
      </c>
      <c r="D118" s="4"/>
      <c r="E118" s="3">
        <f>SUMIF('Raw Data 10-31-2018'!$A$6:$A$256,'PY TB-18'!A118,'Raw Data 10-31-2018'!D$6:D$256)</f>
        <v>0</v>
      </c>
      <c r="F118" s="3"/>
      <c r="G118" s="3">
        <f t="shared" si="3"/>
        <v>0</v>
      </c>
      <c r="H118" s="76" t="s">
        <v>802</v>
      </c>
      <c r="J118" s="19"/>
    </row>
    <row r="119" spans="1:10" x14ac:dyDescent="0.75">
      <c r="A119" s="12">
        <v>3100</v>
      </c>
      <c r="B119" s="13" t="s">
        <v>567</v>
      </c>
      <c r="C119" s="3">
        <f>SUMIF('Raw Data 10-31-2018'!$A$6:$A$256,'PY TB-18'!A119,'Raw Data 10-31-2018'!C$6:C$256)</f>
        <v>0</v>
      </c>
      <c r="D119" s="4"/>
      <c r="E119" s="3">
        <f>SUMIF('Raw Data 10-31-2018'!$A$6:$A$256,'PY TB-18'!A119,'Raw Data 10-31-2018'!D$6:D$256)</f>
        <v>7228587.3799999999</v>
      </c>
      <c r="F119" s="3"/>
      <c r="G119" s="3">
        <f t="shared" si="3"/>
        <v>-7228587.3799999999</v>
      </c>
      <c r="H119" s="76" t="s">
        <v>184</v>
      </c>
      <c r="J119" s="19"/>
    </row>
    <row r="120" spans="1:10" s="89" customFormat="1" x14ac:dyDescent="0.75">
      <c r="A120" s="12" t="s">
        <v>1003</v>
      </c>
      <c r="B120" s="13" t="s">
        <v>1004</v>
      </c>
      <c r="C120" s="3">
        <f>SUMIF('Raw Data 10-31-2018'!$A$6:$A$256,'PY TB-18'!A120,'Raw Data 10-31-2018'!C$6:C$256)</f>
        <v>0</v>
      </c>
      <c r="D120" s="4"/>
      <c r="E120" s="3">
        <f>SUMIF('Raw Data 10-31-2018'!$A$6:$A$256,'PY TB-18'!A120,'Raw Data 10-31-2018'!D$6:D$256)</f>
        <v>0</v>
      </c>
      <c r="F120" s="3"/>
      <c r="G120" s="3">
        <f t="shared" ref="G120" si="7">C120-E120</f>
        <v>0</v>
      </c>
      <c r="H120" s="89" t="s">
        <v>184</v>
      </c>
      <c r="J120" s="19"/>
    </row>
    <row r="121" spans="1:10" x14ac:dyDescent="0.75">
      <c r="A121" s="12">
        <v>3200</v>
      </c>
      <c r="B121" s="13" t="s">
        <v>562</v>
      </c>
      <c r="C121" s="3">
        <f>SUMIF('Raw Data 10-31-2018'!$A$6:$A$256,'PY TB-18'!A121,'Raw Data 10-31-2018'!C$6:C$256)</f>
        <v>0</v>
      </c>
      <c r="D121" s="4"/>
      <c r="E121" s="3">
        <f>SUMIF('Raw Data 10-31-2018'!$A$6:$A$256,'PY TB-18'!A121,'Raw Data 10-31-2018'!D$6:D$256)</f>
        <v>0</v>
      </c>
      <c r="F121" s="3"/>
      <c r="G121" s="3">
        <f t="shared" si="3"/>
        <v>0</v>
      </c>
      <c r="H121" s="76" t="s">
        <v>184</v>
      </c>
      <c r="J121" s="19"/>
    </row>
    <row r="122" spans="1:10" x14ac:dyDescent="0.75">
      <c r="A122" s="12">
        <v>3300</v>
      </c>
      <c r="B122" s="13" t="s">
        <v>564</v>
      </c>
      <c r="C122" s="3">
        <f>SUMIF('Raw Data 10-31-2018'!$A$6:$A$256,'PY TB-18'!A122,'Raw Data 10-31-2018'!C$6:C$256)</f>
        <v>0</v>
      </c>
      <c r="D122" s="4"/>
      <c r="E122" s="3">
        <f>SUMIF('Raw Data 10-31-2018'!$A$6:$A$256,'PY TB-18'!A122,'Raw Data 10-31-2018'!D$6:D$256)</f>
        <v>0</v>
      </c>
      <c r="F122" s="3"/>
      <c r="G122" s="3">
        <f t="shared" si="3"/>
        <v>0</v>
      </c>
      <c r="H122" s="76" t="s">
        <v>184</v>
      </c>
      <c r="J122" s="19"/>
    </row>
    <row r="123" spans="1:10" x14ac:dyDescent="0.75">
      <c r="A123" s="12">
        <v>3400</v>
      </c>
      <c r="B123" s="13" t="s">
        <v>565</v>
      </c>
      <c r="C123" s="3">
        <f>SUMIF('Raw Data 10-31-2018'!$A$6:$A$256,'PY TB-18'!A123,'Raw Data 10-31-2018'!C$6:C$256)</f>
        <v>0</v>
      </c>
      <c r="D123" s="4"/>
      <c r="E123" s="3">
        <f>SUMIF('Raw Data 10-31-2018'!$A$6:$A$256,'PY TB-18'!A123,'Raw Data 10-31-2018'!D$6:D$256)</f>
        <v>0</v>
      </c>
      <c r="F123" s="3"/>
      <c r="G123" s="3">
        <f t="shared" si="3"/>
        <v>0</v>
      </c>
      <c r="H123" s="76" t="s">
        <v>184</v>
      </c>
      <c r="J123" s="19"/>
    </row>
    <row r="124" spans="1:10" x14ac:dyDescent="0.75">
      <c r="A124" s="12">
        <v>3500</v>
      </c>
      <c r="B124" s="13" t="s">
        <v>566</v>
      </c>
      <c r="C124" s="3">
        <f>SUMIF('Raw Data 10-31-2018'!$A$6:$A$256,'PY TB-18'!A124,'Raw Data 10-31-2018'!C$6:C$256)</f>
        <v>0</v>
      </c>
      <c r="D124" s="4"/>
      <c r="E124" s="3">
        <f>SUMIF('Raw Data 10-31-2018'!$A$6:$A$256,'PY TB-18'!A124,'Raw Data 10-31-2018'!D$6:D$256)</f>
        <v>0</v>
      </c>
      <c r="F124" s="3"/>
      <c r="G124" s="3">
        <f t="shared" si="3"/>
        <v>0</v>
      </c>
      <c r="H124" s="76" t="s">
        <v>184</v>
      </c>
      <c r="J124" s="19"/>
    </row>
    <row r="125" spans="1:10" x14ac:dyDescent="0.75">
      <c r="A125" s="12" t="s">
        <v>382</v>
      </c>
      <c r="B125" s="13" t="s">
        <v>933</v>
      </c>
      <c r="C125" s="3">
        <f>SUMIF('Raw Data 10-31-2018'!$A$6:$A$256,'PY TB-18'!A125,'Raw Data 10-31-2018'!C$6:C$256)</f>
        <v>30000</v>
      </c>
      <c r="D125" s="4"/>
      <c r="E125" s="3">
        <f>SUMIF('Raw Data 10-31-2018'!$A$6:$A$256,'PY TB-18'!A125,'Raw Data 10-31-2018'!D$6:D$256)</f>
        <v>0</v>
      </c>
      <c r="F125" s="3"/>
      <c r="G125" s="3">
        <f t="shared" ref="G125" si="8">C125-E125</f>
        <v>30000</v>
      </c>
      <c r="H125" s="76" t="s">
        <v>934</v>
      </c>
      <c r="J125" s="19"/>
    </row>
    <row r="126" spans="1:10" x14ac:dyDescent="0.75">
      <c r="A126" s="12">
        <v>3800</v>
      </c>
      <c r="B126" s="13" t="s">
        <v>568</v>
      </c>
      <c r="C126" s="3">
        <f>SUMIF('Raw Data 10-31-2018'!$A$6:$A$256,'PY TB-18'!A126,'Raw Data 10-31-2018'!C$6:C$256)</f>
        <v>0</v>
      </c>
      <c r="D126" s="4"/>
      <c r="E126" s="3">
        <f>SUMIF('Raw Data 10-31-2018'!$A$6:$A$256,'PY TB-18'!A126,'Raw Data 10-31-2018'!D$6:D$256)</f>
        <v>0</v>
      </c>
      <c r="F126" s="3"/>
      <c r="G126" s="3">
        <f t="shared" si="3"/>
        <v>0</v>
      </c>
      <c r="H126" s="76" t="s">
        <v>185</v>
      </c>
      <c r="J126" s="19"/>
    </row>
    <row r="127" spans="1:10" x14ac:dyDescent="0.75">
      <c r="A127" s="12">
        <v>3900</v>
      </c>
      <c r="B127" s="13" t="s">
        <v>400</v>
      </c>
      <c r="C127" s="3">
        <f>SUMIF('Raw Data 10-31-2018'!$A$6:$A$256,'PY TB-18'!A127,'Raw Data 10-31-2018'!C$6:C$256)</f>
        <v>8616796.3800000008</v>
      </c>
      <c r="D127" s="4"/>
      <c r="E127" s="3">
        <f>SUMIF('Raw Data 10-31-2018'!$A$6:$A$256,'PY TB-18'!A127,'Raw Data 10-31-2018'!D$6:D$256)</f>
        <v>0</v>
      </c>
      <c r="F127" s="3"/>
      <c r="G127" s="3">
        <f t="shared" si="3"/>
        <v>8616796.3800000008</v>
      </c>
      <c r="H127" s="76" t="s">
        <v>185</v>
      </c>
      <c r="J127" s="19"/>
    </row>
    <row r="128" spans="1:10" x14ac:dyDescent="0.75">
      <c r="A128" s="12">
        <v>4100</v>
      </c>
      <c r="B128" s="13" t="s">
        <v>576</v>
      </c>
      <c r="C128" s="3">
        <f>SUMIF('Raw Data 10-31-2018'!$A$6:$A$256,'PY TB-18'!A128,'Raw Data 10-31-2018'!C$6:C$256)</f>
        <v>0</v>
      </c>
      <c r="D128" s="4"/>
      <c r="E128" s="3">
        <f>SUMIF('Raw Data 10-31-2018'!$A$6:$A$256,'PY TB-18'!A128,'Raw Data 10-31-2018'!D$6:D$256)</f>
        <v>499891.81</v>
      </c>
      <c r="F128" s="3"/>
      <c r="G128" s="3">
        <f t="shared" si="3"/>
        <v>-499891.81</v>
      </c>
      <c r="H128" s="76" t="s">
        <v>437</v>
      </c>
      <c r="J128" s="19"/>
    </row>
    <row r="129" spans="1:10" x14ac:dyDescent="0.75">
      <c r="A129" s="12">
        <v>4110</v>
      </c>
      <c r="B129" s="13" t="s">
        <v>577</v>
      </c>
      <c r="C129" s="3">
        <f>SUMIF('Raw Data 10-31-2018'!$A$6:$A$256,'PY TB-18'!A129,'Raw Data 10-31-2018'!C$6:C$256)</f>
        <v>0</v>
      </c>
      <c r="D129" s="4"/>
      <c r="E129" s="3">
        <f>SUMIF('Raw Data 10-31-2018'!$A$6:$A$256,'PY TB-18'!A129,'Raw Data 10-31-2018'!D$6:D$256)</f>
        <v>0</v>
      </c>
      <c r="F129" s="3"/>
      <c r="G129" s="3">
        <f t="shared" si="3"/>
        <v>0</v>
      </c>
      <c r="H129" s="76" t="s">
        <v>437</v>
      </c>
      <c r="J129" s="19"/>
    </row>
    <row r="130" spans="1:10" x14ac:dyDescent="0.75">
      <c r="A130" s="12">
        <v>4200</v>
      </c>
      <c r="B130" s="13" t="s">
        <v>573</v>
      </c>
      <c r="C130" s="3">
        <f>SUMIF('Raw Data 10-31-2018'!$A$6:$A$256,'PY TB-18'!A130,'Raw Data 10-31-2018'!C$6:C$256)</f>
        <v>0</v>
      </c>
      <c r="D130" s="4"/>
      <c r="E130" s="3">
        <f>SUMIF('Raw Data 10-31-2018'!$A$6:$A$256,'PY TB-18'!A130,'Raw Data 10-31-2018'!D$6:D$256)</f>
        <v>0</v>
      </c>
      <c r="F130" s="3"/>
      <c r="G130" s="3">
        <f t="shared" si="3"/>
        <v>0</v>
      </c>
      <c r="H130" s="76" t="s">
        <v>437</v>
      </c>
      <c r="J130" s="19"/>
    </row>
    <row r="131" spans="1:10" x14ac:dyDescent="0.75">
      <c r="A131" s="12">
        <v>4300</v>
      </c>
      <c r="B131" s="13" t="s">
        <v>571</v>
      </c>
      <c r="C131" s="3">
        <f>SUMIF('Raw Data 10-31-2018'!$A$6:$A$256,'PY TB-18'!A131,'Raw Data 10-31-2018'!C$6:C$256)</f>
        <v>0</v>
      </c>
      <c r="D131" s="4"/>
      <c r="E131" s="3">
        <f>SUMIF('Raw Data 10-31-2018'!$A$6:$A$256,'PY TB-18'!A131,'Raw Data 10-31-2018'!D$6:D$256)</f>
        <v>0</v>
      </c>
      <c r="F131" s="3"/>
      <c r="G131" s="3">
        <f t="shared" si="3"/>
        <v>0</v>
      </c>
      <c r="H131" s="76" t="s">
        <v>437</v>
      </c>
      <c r="J131" s="19"/>
    </row>
    <row r="132" spans="1:10" x14ac:dyDescent="0.75">
      <c r="A132" s="12">
        <v>4400</v>
      </c>
      <c r="B132" s="13" t="s">
        <v>570</v>
      </c>
      <c r="C132" s="3">
        <f>SUMIF('Raw Data 10-31-2018'!$A$6:$A$256,'PY TB-18'!A132,'Raw Data 10-31-2018'!C$6:C$256)</f>
        <v>0</v>
      </c>
      <c r="D132" s="4"/>
      <c r="E132" s="3">
        <f>SUMIF('Raw Data 10-31-2018'!$A$6:$A$256,'PY TB-18'!A132,'Raw Data 10-31-2018'!D$6:D$256)</f>
        <v>0</v>
      </c>
      <c r="F132" s="3"/>
      <c r="G132" s="3">
        <f t="shared" si="3"/>
        <v>0</v>
      </c>
      <c r="H132" s="76" t="s">
        <v>437</v>
      </c>
      <c r="J132" s="19"/>
    </row>
    <row r="133" spans="1:10" x14ac:dyDescent="0.75">
      <c r="A133" s="12">
        <v>4420</v>
      </c>
      <c r="B133" s="13" t="s">
        <v>574</v>
      </c>
      <c r="C133" s="3">
        <f>SUMIF('Raw Data 10-31-2018'!$A$6:$A$256,'PY TB-18'!A133,'Raw Data 10-31-2018'!C$6:C$256)</f>
        <v>0</v>
      </c>
      <c r="D133" s="4"/>
      <c r="E133" s="3">
        <f>SUMIF('Raw Data 10-31-2018'!$A$6:$A$256,'PY TB-18'!A133,'Raw Data 10-31-2018'!D$6:D$256)</f>
        <v>0</v>
      </c>
      <c r="F133" s="3"/>
      <c r="G133" s="3">
        <f t="shared" si="3"/>
        <v>0</v>
      </c>
      <c r="H133" s="76" t="s">
        <v>437</v>
      </c>
      <c r="J133" s="19"/>
    </row>
    <row r="134" spans="1:10" x14ac:dyDescent="0.75">
      <c r="A134" s="12">
        <v>4440</v>
      </c>
      <c r="B134" s="13" t="s">
        <v>575</v>
      </c>
      <c r="C134" s="3">
        <f>SUMIF('Raw Data 10-31-2018'!$A$6:$A$256,'PY TB-18'!A134,'Raw Data 10-31-2018'!C$6:C$256)</f>
        <v>0</v>
      </c>
      <c r="D134" s="4"/>
      <c r="E134" s="3">
        <f>SUMIF('Raw Data 10-31-2018'!$A$6:$A$256,'PY TB-18'!A134,'Raw Data 10-31-2018'!D$6:D$256)</f>
        <v>0</v>
      </c>
      <c r="F134" s="3"/>
      <c r="G134" s="3">
        <f t="shared" si="3"/>
        <v>0</v>
      </c>
      <c r="H134" s="76" t="s">
        <v>437</v>
      </c>
      <c r="J134" s="19"/>
    </row>
    <row r="135" spans="1:10" x14ac:dyDescent="0.75">
      <c r="A135" s="12">
        <v>4500</v>
      </c>
      <c r="B135" s="13" t="s">
        <v>578</v>
      </c>
      <c r="C135" s="3">
        <f>SUMIF('Raw Data 10-31-2018'!$A$6:$A$256,'PY TB-18'!A135,'Raw Data 10-31-2018'!C$6:C$256)</f>
        <v>0</v>
      </c>
      <c r="D135" s="4"/>
      <c r="E135" s="3">
        <f>SUMIF('Raw Data 10-31-2018'!$A$6:$A$256,'PY TB-18'!A135,'Raw Data 10-31-2018'!D$6:D$256)</f>
        <v>21296.06</v>
      </c>
      <c r="F135" s="3"/>
      <c r="G135" s="3">
        <f t="shared" si="3"/>
        <v>-21296.06</v>
      </c>
      <c r="H135" s="76" t="s">
        <v>437</v>
      </c>
      <c r="J135" s="19"/>
    </row>
    <row r="136" spans="1:10" x14ac:dyDescent="0.75">
      <c r="A136" s="12">
        <v>4550</v>
      </c>
      <c r="B136" s="13" t="s">
        <v>579</v>
      </c>
      <c r="C136" s="3">
        <f>SUMIF('Raw Data 10-31-2018'!$A$6:$A$256,'PY TB-18'!A136,'Raw Data 10-31-2018'!C$6:C$256)</f>
        <v>0</v>
      </c>
      <c r="D136" s="4"/>
      <c r="E136" s="3">
        <f>SUMIF('Raw Data 10-31-2018'!$A$6:$A$256,'PY TB-18'!A136,'Raw Data 10-31-2018'!D$6:D$256)</f>
        <v>0</v>
      </c>
      <c r="F136" s="3"/>
      <c r="G136" s="3">
        <f t="shared" si="3"/>
        <v>0</v>
      </c>
      <c r="H136" s="76" t="s">
        <v>437</v>
      </c>
      <c r="J136" s="19"/>
    </row>
    <row r="137" spans="1:10" x14ac:dyDescent="0.75">
      <c r="A137" s="12">
        <v>4900</v>
      </c>
      <c r="B137" s="13" t="s">
        <v>572</v>
      </c>
      <c r="C137" s="3">
        <f>SUMIF('Raw Data 10-31-2018'!$A$6:$A$256,'PY TB-18'!A137,'Raw Data 10-31-2018'!C$6:C$256)</f>
        <v>0</v>
      </c>
      <c r="D137" s="4"/>
      <c r="E137" s="3">
        <f>SUMIF('Raw Data 10-31-2018'!$A$6:$A$256,'PY TB-18'!A137,'Raw Data 10-31-2018'!D$6:D$256)</f>
        <v>4035</v>
      </c>
      <c r="F137" s="3"/>
      <c r="G137" s="3">
        <f t="shared" si="3"/>
        <v>-4035</v>
      </c>
      <c r="H137" s="120" t="s">
        <v>437</v>
      </c>
      <c r="J137" s="19"/>
    </row>
    <row r="138" spans="1:10" x14ac:dyDescent="0.75">
      <c r="A138" s="12">
        <v>4950</v>
      </c>
      <c r="B138" s="13" t="s">
        <v>580</v>
      </c>
      <c r="C138" s="3">
        <f>SUMIF('Raw Data 10-31-2018'!$A$6:$A$256,'PY TB-18'!A138,'Raw Data 10-31-2018'!C$6:C$256)</f>
        <v>0</v>
      </c>
      <c r="D138" s="4"/>
      <c r="E138" s="3">
        <f>SUMIF('Raw Data 10-31-2018'!$A$6:$A$256,'PY TB-18'!A138,'Raw Data 10-31-2018'!D$6:D$256)</f>
        <v>0</v>
      </c>
      <c r="F138" s="3"/>
      <c r="G138" s="3">
        <f t="shared" si="3"/>
        <v>0</v>
      </c>
      <c r="H138" s="76" t="s">
        <v>437</v>
      </c>
      <c r="J138" s="19"/>
    </row>
    <row r="139" spans="1:10" x14ac:dyDescent="0.75">
      <c r="A139" s="12">
        <v>4980</v>
      </c>
      <c r="B139" s="13" t="s">
        <v>581</v>
      </c>
      <c r="C139" s="3">
        <f>SUMIF('Raw Data 10-31-2018'!$A$6:$A$256,'PY TB-18'!A139,'Raw Data 10-31-2018'!C$6:C$256)</f>
        <v>0</v>
      </c>
      <c r="D139" s="4"/>
      <c r="E139" s="3">
        <f>SUMIF('Raw Data 10-31-2018'!$A$6:$A$256,'PY TB-18'!A139,'Raw Data 10-31-2018'!D$6:D$256)</f>
        <v>0</v>
      </c>
      <c r="F139" s="3"/>
      <c r="G139" s="3">
        <f t="shared" si="3"/>
        <v>0</v>
      </c>
      <c r="H139" s="76" t="s">
        <v>437</v>
      </c>
      <c r="J139" s="19"/>
    </row>
    <row r="140" spans="1:10" x14ac:dyDescent="0.75">
      <c r="A140" s="12">
        <v>5000</v>
      </c>
      <c r="B140" s="13" t="s">
        <v>582</v>
      </c>
      <c r="C140" s="3">
        <f>SUMIF('Raw Data 10-31-2018'!$A$6:$A$256,'PY TB-18'!A140,'Raw Data 10-31-2018'!C$6:C$256)</f>
        <v>17969.55</v>
      </c>
      <c r="D140" s="4"/>
      <c r="E140" s="3">
        <f>SUMIF('Raw Data 10-31-2018'!$A$6:$A$256,'PY TB-18'!A140,'Raw Data 10-31-2018'!D$6:D$256)</f>
        <v>0</v>
      </c>
      <c r="F140" s="3"/>
      <c r="G140" s="3">
        <f t="shared" si="3"/>
        <v>17969.55</v>
      </c>
      <c r="H140" s="76" t="s">
        <v>438</v>
      </c>
      <c r="J140" s="19"/>
    </row>
    <row r="141" spans="1:10" x14ac:dyDescent="0.75">
      <c r="A141" s="12">
        <v>5010</v>
      </c>
      <c r="B141" s="13" t="s">
        <v>583</v>
      </c>
      <c r="C141" s="3">
        <f>SUMIF('Raw Data 10-31-2018'!$A$6:$A$256,'PY TB-18'!A141,'Raw Data 10-31-2018'!C$6:C$256)</f>
        <v>11374</v>
      </c>
      <c r="D141" s="4"/>
      <c r="E141" s="3">
        <f>SUMIF('Raw Data 10-31-2018'!$A$6:$A$256,'PY TB-18'!A141,'Raw Data 10-31-2018'!D$6:D$256)</f>
        <v>0</v>
      </c>
      <c r="F141" s="3"/>
      <c r="G141" s="3">
        <f t="shared" si="3"/>
        <v>11374</v>
      </c>
      <c r="H141" s="76" t="s">
        <v>438</v>
      </c>
      <c r="J141" s="19"/>
    </row>
    <row r="142" spans="1:10" x14ac:dyDescent="0.75">
      <c r="A142" s="12">
        <v>5020</v>
      </c>
      <c r="B142" s="13" t="s">
        <v>584</v>
      </c>
      <c r="C142" s="3">
        <f>SUMIF('Raw Data 10-31-2018'!$A$6:$A$256,'PY TB-18'!A142,'Raw Data 10-31-2018'!C$6:C$256)</f>
        <v>48599.43</v>
      </c>
      <c r="D142" s="4"/>
      <c r="E142" s="3">
        <f>SUMIF('Raw Data 10-31-2018'!$A$6:$A$256,'PY TB-18'!A142,'Raw Data 10-31-2018'!D$6:D$256)</f>
        <v>0</v>
      </c>
      <c r="F142" s="3"/>
      <c r="G142" s="3">
        <f t="shared" ref="G142:G205" si="9">C142-E142</f>
        <v>48599.43</v>
      </c>
      <c r="H142" s="76" t="s">
        <v>438</v>
      </c>
      <c r="J142" s="19"/>
    </row>
    <row r="143" spans="1:10" x14ac:dyDescent="0.75">
      <c r="A143" s="12">
        <v>5030</v>
      </c>
      <c r="B143" s="13" t="s">
        <v>585</v>
      </c>
      <c r="C143" s="3">
        <f>SUMIF('Raw Data 10-31-2018'!$A$6:$A$256,'PY TB-18'!A143,'Raw Data 10-31-2018'!C$6:C$256)</f>
        <v>0</v>
      </c>
      <c r="D143" s="4"/>
      <c r="E143" s="3">
        <f>SUMIF('Raw Data 10-31-2018'!$A$6:$A$256,'PY TB-18'!A143,'Raw Data 10-31-2018'!D$6:D$256)</f>
        <v>0</v>
      </c>
      <c r="F143" s="3"/>
      <c r="G143" s="3">
        <f t="shared" si="9"/>
        <v>0</v>
      </c>
      <c r="H143" s="76" t="s">
        <v>438</v>
      </c>
      <c r="J143" s="19"/>
    </row>
    <row r="144" spans="1:10" x14ac:dyDescent="0.75">
      <c r="A144" s="12">
        <v>5040</v>
      </c>
      <c r="B144" s="13" t="s">
        <v>586</v>
      </c>
      <c r="C144" s="3">
        <f>SUMIF('Raw Data 10-31-2018'!$A$6:$A$256,'PY TB-18'!A144,'Raw Data 10-31-2018'!C$6:C$256)</f>
        <v>0</v>
      </c>
      <c r="D144" s="4"/>
      <c r="E144" s="3">
        <f>SUMIF('Raw Data 10-31-2018'!$A$6:$A$256,'PY TB-18'!A144,'Raw Data 10-31-2018'!D$6:D$256)</f>
        <v>0</v>
      </c>
      <c r="F144" s="3"/>
      <c r="G144" s="3">
        <f t="shared" si="9"/>
        <v>0</v>
      </c>
      <c r="H144" s="76" t="s">
        <v>438</v>
      </c>
      <c r="J144" s="19"/>
    </row>
    <row r="145" spans="1:10" x14ac:dyDescent="0.75">
      <c r="A145" s="12">
        <v>5050</v>
      </c>
      <c r="B145" s="13" t="s">
        <v>587</v>
      </c>
      <c r="C145" s="3">
        <f>SUMIF('Raw Data 10-31-2018'!$A$6:$A$256,'PY TB-18'!A145,'Raw Data 10-31-2018'!C$6:C$256)</f>
        <v>97175.58</v>
      </c>
      <c r="D145" s="4"/>
      <c r="E145" s="3">
        <f>SUMIF('Raw Data 10-31-2018'!$A$6:$A$256,'PY TB-18'!A145,'Raw Data 10-31-2018'!D$6:D$256)</f>
        <v>0</v>
      </c>
      <c r="F145" s="3"/>
      <c r="G145" s="3">
        <f t="shared" si="9"/>
        <v>97175.58</v>
      </c>
      <c r="H145" s="76" t="s">
        <v>438</v>
      </c>
      <c r="J145" s="19"/>
    </row>
    <row r="146" spans="1:10" x14ac:dyDescent="0.75">
      <c r="A146" s="12">
        <v>5060</v>
      </c>
      <c r="B146" s="13" t="s">
        <v>588</v>
      </c>
      <c r="C146" s="3">
        <f>SUMIF('Raw Data 10-31-2018'!$A$6:$A$256,'PY TB-18'!A146,'Raw Data 10-31-2018'!C$6:C$256)</f>
        <v>2921.39</v>
      </c>
      <c r="D146" s="4"/>
      <c r="E146" s="3">
        <f>SUMIF('Raw Data 10-31-2018'!$A$6:$A$256,'PY TB-18'!A146,'Raw Data 10-31-2018'!D$6:D$256)</f>
        <v>0</v>
      </c>
      <c r="F146" s="3"/>
      <c r="G146" s="3">
        <f t="shared" si="9"/>
        <v>2921.39</v>
      </c>
      <c r="H146" s="76" t="s">
        <v>438</v>
      </c>
      <c r="J146" s="19"/>
    </row>
    <row r="147" spans="1:10" x14ac:dyDescent="0.75">
      <c r="A147" s="12">
        <v>5070</v>
      </c>
      <c r="B147" s="13" t="s">
        <v>589</v>
      </c>
      <c r="C147" s="3">
        <f>SUMIF('Raw Data 10-31-2018'!$A$6:$A$256,'PY TB-18'!A147,'Raw Data 10-31-2018'!C$6:C$256)</f>
        <v>0</v>
      </c>
      <c r="D147" s="4"/>
      <c r="E147" s="3">
        <f>SUMIF('Raw Data 10-31-2018'!$A$6:$A$256,'PY TB-18'!A147,'Raw Data 10-31-2018'!D$6:D$256)</f>
        <v>0</v>
      </c>
      <c r="F147" s="3"/>
      <c r="G147" s="3">
        <f t="shared" si="9"/>
        <v>0</v>
      </c>
      <c r="H147" s="76" t="s">
        <v>438</v>
      </c>
      <c r="J147" s="19"/>
    </row>
    <row r="148" spans="1:10" x14ac:dyDescent="0.75">
      <c r="A148" s="12">
        <v>5080</v>
      </c>
      <c r="B148" s="13" t="s">
        <v>597</v>
      </c>
      <c r="C148" s="3">
        <f>SUMIF('Raw Data 10-31-2018'!$A$6:$A$256,'PY TB-18'!A148,'Raw Data 10-31-2018'!C$6:C$256)</f>
        <v>0</v>
      </c>
      <c r="D148" s="4"/>
      <c r="E148" s="3">
        <f>SUMIF('Raw Data 10-31-2018'!$A$6:$A$256,'PY TB-18'!A148,'Raw Data 10-31-2018'!D$6:D$256)</f>
        <v>0</v>
      </c>
      <c r="F148" s="3"/>
      <c r="G148" s="3">
        <f t="shared" si="9"/>
        <v>0</v>
      </c>
      <c r="H148" s="76" t="s">
        <v>438</v>
      </c>
      <c r="J148" s="19"/>
    </row>
    <row r="149" spans="1:10" x14ac:dyDescent="0.75">
      <c r="A149" s="12">
        <v>5085</v>
      </c>
      <c r="B149" s="13" t="s">
        <v>598</v>
      </c>
      <c r="C149" s="3">
        <f>SUMIF('Raw Data 10-31-2018'!$A$6:$A$256,'PY TB-18'!A149,'Raw Data 10-31-2018'!C$6:C$256)</f>
        <v>0</v>
      </c>
      <c r="D149" s="4"/>
      <c r="E149" s="3">
        <f>SUMIF('Raw Data 10-31-2018'!$A$6:$A$256,'PY TB-18'!A149,'Raw Data 10-31-2018'!D$6:D$256)</f>
        <v>0</v>
      </c>
      <c r="F149" s="3"/>
      <c r="G149" s="3">
        <f t="shared" si="9"/>
        <v>0</v>
      </c>
      <c r="H149" s="76" t="s">
        <v>438</v>
      </c>
      <c r="J149" s="19"/>
    </row>
    <row r="150" spans="1:10" x14ac:dyDescent="0.75">
      <c r="A150" s="12">
        <v>6010</v>
      </c>
      <c r="B150" s="13" t="s">
        <v>590</v>
      </c>
      <c r="C150" s="3">
        <f>SUMIF('Raw Data 10-31-2018'!$A$6:$A$256,'PY TB-18'!A150,'Raw Data 10-31-2018'!C$6:C$256)</f>
        <v>6589.8600000000006</v>
      </c>
      <c r="D150" s="4"/>
      <c r="E150" s="3">
        <f>SUMIF('Raw Data 10-31-2018'!$A$6:$A$256,'PY TB-18'!A150,'Raw Data 10-31-2018'!D$6:D$256)</f>
        <v>0</v>
      </c>
      <c r="F150" s="3"/>
      <c r="G150" s="3">
        <f t="shared" si="9"/>
        <v>6589.8600000000006</v>
      </c>
      <c r="H150" s="76" t="s">
        <v>439</v>
      </c>
      <c r="J150" s="19"/>
    </row>
    <row r="151" spans="1:10" x14ac:dyDescent="0.75">
      <c r="A151" s="12">
        <v>6015</v>
      </c>
      <c r="B151" s="13" t="s">
        <v>591</v>
      </c>
      <c r="C151" s="3">
        <f>SUMIF('Raw Data 10-31-2018'!$A$6:$A$256,'PY TB-18'!A151,'Raw Data 10-31-2018'!C$6:C$256)</f>
        <v>14</v>
      </c>
      <c r="D151" s="4"/>
      <c r="E151" s="3">
        <f>SUMIF('Raw Data 10-31-2018'!$A$6:$A$256,'PY TB-18'!A151,'Raw Data 10-31-2018'!D$6:D$256)</f>
        <v>0</v>
      </c>
      <c r="F151" s="3"/>
      <c r="G151" s="3">
        <f t="shared" si="9"/>
        <v>14</v>
      </c>
      <c r="H151" s="76" t="s">
        <v>439</v>
      </c>
      <c r="J151" s="19"/>
    </row>
    <row r="152" spans="1:10" x14ac:dyDescent="0.75">
      <c r="A152" s="12">
        <v>6020</v>
      </c>
      <c r="B152" s="13" t="s">
        <v>592</v>
      </c>
      <c r="C152" s="3">
        <f>SUMIF('Raw Data 10-31-2018'!$A$6:$A$256,'PY TB-18'!A152,'Raw Data 10-31-2018'!C$6:C$256)</f>
        <v>0</v>
      </c>
      <c r="D152" s="4"/>
      <c r="E152" s="3">
        <f>SUMIF('Raw Data 10-31-2018'!$A$6:$A$256,'PY TB-18'!A152,'Raw Data 10-31-2018'!D$6:D$256)</f>
        <v>0</v>
      </c>
      <c r="F152" s="3"/>
      <c r="G152" s="3">
        <f t="shared" si="9"/>
        <v>0</v>
      </c>
      <c r="H152" s="76" t="s">
        <v>439</v>
      </c>
      <c r="J152" s="19"/>
    </row>
    <row r="153" spans="1:10" x14ac:dyDescent="0.75">
      <c r="A153" s="12">
        <v>6025</v>
      </c>
      <c r="B153" s="13" t="s">
        <v>593</v>
      </c>
      <c r="C153" s="3">
        <f>SUMIF('Raw Data 10-31-2018'!$A$6:$A$256,'PY TB-18'!A153,'Raw Data 10-31-2018'!C$6:C$256)</f>
        <v>1420.19</v>
      </c>
      <c r="D153" s="4"/>
      <c r="E153" s="3">
        <f>SUMIF('Raw Data 10-31-2018'!$A$6:$A$256,'PY TB-18'!A153,'Raw Data 10-31-2018'!D$6:D$256)</f>
        <v>0</v>
      </c>
      <c r="F153" s="3"/>
      <c r="G153" s="3">
        <f t="shared" si="9"/>
        <v>1420.19</v>
      </c>
      <c r="H153" s="76" t="s">
        <v>439</v>
      </c>
      <c r="J153" s="19"/>
    </row>
    <row r="154" spans="1:10" x14ac:dyDescent="0.75">
      <c r="A154" s="12">
        <v>6030</v>
      </c>
      <c r="B154" s="13" t="s">
        <v>594</v>
      </c>
      <c r="C154" s="3">
        <f>SUMIF('Raw Data 10-31-2018'!$A$6:$A$256,'PY TB-18'!A154,'Raw Data 10-31-2018'!C$6:C$256)</f>
        <v>2819.31</v>
      </c>
      <c r="D154" s="4"/>
      <c r="E154" s="3">
        <f>SUMIF('Raw Data 10-31-2018'!$A$6:$A$256,'PY TB-18'!A154,'Raw Data 10-31-2018'!D$6:D$256)</f>
        <v>0</v>
      </c>
      <c r="F154" s="3"/>
      <c r="G154" s="3">
        <f t="shared" si="9"/>
        <v>2819.31</v>
      </c>
      <c r="H154" s="76" t="s">
        <v>439</v>
      </c>
      <c r="J154" s="19"/>
    </row>
    <row r="155" spans="1:10" x14ac:dyDescent="0.75">
      <c r="A155" s="12">
        <v>6035</v>
      </c>
      <c r="B155" s="13" t="s">
        <v>595</v>
      </c>
      <c r="C155" s="3">
        <f>SUMIF('Raw Data 10-31-2018'!$A$6:$A$256,'PY TB-18'!A155,'Raw Data 10-31-2018'!C$6:C$256)</f>
        <v>0</v>
      </c>
      <c r="D155" s="4"/>
      <c r="E155" s="3">
        <f>SUMIF('Raw Data 10-31-2018'!$A$6:$A$256,'PY TB-18'!A155,'Raw Data 10-31-2018'!D$6:D$256)</f>
        <v>0</v>
      </c>
      <c r="F155" s="3"/>
      <c r="G155" s="3">
        <f t="shared" si="9"/>
        <v>0</v>
      </c>
      <c r="H155" s="76" t="s">
        <v>439</v>
      </c>
      <c r="J155" s="19"/>
    </row>
    <row r="156" spans="1:10" x14ac:dyDescent="0.75">
      <c r="A156" s="12">
        <v>6040</v>
      </c>
      <c r="B156" s="13" t="s">
        <v>596</v>
      </c>
      <c r="C156" s="3">
        <f>SUMIF('Raw Data 10-31-2018'!$A$6:$A$256,'PY TB-18'!A156,'Raw Data 10-31-2018'!C$6:C$256)</f>
        <v>0</v>
      </c>
      <c r="D156" s="4"/>
      <c r="E156" s="3">
        <f>SUMIF('Raw Data 10-31-2018'!$A$6:$A$256,'PY TB-18'!A156,'Raw Data 10-31-2018'!D$6:D$256)</f>
        <v>0</v>
      </c>
      <c r="F156" s="3"/>
      <c r="G156" s="3">
        <f t="shared" si="9"/>
        <v>0</v>
      </c>
      <c r="H156" s="76" t="s">
        <v>439</v>
      </c>
      <c r="J156" s="19"/>
    </row>
    <row r="157" spans="1:10" x14ac:dyDescent="0.75">
      <c r="A157" s="12">
        <v>6055</v>
      </c>
      <c r="B157" s="13" t="s">
        <v>599</v>
      </c>
      <c r="C157" s="3">
        <f>SUMIF('Raw Data 10-31-2018'!$A$6:$A$256,'PY TB-18'!A157,'Raw Data 10-31-2018'!C$6:C$256)</f>
        <v>549.95000000000005</v>
      </c>
      <c r="D157" s="4"/>
      <c r="E157" s="3">
        <f>SUMIF('Raw Data 10-31-2018'!$A$6:$A$256,'PY TB-18'!A157,'Raw Data 10-31-2018'!D$6:D$256)</f>
        <v>0</v>
      </c>
      <c r="F157" s="3"/>
      <c r="G157" s="3">
        <f t="shared" si="9"/>
        <v>549.95000000000005</v>
      </c>
      <c r="H157" s="76" t="s">
        <v>439</v>
      </c>
      <c r="J157" s="19"/>
    </row>
    <row r="158" spans="1:10" x14ac:dyDescent="0.75">
      <c r="A158" s="12">
        <v>6060</v>
      </c>
      <c r="B158" s="13" t="s">
        <v>600</v>
      </c>
      <c r="C158" s="3">
        <f>SUMIF('Raw Data 10-31-2018'!$A$6:$A$256,'PY TB-18'!A158,'Raw Data 10-31-2018'!C$6:C$256)</f>
        <v>0</v>
      </c>
      <c r="D158" s="4"/>
      <c r="E158" s="3">
        <f>SUMIF('Raw Data 10-31-2018'!$A$6:$A$256,'PY TB-18'!A158,'Raw Data 10-31-2018'!D$6:D$256)</f>
        <v>0</v>
      </c>
      <c r="F158" s="3"/>
      <c r="G158" s="3">
        <f t="shared" si="9"/>
        <v>0</v>
      </c>
      <c r="H158" s="76" t="s">
        <v>439</v>
      </c>
      <c r="J158" s="19"/>
    </row>
    <row r="159" spans="1:10" x14ac:dyDescent="0.75">
      <c r="A159" s="12">
        <v>6065</v>
      </c>
      <c r="B159" s="13" t="s">
        <v>601</v>
      </c>
      <c r="C159" s="3">
        <f>SUMIF('Raw Data 10-31-2018'!$A$6:$A$256,'PY TB-18'!A159,'Raw Data 10-31-2018'!C$6:C$256)</f>
        <v>0</v>
      </c>
      <c r="D159" s="4"/>
      <c r="E159" s="3">
        <f>SUMIF('Raw Data 10-31-2018'!$A$6:$A$256,'PY TB-18'!A159,'Raw Data 10-31-2018'!D$6:D$256)</f>
        <v>0</v>
      </c>
      <c r="F159" s="3"/>
      <c r="G159" s="3">
        <f t="shared" si="9"/>
        <v>0</v>
      </c>
      <c r="H159" s="76" t="s">
        <v>439</v>
      </c>
      <c r="J159" s="19"/>
    </row>
    <row r="160" spans="1:10" x14ac:dyDescent="0.75">
      <c r="A160" s="12">
        <v>6070</v>
      </c>
      <c r="B160" s="13" t="s">
        <v>602</v>
      </c>
      <c r="C160" s="3">
        <f>SUMIF('Raw Data 10-31-2018'!$A$6:$A$256,'PY TB-18'!A160,'Raw Data 10-31-2018'!C$6:C$256)</f>
        <v>0</v>
      </c>
      <c r="D160" s="4"/>
      <c r="E160" s="3">
        <f>SUMIF('Raw Data 10-31-2018'!$A$6:$A$256,'PY TB-18'!A160,'Raw Data 10-31-2018'!D$6:D$256)</f>
        <v>0</v>
      </c>
      <c r="F160" s="3"/>
      <c r="G160" s="3">
        <f t="shared" si="9"/>
        <v>0</v>
      </c>
      <c r="H160" s="76" t="s">
        <v>439</v>
      </c>
      <c r="J160" s="19"/>
    </row>
    <row r="161" spans="1:10" x14ac:dyDescent="0.75">
      <c r="A161" s="12">
        <v>6075</v>
      </c>
      <c r="B161" s="13" t="s">
        <v>603</v>
      </c>
      <c r="C161" s="3">
        <f>SUMIF('Raw Data 10-31-2018'!$A$6:$A$256,'PY TB-18'!A161,'Raw Data 10-31-2018'!C$6:C$256)</f>
        <v>60698.37</v>
      </c>
      <c r="D161" s="4"/>
      <c r="E161" s="3">
        <f>SUMIF('Raw Data 10-31-2018'!$A$6:$A$256,'PY TB-18'!A161,'Raw Data 10-31-2018'!D$6:D$256)</f>
        <v>0</v>
      </c>
      <c r="F161" s="3"/>
      <c r="G161" s="3">
        <f t="shared" si="9"/>
        <v>60698.37</v>
      </c>
      <c r="H161" s="76" t="s">
        <v>439</v>
      </c>
      <c r="J161" s="19"/>
    </row>
    <row r="162" spans="1:10" x14ac:dyDescent="0.75">
      <c r="A162" s="12">
        <v>6080</v>
      </c>
      <c r="B162" s="13" t="s">
        <v>604</v>
      </c>
      <c r="C162" s="3">
        <f>SUMIF('Raw Data 10-31-2018'!$A$6:$A$256,'PY TB-18'!A162,'Raw Data 10-31-2018'!C$6:C$256)</f>
        <v>0</v>
      </c>
      <c r="D162" s="4"/>
      <c r="E162" s="3">
        <f>SUMIF('Raw Data 10-31-2018'!$A$6:$A$256,'PY TB-18'!A162,'Raw Data 10-31-2018'!D$6:D$256)</f>
        <v>0</v>
      </c>
      <c r="F162" s="3"/>
      <c r="G162" s="3">
        <f t="shared" si="9"/>
        <v>0</v>
      </c>
      <c r="H162" s="76" t="s">
        <v>439</v>
      </c>
      <c r="J162" s="19"/>
    </row>
    <row r="163" spans="1:10" x14ac:dyDescent="0.75">
      <c r="A163" s="12">
        <v>6085</v>
      </c>
      <c r="B163" s="13" t="s">
        <v>605</v>
      </c>
      <c r="C163" s="3">
        <f>SUMIF('Raw Data 10-31-2018'!$A$6:$A$256,'PY TB-18'!A163,'Raw Data 10-31-2018'!C$6:C$256)</f>
        <v>1610.49</v>
      </c>
      <c r="D163" s="4"/>
      <c r="E163" s="3">
        <f>SUMIF('Raw Data 10-31-2018'!$A$6:$A$256,'PY TB-18'!A163,'Raw Data 10-31-2018'!D$6:D$256)</f>
        <v>0</v>
      </c>
      <c r="F163" s="3"/>
      <c r="G163" s="3">
        <f t="shared" si="9"/>
        <v>1610.49</v>
      </c>
      <c r="H163" s="76" t="s">
        <v>439</v>
      </c>
      <c r="J163" s="19"/>
    </row>
    <row r="164" spans="1:10" x14ac:dyDescent="0.75">
      <c r="A164" s="12">
        <v>6090</v>
      </c>
      <c r="B164" s="13" t="s">
        <v>606</v>
      </c>
      <c r="C164" s="3">
        <f>SUMIF('Raw Data 10-31-2018'!$A$6:$A$256,'PY TB-18'!A164,'Raw Data 10-31-2018'!C$6:C$256)</f>
        <v>0</v>
      </c>
      <c r="D164" s="4"/>
      <c r="E164" s="3">
        <f>SUMIF('Raw Data 10-31-2018'!$A$6:$A$256,'PY TB-18'!A164,'Raw Data 10-31-2018'!D$6:D$256)</f>
        <v>0</v>
      </c>
      <c r="F164" s="3"/>
      <c r="G164" s="3">
        <f t="shared" si="9"/>
        <v>0</v>
      </c>
      <c r="H164" s="76" t="s">
        <v>439</v>
      </c>
      <c r="J164" s="19"/>
    </row>
    <row r="165" spans="1:10" x14ac:dyDescent="0.75">
      <c r="A165" s="12">
        <v>6095</v>
      </c>
      <c r="B165" s="13" t="s">
        <v>607</v>
      </c>
      <c r="C165" s="3">
        <f>SUMIF('Raw Data 10-31-2018'!$A$6:$A$256,'PY TB-18'!A165,'Raw Data 10-31-2018'!C$6:C$256)</f>
        <v>0</v>
      </c>
      <c r="D165" s="4"/>
      <c r="E165" s="3">
        <f>SUMIF('Raw Data 10-31-2018'!$A$6:$A$256,'PY TB-18'!A165,'Raw Data 10-31-2018'!D$6:D$256)</f>
        <v>0</v>
      </c>
      <c r="F165" s="3"/>
      <c r="G165" s="3">
        <f t="shared" si="9"/>
        <v>0</v>
      </c>
      <c r="H165" s="76" t="s">
        <v>439</v>
      </c>
      <c r="J165" s="19"/>
    </row>
    <row r="166" spans="1:10" x14ac:dyDescent="0.75">
      <c r="A166" s="12">
        <v>6100</v>
      </c>
      <c r="B166" s="13" t="s">
        <v>608</v>
      </c>
      <c r="C166" s="3">
        <f>SUMIF('Raw Data 10-31-2018'!$A$6:$A$256,'PY TB-18'!A166,'Raw Data 10-31-2018'!C$6:C$256)</f>
        <v>801.56</v>
      </c>
      <c r="D166" s="4"/>
      <c r="E166" s="3">
        <f>SUMIF('Raw Data 10-31-2018'!$A$6:$A$256,'PY TB-18'!A166,'Raw Data 10-31-2018'!D$6:D$256)</f>
        <v>0</v>
      </c>
      <c r="F166" s="3"/>
      <c r="G166" s="3">
        <f t="shared" si="9"/>
        <v>801.56</v>
      </c>
      <c r="H166" s="76" t="s">
        <v>439</v>
      </c>
      <c r="J166" s="19"/>
    </row>
    <row r="167" spans="1:10" x14ac:dyDescent="0.75">
      <c r="A167" s="12">
        <v>6105</v>
      </c>
      <c r="B167" s="13" t="s">
        <v>609</v>
      </c>
      <c r="C167" s="3">
        <f>SUMIF('Raw Data 10-31-2018'!$A$6:$A$256,'PY TB-18'!A167,'Raw Data 10-31-2018'!C$6:C$256)</f>
        <v>1572.27</v>
      </c>
      <c r="D167" s="4"/>
      <c r="E167" s="3">
        <f>SUMIF('Raw Data 10-31-2018'!$A$6:$A$256,'PY TB-18'!A167,'Raw Data 10-31-2018'!D$6:D$256)</f>
        <v>0</v>
      </c>
      <c r="F167" s="3"/>
      <c r="G167" s="3">
        <f t="shared" si="9"/>
        <v>1572.27</v>
      </c>
      <c r="H167" s="76" t="s">
        <v>439</v>
      </c>
      <c r="J167" s="19"/>
    </row>
    <row r="168" spans="1:10" x14ac:dyDescent="0.75">
      <c r="A168" s="12">
        <v>6110</v>
      </c>
      <c r="B168" s="13" t="s">
        <v>610</v>
      </c>
      <c r="C168" s="3">
        <f>SUMIF('Raw Data 10-31-2018'!$A$6:$A$256,'PY TB-18'!A168,'Raw Data 10-31-2018'!C$6:C$256)</f>
        <v>0</v>
      </c>
      <c r="D168" s="4"/>
      <c r="E168" s="3">
        <f>SUMIF('Raw Data 10-31-2018'!$A$6:$A$256,'PY TB-18'!A168,'Raw Data 10-31-2018'!D$6:D$256)</f>
        <v>0</v>
      </c>
      <c r="F168" s="3"/>
      <c r="G168" s="3">
        <f t="shared" si="9"/>
        <v>0</v>
      </c>
      <c r="H168" s="76" t="s">
        <v>439</v>
      </c>
      <c r="J168" s="19"/>
    </row>
    <row r="169" spans="1:10" x14ac:dyDescent="0.75">
      <c r="A169" s="12">
        <v>6115</v>
      </c>
      <c r="B169" s="13" t="s">
        <v>611</v>
      </c>
      <c r="C169" s="3">
        <f>SUMIF('Raw Data 10-31-2018'!$A$6:$A$256,'PY TB-18'!A169,'Raw Data 10-31-2018'!C$6:C$256)</f>
        <v>0</v>
      </c>
      <c r="D169" s="4"/>
      <c r="E169" s="3">
        <f>SUMIF('Raw Data 10-31-2018'!$A$6:$A$256,'PY TB-18'!A169,'Raw Data 10-31-2018'!D$6:D$256)</f>
        <v>80.12</v>
      </c>
      <c r="F169" s="3"/>
      <c r="G169" s="3">
        <f t="shared" si="9"/>
        <v>-80.12</v>
      </c>
      <c r="H169" s="76" t="s">
        <v>439</v>
      </c>
      <c r="J169" s="19"/>
    </row>
    <row r="170" spans="1:10" x14ac:dyDescent="0.75">
      <c r="A170" s="12">
        <v>6120</v>
      </c>
      <c r="B170" s="13" t="s">
        <v>612</v>
      </c>
      <c r="C170" s="3">
        <f>SUMIF('Raw Data 10-31-2018'!$A$6:$A$256,'PY TB-18'!A170,'Raw Data 10-31-2018'!C$6:C$256)</f>
        <v>0</v>
      </c>
      <c r="D170" s="4"/>
      <c r="E170" s="3">
        <f>SUMIF('Raw Data 10-31-2018'!$A$6:$A$256,'PY TB-18'!A170,'Raw Data 10-31-2018'!D$6:D$256)</f>
        <v>0</v>
      </c>
      <c r="F170" s="3"/>
      <c r="G170" s="3">
        <f t="shared" si="9"/>
        <v>0</v>
      </c>
      <c r="H170" s="76" t="s">
        <v>439</v>
      </c>
      <c r="J170" s="19"/>
    </row>
    <row r="171" spans="1:10" x14ac:dyDescent="0.75">
      <c r="A171" s="12">
        <v>6125</v>
      </c>
      <c r="B171" s="13" t="s">
        <v>613</v>
      </c>
      <c r="C171" s="3">
        <f>SUMIF('Raw Data 10-31-2018'!$A$6:$A$256,'PY TB-18'!A171,'Raw Data 10-31-2018'!C$6:C$256)</f>
        <v>0</v>
      </c>
      <c r="D171" s="4"/>
      <c r="E171" s="3">
        <f>SUMIF('Raw Data 10-31-2018'!$A$6:$A$256,'PY TB-18'!A171,'Raw Data 10-31-2018'!D$6:D$256)</f>
        <v>0</v>
      </c>
      <c r="F171" s="3"/>
      <c r="G171" s="3">
        <f t="shared" si="9"/>
        <v>0</v>
      </c>
      <c r="H171" s="76" t="s">
        <v>439</v>
      </c>
      <c r="J171" s="19"/>
    </row>
    <row r="172" spans="1:10" x14ac:dyDescent="0.75">
      <c r="A172" s="12">
        <v>6130</v>
      </c>
      <c r="B172" s="13" t="s">
        <v>614</v>
      </c>
      <c r="C172" s="3">
        <f>SUMIF('Raw Data 10-31-2018'!$A$6:$A$256,'PY TB-18'!A172,'Raw Data 10-31-2018'!C$6:C$256)</f>
        <v>0</v>
      </c>
      <c r="D172" s="4"/>
      <c r="E172" s="3">
        <f>SUMIF('Raw Data 10-31-2018'!$A$6:$A$256,'PY TB-18'!A172,'Raw Data 10-31-2018'!D$6:D$256)</f>
        <v>0</v>
      </c>
      <c r="F172" s="3"/>
      <c r="G172" s="3">
        <f t="shared" si="9"/>
        <v>0</v>
      </c>
      <c r="H172" s="76" t="s">
        <v>439</v>
      </c>
      <c r="J172" s="19"/>
    </row>
    <row r="173" spans="1:10" x14ac:dyDescent="0.75">
      <c r="A173" s="12">
        <v>6135</v>
      </c>
      <c r="B173" s="13" t="s">
        <v>615</v>
      </c>
      <c r="C173" s="3">
        <f>SUMIF('Raw Data 10-31-2018'!$A$6:$A$256,'PY TB-18'!A173,'Raw Data 10-31-2018'!C$6:C$256)</f>
        <v>0</v>
      </c>
      <c r="D173" s="4"/>
      <c r="E173" s="3">
        <f>SUMIF('Raw Data 10-31-2018'!$A$6:$A$256,'PY TB-18'!A173,'Raw Data 10-31-2018'!D$6:D$256)</f>
        <v>0</v>
      </c>
      <c r="F173" s="3"/>
      <c r="G173" s="3">
        <f t="shared" si="9"/>
        <v>0</v>
      </c>
      <c r="H173" s="76" t="s">
        <v>439</v>
      </c>
      <c r="J173" s="19"/>
    </row>
    <row r="174" spans="1:10" x14ac:dyDescent="0.75">
      <c r="A174" s="12">
        <v>6140</v>
      </c>
      <c r="B174" s="13" t="s">
        <v>616</v>
      </c>
      <c r="C174" s="3">
        <f>SUMIF('Raw Data 10-31-2018'!$A$6:$A$256,'PY TB-18'!A174,'Raw Data 10-31-2018'!C$6:C$256)</f>
        <v>0</v>
      </c>
      <c r="D174" s="4"/>
      <c r="E174" s="3">
        <f>SUMIF('Raw Data 10-31-2018'!$A$6:$A$256,'PY TB-18'!A174,'Raw Data 10-31-2018'!D$6:D$256)</f>
        <v>0</v>
      </c>
      <c r="F174" s="3"/>
      <c r="G174" s="3">
        <f t="shared" si="9"/>
        <v>0</v>
      </c>
      <c r="H174" s="76" t="s">
        <v>439</v>
      </c>
      <c r="J174" s="19"/>
    </row>
    <row r="175" spans="1:10" x14ac:dyDescent="0.75">
      <c r="A175" s="12">
        <v>6145</v>
      </c>
      <c r="B175" s="13" t="s">
        <v>617</v>
      </c>
      <c r="C175" s="3">
        <f>SUMIF('Raw Data 10-31-2018'!$A$6:$A$256,'PY TB-18'!A175,'Raw Data 10-31-2018'!C$6:C$256)</f>
        <v>0</v>
      </c>
      <c r="D175" s="4"/>
      <c r="E175" s="3">
        <f>SUMIF('Raw Data 10-31-2018'!$A$6:$A$256,'PY TB-18'!A175,'Raw Data 10-31-2018'!D$6:D$256)</f>
        <v>0</v>
      </c>
      <c r="F175" s="3"/>
      <c r="G175" s="3">
        <f t="shared" si="9"/>
        <v>0</v>
      </c>
      <c r="H175" s="76" t="s">
        <v>439</v>
      </c>
      <c r="J175" s="19"/>
    </row>
    <row r="176" spans="1:10" x14ac:dyDescent="0.75">
      <c r="A176" s="12">
        <v>6150</v>
      </c>
      <c r="B176" s="13" t="s">
        <v>618</v>
      </c>
      <c r="C176" s="3">
        <f>SUMIF('Raw Data 10-31-2018'!$A$6:$A$256,'PY TB-18'!A176,'Raw Data 10-31-2018'!C$6:C$256)</f>
        <v>2798.72</v>
      </c>
      <c r="D176" s="4"/>
      <c r="E176" s="3">
        <f>SUMIF('Raw Data 10-31-2018'!$A$6:$A$256,'PY TB-18'!A176,'Raw Data 10-31-2018'!D$6:D$256)</f>
        <v>0</v>
      </c>
      <c r="F176" s="3"/>
      <c r="G176" s="3">
        <f t="shared" si="9"/>
        <v>2798.72</v>
      </c>
      <c r="H176" s="76" t="s">
        <v>439</v>
      </c>
      <c r="J176" s="19"/>
    </row>
    <row r="177" spans="1:10" x14ac:dyDescent="0.75">
      <c r="A177" s="12">
        <v>6155</v>
      </c>
      <c r="B177" s="13" t="s">
        <v>619</v>
      </c>
      <c r="C177" s="3">
        <f>SUMIF('Raw Data 10-31-2018'!$A$6:$A$256,'PY TB-18'!A177,'Raw Data 10-31-2018'!C$6:C$256)</f>
        <v>4513.25</v>
      </c>
      <c r="D177" s="4"/>
      <c r="E177" s="3">
        <f>SUMIF('Raw Data 10-31-2018'!$A$6:$A$256,'PY TB-18'!A177,'Raw Data 10-31-2018'!D$6:D$256)</f>
        <v>0</v>
      </c>
      <c r="F177" s="3"/>
      <c r="G177" s="3">
        <f t="shared" si="9"/>
        <v>4513.25</v>
      </c>
      <c r="H177" s="76" t="s">
        <v>439</v>
      </c>
      <c r="J177" s="19"/>
    </row>
    <row r="178" spans="1:10" x14ac:dyDescent="0.75">
      <c r="A178" s="12">
        <v>6200</v>
      </c>
      <c r="B178" s="13" t="s">
        <v>625</v>
      </c>
      <c r="C178" s="3">
        <f>SUMIF('Raw Data 10-31-2018'!$A$6:$A$256,'PY TB-18'!A178,'Raw Data 10-31-2018'!C$6:C$256)</f>
        <v>0</v>
      </c>
      <c r="D178" s="4"/>
      <c r="E178" s="3">
        <f>SUMIF('Raw Data 10-31-2018'!$A$6:$A$256,'PY TB-18'!A178,'Raw Data 10-31-2018'!D$6:D$256)</f>
        <v>0</v>
      </c>
      <c r="F178" s="3"/>
      <c r="G178" s="3">
        <f t="shared" si="9"/>
        <v>0</v>
      </c>
      <c r="H178" s="76" t="s">
        <v>439</v>
      </c>
      <c r="J178" s="19"/>
    </row>
    <row r="179" spans="1:10" x14ac:dyDescent="0.75">
      <c r="A179" s="12">
        <v>6205</v>
      </c>
      <c r="B179" s="13" t="s">
        <v>626</v>
      </c>
      <c r="C179" s="3">
        <f>SUMIF('Raw Data 10-31-2018'!$A$6:$A$256,'PY TB-18'!A179,'Raw Data 10-31-2018'!C$6:C$256)</f>
        <v>0</v>
      </c>
      <c r="D179" s="4"/>
      <c r="E179" s="3">
        <f>SUMIF('Raw Data 10-31-2018'!$A$6:$A$256,'PY TB-18'!A179,'Raw Data 10-31-2018'!D$6:D$256)</f>
        <v>0</v>
      </c>
      <c r="F179" s="3"/>
      <c r="G179" s="3">
        <f t="shared" si="9"/>
        <v>0</v>
      </c>
      <c r="H179" s="76" t="s">
        <v>439</v>
      </c>
      <c r="J179" s="19"/>
    </row>
    <row r="180" spans="1:10" x14ac:dyDescent="0.75">
      <c r="A180" s="12">
        <v>6210</v>
      </c>
      <c r="B180" s="13" t="s">
        <v>627</v>
      </c>
      <c r="C180" s="3">
        <f>SUMIF('Raw Data 10-31-2018'!$A$6:$A$256,'PY TB-18'!A180,'Raw Data 10-31-2018'!C$6:C$256)</f>
        <v>820</v>
      </c>
      <c r="D180" s="4"/>
      <c r="E180" s="3">
        <f>SUMIF('Raw Data 10-31-2018'!$A$6:$A$256,'PY TB-18'!A180,'Raw Data 10-31-2018'!D$6:D$256)</f>
        <v>0</v>
      </c>
      <c r="F180" s="3"/>
      <c r="G180" s="3">
        <f t="shared" si="9"/>
        <v>820</v>
      </c>
      <c r="H180" s="76" t="s">
        <v>439</v>
      </c>
      <c r="J180" s="19"/>
    </row>
    <row r="181" spans="1:10" x14ac:dyDescent="0.75">
      <c r="A181" s="12">
        <v>6215</v>
      </c>
      <c r="B181" s="13" t="s">
        <v>628</v>
      </c>
      <c r="C181" s="3">
        <f>SUMIF('Raw Data 10-31-2018'!$A$6:$A$256,'PY TB-18'!A181,'Raw Data 10-31-2018'!C$6:C$256)</f>
        <v>0</v>
      </c>
      <c r="D181" s="4"/>
      <c r="E181" s="3">
        <f>SUMIF('Raw Data 10-31-2018'!$A$6:$A$256,'PY TB-18'!A181,'Raw Data 10-31-2018'!D$6:D$256)</f>
        <v>0</v>
      </c>
      <c r="F181" s="3"/>
      <c r="G181" s="3">
        <f t="shared" si="9"/>
        <v>0</v>
      </c>
      <c r="H181" s="76" t="s">
        <v>439</v>
      </c>
      <c r="J181" s="19"/>
    </row>
    <row r="182" spans="1:10" x14ac:dyDescent="0.75">
      <c r="A182" s="12">
        <v>6220</v>
      </c>
      <c r="B182" s="13" t="s">
        <v>629</v>
      </c>
      <c r="C182" s="3">
        <f>SUMIF('Raw Data 10-31-2018'!$A$6:$A$256,'PY TB-18'!A182,'Raw Data 10-31-2018'!C$6:C$256)</f>
        <v>3346.42</v>
      </c>
      <c r="D182" s="4"/>
      <c r="E182" s="3">
        <f>SUMIF('Raw Data 10-31-2018'!$A$6:$A$256,'PY TB-18'!A182,'Raw Data 10-31-2018'!D$6:D$256)</f>
        <v>0</v>
      </c>
      <c r="F182" s="3"/>
      <c r="G182" s="3">
        <f t="shared" si="9"/>
        <v>3346.42</v>
      </c>
      <c r="H182" s="76" t="s">
        <v>439</v>
      </c>
      <c r="J182" s="19"/>
    </row>
    <row r="183" spans="1:10" x14ac:dyDescent="0.75">
      <c r="A183" s="12">
        <v>6225</v>
      </c>
      <c r="B183" s="13" t="s">
        <v>630</v>
      </c>
      <c r="C183" s="3">
        <f>SUMIF('Raw Data 10-31-2018'!$A$6:$A$256,'PY TB-18'!A183,'Raw Data 10-31-2018'!C$6:C$256)</f>
        <v>0</v>
      </c>
      <c r="D183" s="4"/>
      <c r="E183" s="3">
        <f>SUMIF('Raw Data 10-31-2018'!$A$6:$A$256,'PY TB-18'!A183,'Raw Data 10-31-2018'!D$6:D$256)</f>
        <v>0</v>
      </c>
      <c r="F183" s="3"/>
      <c r="G183" s="3">
        <f t="shared" si="9"/>
        <v>0</v>
      </c>
      <c r="H183" s="76" t="s">
        <v>439</v>
      </c>
      <c r="J183" s="19"/>
    </row>
    <row r="184" spans="1:10" x14ac:dyDescent="0.75">
      <c r="A184" s="12">
        <v>6230</v>
      </c>
      <c r="B184" s="13" t="s">
        <v>631</v>
      </c>
      <c r="C184" s="3">
        <f>SUMIF('Raw Data 10-31-2018'!$A$6:$A$256,'PY TB-18'!A184,'Raw Data 10-31-2018'!C$6:C$256)</f>
        <v>0</v>
      </c>
      <c r="D184" s="4"/>
      <c r="E184" s="3">
        <f>SUMIF('Raw Data 10-31-2018'!$A$6:$A$256,'PY TB-18'!A184,'Raw Data 10-31-2018'!D$6:D$256)</f>
        <v>0</v>
      </c>
      <c r="F184" s="3"/>
      <c r="G184" s="3">
        <f t="shared" si="9"/>
        <v>0</v>
      </c>
      <c r="H184" s="76" t="s">
        <v>439</v>
      </c>
      <c r="J184" s="19"/>
    </row>
    <row r="185" spans="1:10" x14ac:dyDescent="0.75">
      <c r="A185" s="12">
        <v>6235</v>
      </c>
      <c r="B185" s="13" t="s">
        <v>632</v>
      </c>
      <c r="C185" s="3">
        <f>SUMIF('Raw Data 10-31-2018'!$A$6:$A$256,'PY TB-18'!A185,'Raw Data 10-31-2018'!C$6:C$256)</f>
        <v>0</v>
      </c>
      <c r="D185" s="4"/>
      <c r="E185" s="3">
        <f>SUMIF('Raw Data 10-31-2018'!$A$6:$A$256,'PY TB-18'!A185,'Raw Data 10-31-2018'!D$6:D$256)</f>
        <v>0</v>
      </c>
      <c r="F185" s="3"/>
      <c r="G185" s="3">
        <f t="shared" si="9"/>
        <v>0</v>
      </c>
      <c r="H185" s="76" t="s">
        <v>439</v>
      </c>
      <c r="J185" s="19"/>
    </row>
    <row r="186" spans="1:10" x14ac:dyDescent="0.75">
      <c r="A186" s="12">
        <v>6240</v>
      </c>
      <c r="B186" s="13" t="s">
        <v>633</v>
      </c>
      <c r="C186" s="3">
        <f>SUMIF('Raw Data 10-31-2018'!$A$6:$A$256,'PY TB-18'!A186,'Raw Data 10-31-2018'!C$6:C$256)</f>
        <v>27978.59</v>
      </c>
      <c r="D186" s="4"/>
      <c r="E186" s="3">
        <f>SUMIF('Raw Data 10-31-2018'!$A$6:$A$256,'PY TB-18'!A186,'Raw Data 10-31-2018'!D$6:D$256)</f>
        <v>0</v>
      </c>
      <c r="F186" s="3"/>
      <c r="G186" s="3">
        <f t="shared" si="9"/>
        <v>27978.59</v>
      </c>
      <c r="H186" s="76" t="s">
        <v>439</v>
      </c>
      <c r="J186" s="19"/>
    </row>
    <row r="187" spans="1:10" x14ac:dyDescent="0.75">
      <c r="A187" s="12">
        <v>6245</v>
      </c>
      <c r="B187" s="13" t="s">
        <v>634</v>
      </c>
      <c r="C187" s="3">
        <f>SUMIF('Raw Data 10-31-2018'!$A$6:$A$256,'PY TB-18'!A187,'Raw Data 10-31-2018'!C$6:C$256)</f>
        <v>1997.15</v>
      </c>
      <c r="D187" s="4"/>
      <c r="E187" s="3">
        <f>SUMIF('Raw Data 10-31-2018'!$A$6:$A$256,'PY TB-18'!A187,'Raw Data 10-31-2018'!D$6:D$256)</f>
        <v>0</v>
      </c>
      <c r="F187" s="3"/>
      <c r="G187" s="3">
        <f t="shared" si="9"/>
        <v>1997.15</v>
      </c>
      <c r="H187" s="76" t="s">
        <v>439</v>
      </c>
      <c r="J187" s="19"/>
    </row>
    <row r="188" spans="1:10" x14ac:dyDescent="0.75">
      <c r="A188" s="12">
        <v>6250</v>
      </c>
      <c r="B188" s="13" t="s">
        <v>635</v>
      </c>
      <c r="C188" s="3">
        <f>SUMIF('Raw Data 10-31-2018'!$A$6:$A$256,'PY TB-18'!A188,'Raw Data 10-31-2018'!C$6:C$256)</f>
        <v>0</v>
      </c>
      <c r="D188" s="4"/>
      <c r="E188" s="3">
        <f>SUMIF('Raw Data 10-31-2018'!$A$6:$A$256,'PY TB-18'!A188,'Raw Data 10-31-2018'!D$6:D$256)</f>
        <v>0</v>
      </c>
      <c r="F188" s="3"/>
      <c r="G188" s="3">
        <f t="shared" si="9"/>
        <v>0</v>
      </c>
      <c r="H188" s="76" t="s">
        <v>439</v>
      </c>
      <c r="J188" s="19"/>
    </row>
    <row r="189" spans="1:10" x14ac:dyDescent="0.75">
      <c r="A189" s="14">
        <v>6255</v>
      </c>
      <c r="B189" s="13" t="s">
        <v>636</v>
      </c>
      <c r="C189" s="3">
        <f>SUMIF('Raw Data 10-31-2018'!$A$6:$A$256,'PY TB-18'!A189,'Raw Data 10-31-2018'!C$6:C$256)</f>
        <v>142.71</v>
      </c>
      <c r="D189" s="4"/>
      <c r="E189" s="3">
        <f>SUMIF('Raw Data 10-31-2018'!$A$6:$A$256,'PY TB-18'!A189,'Raw Data 10-31-2018'!D$6:D$256)</f>
        <v>0</v>
      </c>
      <c r="F189" s="3"/>
      <c r="G189" s="3">
        <f t="shared" si="9"/>
        <v>142.71</v>
      </c>
      <c r="H189" s="76" t="s">
        <v>439</v>
      </c>
      <c r="J189" s="19"/>
    </row>
    <row r="190" spans="1:10" x14ac:dyDescent="0.75">
      <c r="A190" s="14">
        <v>6260</v>
      </c>
      <c r="B190" s="13" t="s">
        <v>637</v>
      </c>
      <c r="C190" s="3">
        <f>SUMIF('Raw Data 10-31-2018'!$A$6:$A$256,'PY TB-18'!A190,'Raw Data 10-31-2018'!C$6:C$256)</f>
        <v>0</v>
      </c>
      <c r="D190" s="4"/>
      <c r="E190" s="3">
        <f>SUMIF('Raw Data 10-31-2018'!$A$6:$A$256,'PY TB-18'!A190,'Raw Data 10-31-2018'!D$6:D$256)</f>
        <v>0</v>
      </c>
      <c r="F190" s="3"/>
      <c r="G190" s="3">
        <f t="shared" si="9"/>
        <v>0</v>
      </c>
      <c r="H190" s="76" t="s">
        <v>439</v>
      </c>
      <c r="J190" s="19"/>
    </row>
    <row r="191" spans="1:10" x14ac:dyDescent="0.75">
      <c r="A191" s="14">
        <v>6265</v>
      </c>
      <c r="B191" s="13" t="s">
        <v>638</v>
      </c>
      <c r="C191" s="3">
        <f>SUMIF('Raw Data 10-31-2018'!$A$6:$A$256,'PY TB-18'!A191,'Raw Data 10-31-2018'!C$6:C$256)</f>
        <v>0</v>
      </c>
      <c r="D191" s="4"/>
      <c r="E191" s="3">
        <f>SUMIF('Raw Data 10-31-2018'!$A$6:$A$256,'PY TB-18'!A191,'Raw Data 10-31-2018'!D$6:D$256)</f>
        <v>0</v>
      </c>
      <c r="F191" s="3"/>
      <c r="G191" s="3">
        <f t="shared" si="9"/>
        <v>0</v>
      </c>
      <c r="H191" s="76" t="s">
        <v>439</v>
      </c>
      <c r="J191" s="19"/>
    </row>
    <row r="192" spans="1:10" x14ac:dyDescent="0.75">
      <c r="A192" s="14">
        <v>6270</v>
      </c>
      <c r="B192" s="13" t="s">
        <v>639</v>
      </c>
      <c r="C192" s="3">
        <f>SUMIF('Raw Data 10-31-2018'!$A$6:$A$256,'PY TB-18'!A192,'Raw Data 10-31-2018'!C$6:C$256)</f>
        <v>0</v>
      </c>
      <c r="D192" s="4"/>
      <c r="E192" s="3">
        <f>SUMIF('Raw Data 10-31-2018'!$A$6:$A$256,'PY TB-18'!A192,'Raw Data 10-31-2018'!D$6:D$256)</f>
        <v>2964.16</v>
      </c>
      <c r="F192" s="3"/>
      <c r="G192" s="3">
        <f t="shared" si="9"/>
        <v>-2964.16</v>
      </c>
      <c r="H192" s="76" t="s">
        <v>439</v>
      </c>
      <c r="J192" s="19"/>
    </row>
    <row r="193" spans="1:10" s="6" customFormat="1" x14ac:dyDescent="0.75">
      <c r="A193" s="12">
        <v>6275</v>
      </c>
      <c r="B193" s="13" t="s">
        <v>640</v>
      </c>
      <c r="C193" s="3">
        <f>SUMIF('Raw Data 10-31-2018'!$A$6:$A$256,'PY TB-18'!A193,'Raw Data 10-31-2018'!C$6:C$256)</f>
        <v>176593.04</v>
      </c>
      <c r="D193" s="4"/>
      <c r="E193" s="3">
        <f>SUMIF('Raw Data 10-31-2018'!$A$6:$A$256,'PY TB-18'!A193,'Raw Data 10-31-2018'!D$6:D$256)</f>
        <v>0</v>
      </c>
      <c r="F193" s="3"/>
      <c r="G193" s="3">
        <f t="shared" si="9"/>
        <v>176593.04</v>
      </c>
      <c r="H193" s="76" t="s">
        <v>439</v>
      </c>
      <c r="I193" s="76"/>
      <c r="J193" s="19"/>
    </row>
    <row r="194" spans="1:10" x14ac:dyDescent="0.75">
      <c r="A194" s="14">
        <v>6280</v>
      </c>
      <c r="B194" s="13" t="s">
        <v>641</v>
      </c>
      <c r="C194" s="3">
        <f>SUMIF('Raw Data 10-31-2018'!$A$6:$A$256,'PY TB-18'!A194,'Raw Data 10-31-2018'!C$6:C$256)</f>
        <v>16816.91</v>
      </c>
      <c r="D194" s="4"/>
      <c r="E194" s="3">
        <f>SUMIF('Raw Data 10-31-2018'!$A$6:$A$256,'PY TB-18'!A194,'Raw Data 10-31-2018'!D$6:D$256)</f>
        <v>0</v>
      </c>
      <c r="F194" s="3"/>
      <c r="G194" s="3">
        <f t="shared" si="9"/>
        <v>16816.91</v>
      </c>
      <c r="H194" s="76" t="s">
        <v>439</v>
      </c>
      <c r="J194" s="19"/>
    </row>
    <row r="195" spans="1:10" x14ac:dyDescent="0.75">
      <c r="A195" s="12">
        <v>6285</v>
      </c>
      <c r="B195" s="13" t="s">
        <v>642</v>
      </c>
      <c r="C195" s="3">
        <f>SUMIF('Raw Data 10-31-2018'!$A$6:$A$256,'PY TB-18'!A195,'Raw Data 10-31-2018'!C$6:C$256)</f>
        <v>0</v>
      </c>
      <c r="D195" s="4"/>
      <c r="E195" s="3">
        <f>SUMIF('Raw Data 10-31-2018'!$A$6:$A$256,'PY TB-18'!A195,'Raw Data 10-31-2018'!D$6:D$256)</f>
        <v>0</v>
      </c>
      <c r="F195" s="3"/>
      <c r="G195" s="3">
        <f t="shared" si="9"/>
        <v>0</v>
      </c>
      <c r="H195" s="76" t="s">
        <v>439</v>
      </c>
      <c r="J195" s="19"/>
    </row>
    <row r="196" spans="1:10" x14ac:dyDescent="0.75">
      <c r="A196" s="14">
        <v>6290</v>
      </c>
      <c r="B196" s="13" t="s">
        <v>643</v>
      </c>
      <c r="C196" s="3">
        <f>SUMIF('Raw Data 10-31-2018'!$A$6:$A$256,'PY TB-18'!A196,'Raw Data 10-31-2018'!C$6:C$256)</f>
        <v>0</v>
      </c>
      <c r="D196" s="4"/>
      <c r="E196" s="3">
        <f>SUMIF('Raw Data 10-31-2018'!$A$6:$A$256,'PY TB-18'!A196,'Raw Data 10-31-2018'!D$6:D$256)</f>
        <v>0</v>
      </c>
      <c r="F196" s="3"/>
      <c r="G196" s="3">
        <f t="shared" si="9"/>
        <v>0</v>
      </c>
      <c r="H196" s="76" t="s">
        <v>439</v>
      </c>
      <c r="J196" s="19"/>
    </row>
    <row r="197" spans="1:10" x14ac:dyDescent="0.75">
      <c r="A197" s="14">
        <v>6295</v>
      </c>
      <c r="B197" s="13" t="s">
        <v>644</v>
      </c>
      <c r="C197" s="3">
        <f>SUMIF('Raw Data 10-31-2018'!$A$6:$A$256,'PY TB-18'!A197,'Raw Data 10-31-2018'!C$6:C$256)</f>
        <v>2354.25</v>
      </c>
      <c r="D197" s="4"/>
      <c r="E197" s="3">
        <f>SUMIF('Raw Data 10-31-2018'!$A$6:$A$256,'PY TB-18'!A197,'Raw Data 10-31-2018'!D$6:D$256)</f>
        <v>0</v>
      </c>
      <c r="F197" s="3"/>
      <c r="G197" s="3">
        <f t="shared" si="9"/>
        <v>2354.25</v>
      </c>
      <c r="H197" s="76" t="s">
        <v>439</v>
      </c>
      <c r="I197" s="6"/>
      <c r="J197" s="19"/>
    </row>
    <row r="198" spans="1:10" x14ac:dyDescent="0.75">
      <c r="A198" s="14">
        <v>6300</v>
      </c>
      <c r="B198" s="13" t="s">
        <v>645</v>
      </c>
      <c r="C198" s="3">
        <f>SUMIF('Raw Data 10-31-2018'!$A$6:$A$256,'PY TB-18'!A198,'Raw Data 10-31-2018'!C$6:C$256)</f>
        <v>8099.45</v>
      </c>
      <c r="D198" s="4"/>
      <c r="E198" s="3">
        <f>SUMIF('Raw Data 10-31-2018'!$A$6:$A$256,'PY TB-18'!A198,'Raw Data 10-31-2018'!D$6:D$256)</f>
        <v>0</v>
      </c>
      <c r="F198" s="3"/>
      <c r="G198" s="3">
        <f t="shared" si="9"/>
        <v>8099.45</v>
      </c>
      <c r="H198" s="76" t="s">
        <v>439</v>
      </c>
      <c r="J198" s="19"/>
    </row>
    <row r="199" spans="1:10" x14ac:dyDescent="0.75">
      <c r="A199" s="14">
        <v>6305</v>
      </c>
      <c r="B199" s="13" t="s">
        <v>646</v>
      </c>
      <c r="C199" s="3">
        <f>SUMIF('Raw Data 10-31-2018'!$A$6:$A$256,'PY TB-18'!A199,'Raw Data 10-31-2018'!C$6:C$256)</f>
        <v>8727</v>
      </c>
      <c r="D199" s="4"/>
      <c r="E199" s="3">
        <f>SUMIF('Raw Data 10-31-2018'!$A$6:$A$256,'PY TB-18'!A199,'Raw Data 10-31-2018'!D$6:D$256)</f>
        <v>0</v>
      </c>
      <c r="F199" s="3"/>
      <c r="G199" s="3">
        <f t="shared" si="9"/>
        <v>8727</v>
      </c>
      <c r="H199" s="76" t="s">
        <v>439</v>
      </c>
      <c r="J199" s="19"/>
    </row>
    <row r="200" spans="1:10" x14ac:dyDescent="0.75">
      <c r="A200" s="12">
        <v>6310</v>
      </c>
      <c r="B200" s="13" t="s">
        <v>647</v>
      </c>
      <c r="C200" s="3">
        <f>SUMIF('Raw Data 10-31-2018'!$A$6:$A$256,'PY TB-18'!A200,'Raw Data 10-31-2018'!C$6:C$256)</f>
        <v>0</v>
      </c>
      <c r="D200" s="4"/>
      <c r="E200" s="3">
        <f>SUMIF('Raw Data 10-31-2018'!$A$6:$A$256,'PY TB-18'!A200,'Raw Data 10-31-2018'!D$6:D$256)</f>
        <v>0</v>
      </c>
      <c r="F200" s="3"/>
      <c r="G200" s="3">
        <f t="shared" si="9"/>
        <v>0</v>
      </c>
      <c r="H200" s="76" t="s">
        <v>439</v>
      </c>
      <c r="J200" s="19"/>
    </row>
    <row r="201" spans="1:10" x14ac:dyDescent="0.75">
      <c r="A201" s="14">
        <v>6315</v>
      </c>
      <c r="B201" s="13" t="s">
        <v>648</v>
      </c>
      <c r="C201" s="3">
        <f>SUMIF('Raw Data 10-31-2018'!$A$6:$A$256,'PY TB-18'!A201,'Raw Data 10-31-2018'!C$6:C$256)</f>
        <v>35548.089999999997</v>
      </c>
      <c r="D201" s="4"/>
      <c r="E201" s="3">
        <f>SUMIF('Raw Data 10-31-2018'!$A$6:$A$256,'PY TB-18'!A201,'Raw Data 10-31-2018'!D$6:D$256)</f>
        <v>0</v>
      </c>
      <c r="F201" s="3"/>
      <c r="G201" s="3">
        <f t="shared" si="9"/>
        <v>35548.089999999997</v>
      </c>
      <c r="H201" s="76" t="s">
        <v>439</v>
      </c>
      <c r="J201" s="19"/>
    </row>
    <row r="202" spans="1:10" x14ac:dyDescent="0.75">
      <c r="A202" s="12">
        <v>6320</v>
      </c>
      <c r="B202" s="13" t="s">
        <v>649</v>
      </c>
      <c r="C202" s="3">
        <f>SUMIF('Raw Data 10-31-2018'!$A$6:$A$256,'PY TB-18'!A202,'Raw Data 10-31-2018'!C$6:C$256)</f>
        <v>0</v>
      </c>
      <c r="D202" s="4"/>
      <c r="E202" s="3">
        <f>SUMIF('Raw Data 10-31-2018'!$A$6:$A$256,'PY TB-18'!A202,'Raw Data 10-31-2018'!D$6:D$256)</f>
        <v>0</v>
      </c>
      <c r="F202" s="3"/>
      <c r="G202" s="3">
        <f t="shared" si="9"/>
        <v>0</v>
      </c>
      <c r="H202" s="76" t="s">
        <v>439</v>
      </c>
      <c r="J202" s="19"/>
    </row>
    <row r="203" spans="1:10" x14ac:dyDescent="0.75">
      <c r="A203" s="12">
        <v>6325</v>
      </c>
      <c r="B203" s="13" t="s">
        <v>650</v>
      </c>
      <c r="C203" s="3">
        <f>SUMIF('Raw Data 10-31-2018'!$A$6:$A$256,'PY TB-18'!A203,'Raw Data 10-31-2018'!C$6:C$256)</f>
        <v>4981</v>
      </c>
      <c r="D203" s="4"/>
      <c r="E203" s="3">
        <f>SUMIF('Raw Data 10-31-2018'!$A$6:$A$256,'PY TB-18'!A203,'Raw Data 10-31-2018'!D$6:D$256)</f>
        <v>0</v>
      </c>
      <c r="F203" s="3"/>
      <c r="G203" s="3">
        <f t="shared" si="9"/>
        <v>4981</v>
      </c>
      <c r="H203" s="76" t="s">
        <v>439</v>
      </c>
      <c r="J203" s="19"/>
    </row>
    <row r="204" spans="1:10" x14ac:dyDescent="0.75">
      <c r="A204" s="12">
        <v>6330</v>
      </c>
      <c r="B204" s="13" t="s">
        <v>651</v>
      </c>
      <c r="C204" s="3">
        <f>SUMIF('Raw Data 10-31-2018'!$A$6:$A$256,'PY TB-18'!A204,'Raw Data 10-31-2018'!C$6:C$256)</f>
        <v>0</v>
      </c>
      <c r="D204" s="4"/>
      <c r="E204" s="3">
        <f>SUMIF('Raw Data 10-31-2018'!$A$6:$A$256,'PY TB-18'!A204,'Raw Data 10-31-2018'!D$6:D$256)</f>
        <v>0</v>
      </c>
      <c r="F204" s="3"/>
      <c r="G204" s="3">
        <f t="shared" si="9"/>
        <v>0</v>
      </c>
      <c r="H204" s="76" t="s">
        <v>439</v>
      </c>
      <c r="J204" s="19"/>
    </row>
    <row r="205" spans="1:10" x14ac:dyDescent="0.75">
      <c r="A205" s="14">
        <v>6335</v>
      </c>
      <c r="B205" s="18" t="s">
        <v>652</v>
      </c>
      <c r="C205" s="3">
        <f>SUMIF('Raw Data 10-31-2018'!$A$6:$A$256,'PY TB-18'!A205,'Raw Data 10-31-2018'!C$6:C$256)</f>
        <v>0</v>
      </c>
      <c r="D205" s="4"/>
      <c r="E205" s="3">
        <f>SUMIF('Raw Data 10-31-2018'!$A$6:$A$256,'PY TB-18'!A205,'Raw Data 10-31-2018'!D$6:D$256)</f>
        <v>0</v>
      </c>
      <c r="F205" s="3"/>
      <c r="G205" s="3">
        <f t="shared" si="9"/>
        <v>0</v>
      </c>
      <c r="H205" s="76" t="s">
        <v>439</v>
      </c>
      <c r="J205" s="19"/>
    </row>
    <row r="206" spans="1:10" x14ac:dyDescent="0.75">
      <c r="A206" s="14">
        <v>6340</v>
      </c>
      <c r="B206" s="18" t="s">
        <v>653</v>
      </c>
      <c r="C206" s="3">
        <f>SUMIF('Raw Data 10-31-2018'!$A$6:$A$256,'PY TB-18'!A206,'Raw Data 10-31-2018'!C$6:C$256)</f>
        <v>0</v>
      </c>
      <c r="D206" s="4"/>
      <c r="E206" s="3">
        <f>SUMIF('Raw Data 10-31-2018'!$A$6:$A$256,'PY TB-18'!A206,'Raw Data 10-31-2018'!D$6:D$256)</f>
        <v>0</v>
      </c>
      <c r="F206" s="5"/>
      <c r="G206" s="3">
        <f>C206-E206</f>
        <v>0</v>
      </c>
      <c r="H206" s="76" t="s">
        <v>439</v>
      </c>
      <c r="J206" s="19"/>
    </row>
    <row r="207" spans="1:10" x14ac:dyDescent="0.75">
      <c r="A207" s="14">
        <v>6345</v>
      </c>
      <c r="B207" s="18" t="s">
        <v>654</v>
      </c>
      <c r="C207" s="3">
        <f>SUMIF('Raw Data 10-31-2018'!$A$6:$A$256,'PY TB-18'!A207,'Raw Data 10-31-2018'!C$6:C$256)</f>
        <v>5351.32</v>
      </c>
      <c r="D207" s="4"/>
      <c r="E207" s="3">
        <f>SUMIF('Raw Data 10-31-2018'!$A$6:$A$256,'PY TB-18'!A207,'Raw Data 10-31-2018'!D$6:D$256)</f>
        <v>0</v>
      </c>
      <c r="F207" s="5"/>
      <c r="G207" s="3">
        <f>C207-E207</f>
        <v>5351.32</v>
      </c>
      <c r="H207" s="76" t="s">
        <v>439</v>
      </c>
      <c r="J207" s="19"/>
    </row>
    <row r="208" spans="1:10" x14ac:dyDescent="0.75">
      <c r="A208" s="14">
        <v>6350</v>
      </c>
      <c r="B208" s="18" t="s">
        <v>655</v>
      </c>
      <c r="C208" s="3">
        <f>SUMIF('Raw Data 10-31-2018'!$A$6:$A$256,'PY TB-18'!A208,'Raw Data 10-31-2018'!C$6:C$256)</f>
        <v>825.21</v>
      </c>
      <c r="D208" s="4"/>
      <c r="E208" s="3">
        <f>SUMIF('Raw Data 10-31-2018'!$A$6:$A$256,'PY TB-18'!A208,'Raw Data 10-31-2018'!D$6:D$256)</f>
        <v>0</v>
      </c>
      <c r="F208" s="5"/>
      <c r="G208" s="3">
        <f>C208-E208</f>
        <v>825.21</v>
      </c>
      <c r="H208" s="76" t="s">
        <v>439</v>
      </c>
      <c r="J208" s="19"/>
    </row>
    <row r="209" spans="1:8" x14ac:dyDescent="0.75">
      <c r="A209" s="14">
        <v>6355</v>
      </c>
      <c r="B209" s="18" t="s">
        <v>656</v>
      </c>
      <c r="C209" s="3">
        <f>SUMIF('Raw Data 10-31-2018'!$A$6:$A$256,'PY TB-18'!A209,'Raw Data 10-31-2018'!C$6:C$256)</f>
        <v>0</v>
      </c>
      <c r="D209" s="4"/>
      <c r="E209" s="3">
        <f>SUMIF('Raw Data 10-31-2018'!$A$6:$A$256,'PY TB-18'!A209,'Raw Data 10-31-2018'!D$6:D$256)</f>
        <v>0</v>
      </c>
      <c r="F209" s="5"/>
      <c r="G209" s="3">
        <f t="shared" ref="G209:G254" si="10">C209-E209</f>
        <v>0</v>
      </c>
      <c r="H209" s="76" t="s">
        <v>439</v>
      </c>
    </row>
    <row r="210" spans="1:8" x14ac:dyDescent="0.75">
      <c r="A210" s="14">
        <v>6400</v>
      </c>
      <c r="B210" s="18" t="s">
        <v>657</v>
      </c>
      <c r="C210" s="3">
        <f>SUMIF('Raw Data 10-31-2018'!$A$6:$A$256,'PY TB-18'!A210,'Raw Data 10-31-2018'!C$6:C$256)</f>
        <v>94896.51</v>
      </c>
      <c r="D210" s="4"/>
      <c r="E210" s="3">
        <f>SUMIF('Raw Data 10-31-2018'!$A$6:$A$256,'PY TB-18'!A210,'Raw Data 10-31-2018'!D$6:D$256)</f>
        <v>0</v>
      </c>
      <c r="F210" s="5"/>
      <c r="G210" s="3">
        <f t="shared" si="10"/>
        <v>94896.51</v>
      </c>
      <c r="H210" s="76" t="s">
        <v>439</v>
      </c>
    </row>
    <row r="211" spans="1:8" x14ac:dyDescent="0.75">
      <c r="A211" s="14">
        <v>6405</v>
      </c>
      <c r="B211" s="18" t="s">
        <v>658</v>
      </c>
      <c r="C211" s="3">
        <f>SUMIF('Raw Data 10-31-2018'!$A$6:$A$256,'PY TB-18'!A211,'Raw Data 10-31-2018'!C$6:C$256)</f>
        <v>0</v>
      </c>
      <c r="D211" s="4"/>
      <c r="E211" s="3">
        <f>SUMIF('Raw Data 10-31-2018'!$A$6:$A$256,'PY TB-18'!A211,'Raw Data 10-31-2018'!D$6:D$256)</f>
        <v>0</v>
      </c>
      <c r="F211" s="5"/>
      <c r="G211" s="3">
        <f t="shared" si="10"/>
        <v>0</v>
      </c>
      <c r="H211" s="76" t="s">
        <v>439</v>
      </c>
    </row>
    <row r="212" spans="1:8" x14ac:dyDescent="0.75">
      <c r="A212" s="14">
        <v>6410</v>
      </c>
      <c r="B212" s="18" t="s">
        <v>659</v>
      </c>
      <c r="C212" s="3">
        <f>SUMIF('Raw Data 10-31-2018'!$A$6:$A$256,'PY TB-18'!A212,'Raw Data 10-31-2018'!C$6:C$256)</f>
        <v>0</v>
      </c>
      <c r="D212" s="4"/>
      <c r="E212" s="3">
        <f>SUMIF('Raw Data 10-31-2018'!$A$6:$A$256,'PY TB-18'!A212,'Raw Data 10-31-2018'!D$6:D$256)</f>
        <v>0</v>
      </c>
      <c r="F212" s="5"/>
      <c r="G212" s="3">
        <f t="shared" si="10"/>
        <v>0</v>
      </c>
      <c r="H212" s="76" t="s">
        <v>439</v>
      </c>
    </row>
    <row r="213" spans="1:8" x14ac:dyDescent="0.75">
      <c r="A213" s="14">
        <v>6415</v>
      </c>
      <c r="B213" s="18" t="s">
        <v>660</v>
      </c>
      <c r="C213" s="3">
        <f>SUMIF('Raw Data 10-31-2018'!$A$6:$A$256,'PY TB-18'!A213,'Raw Data 10-31-2018'!C$6:C$256)</f>
        <v>0</v>
      </c>
      <c r="D213" s="4"/>
      <c r="E213" s="3">
        <f>SUMIF('Raw Data 10-31-2018'!$A$6:$A$256,'PY TB-18'!A213,'Raw Data 10-31-2018'!D$6:D$256)</f>
        <v>0</v>
      </c>
      <c r="F213" s="5"/>
      <c r="G213" s="3">
        <f t="shared" si="10"/>
        <v>0</v>
      </c>
      <c r="H213" s="76" t="s">
        <v>439</v>
      </c>
    </row>
    <row r="214" spans="1:8" x14ac:dyDescent="0.75">
      <c r="A214" s="14">
        <v>6420</v>
      </c>
      <c r="B214" s="18" t="s">
        <v>661</v>
      </c>
      <c r="C214" s="3">
        <f>SUMIF('Raw Data 10-31-2018'!$A$6:$A$256,'PY TB-18'!A214,'Raw Data 10-31-2018'!C$6:C$256)</f>
        <v>0</v>
      </c>
      <c r="D214" s="4"/>
      <c r="E214" s="3">
        <f>SUMIF('Raw Data 10-31-2018'!$A$6:$A$256,'PY TB-18'!A214,'Raw Data 10-31-2018'!D$6:D$256)</f>
        <v>0</v>
      </c>
      <c r="F214" s="5"/>
      <c r="G214" s="3">
        <f t="shared" si="10"/>
        <v>0</v>
      </c>
      <c r="H214" s="76" t="s">
        <v>439</v>
      </c>
    </row>
    <row r="215" spans="1:8" x14ac:dyDescent="0.75">
      <c r="A215" s="14">
        <v>6425</v>
      </c>
      <c r="B215" s="18" t="s">
        <v>662</v>
      </c>
      <c r="C215" s="3">
        <f>SUMIF('Raw Data 10-31-2018'!$A$6:$A$256,'PY TB-18'!A215,'Raw Data 10-31-2018'!C$6:C$256)</f>
        <v>0</v>
      </c>
      <c r="D215" s="4"/>
      <c r="E215" s="3">
        <f>SUMIF('Raw Data 10-31-2018'!$A$6:$A$256,'PY TB-18'!A215,'Raw Data 10-31-2018'!D$6:D$256)</f>
        <v>0</v>
      </c>
      <c r="F215" s="5"/>
      <c r="G215" s="3">
        <f t="shared" si="10"/>
        <v>0</v>
      </c>
      <c r="H215" s="76" t="s">
        <v>439</v>
      </c>
    </row>
    <row r="216" spans="1:8" x14ac:dyDescent="0.75">
      <c r="A216" s="14">
        <v>6430</v>
      </c>
      <c r="B216" s="18" t="s">
        <v>663</v>
      </c>
      <c r="C216" s="3">
        <f>SUMIF('Raw Data 10-31-2018'!$A$6:$A$256,'PY TB-18'!A216,'Raw Data 10-31-2018'!C$6:C$256)</f>
        <v>17421.27</v>
      </c>
      <c r="D216" s="4"/>
      <c r="E216" s="3">
        <f>SUMIF('Raw Data 10-31-2018'!$A$6:$A$256,'PY TB-18'!A216,'Raw Data 10-31-2018'!D$6:D$256)</f>
        <v>0</v>
      </c>
      <c r="F216" s="5"/>
      <c r="G216" s="3">
        <f t="shared" si="10"/>
        <v>17421.27</v>
      </c>
      <c r="H216" s="76" t="s">
        <v>439</v>
      </c>
    </row>
    <row r="217" spans="1:8" x14ac:dyDescent="0.75">
      <c r="A217" s="14">
        <v>6435</v>
      </c>
      <c r="B217" s="18" t="s">
        <v>664</v>
      </c>
      <c r="C217" s="3">
        <f>SUMIF('Raw Data 10-31-2018'!$A$6:$A$256,'PY TB-18'!A217,'Raw Data 10-31-2018'!C$6:C$256)</f>
        <v>8539.24</v>
      </c>
      <c r="D217" s="4"/>
      <c r="E217" s="3">
        <f>SUMIF('Raw Data 10-31-2018'!$A$6:$A$256,'PY TB-18'!A217,'Raw Data 10-31-2018'!D$6:D$256)</f>
        <v>0</v>
      </c>
      <c r="F217" s="5"/>
      <c r="G217" s="3">
        <f t="shared" si="10"/>
        <v>8539.24</v>
      </c>
      <c r="H217" s="76" t="s">
        <v>439</v>
      </c>
    </row>
    <row r="218" spans="1:8" x14ac:dyDescent="0.75">
      <c r="A218" s="14">
        <v>6440</v>
      </c>
      <c r="B218" s="18" t="s">
        <v>665</v>
      </c>
      <c r="C218" s="3">
        <f>SUMIF('Raw Data 10-31-2018'!$A$6:$A$256,'PY TB-18'!A218,'Raw Data 10-31-2018'!C$6:C$256)</f>
        <v>196718.62</v>
      </c>
      <c r="D218" s="4"/>
      <c r="E218" s="3">
        <f>SUMIF('Raw Data 10-31-2018'!$A$6:$A$256,'PY TB-18'!A218,'Raw Data 10-31-2018'!D$6:D$256)</f>
        <v>0</v>
      </c>
      <c r="F218" s="5"/>
      <c r="G218" s="3">
        <f t="shared" si="10"/>
        <v>196718.62</v>
      </c>
      <c r="H218" s="76" t="s">
        <v>439</v>
      </c>
    </row>
    <row r="219" spans="1:8" x14ac:dyDescent="0.75">
      <c r="A219" s="14">
        <v>6445</v>
      </c>
      <c r="B219" s="18" t="s">
        <v>666</v>
      </c>
      <c r="C219" s="3">
        <f>SUMIF('Raw Data 10-31-2018'!$A$6:$A$256,'PY TB-18'!A219,'Raw Data 10-31-2018'!C$6:C$256)</f>
        <v>29039.23</v>
      </c>
      <c r="D219" s="4"/>
      <c r="E219" s="3">
        <f>SUMIF('Raw Data 10-31-2018'!$A$6:$A$256,'PY TB-18'!A219,'Raw Data 10-31-2018'!D$6:D$256)</f>
        <v>0</v>
      </c>
      <c r="F219" s="5"/>
      <c r="G219" s="3">
        <f t="shared" si="10"/>
        <v>29039.23</v>
      </c>
      <c r="H219" s="76" t="s">
        <v>439</v>
      </c>
    </row>
    <row r="220" spans="1:8" x14ac:dyDescent="0.75">
      <c r="A220" s="14">
        <v>6450</v>
      </c>
      <c r="B220" s="18" t="s">
        <v>667</v>
      </c>
      <c r="C220" s="3">
        <f>SUMIF('Raw Data 10-31-2018'!$A$6:$A$256,'PY TB-18'!A220,'Raw Data 10-31-2018'!C$6:C$256)</f>
        <v>2203</v>
      </c>
      <c r="D220" s="4"/>
      <c r="E220" s="3">
        <f>SUMIF('Raw Data 10-31-2018'!$A$6:$A$256,'PY TB-18'!A220,'Raw Data 10-31-2018'!D$6:D$256)</f>
        <v>0</v>
      </c>
      <c r="F220" s="5"/>
      <c r="G220" s="3">
        <f t="shared" si="10"/>
        <v>2203</v>
      </c>
      <c r="H220" s="76" t="s">
        <v>439</v>
      </c>
    </row>
    <row r="221" spans="1:8" x14ac:dyDescent="0.75">
      <c r="A221" s="14">
        <v>6455</v>
      </c>
      <c r="B221" s="18" t="s">
        <v>668</v>
      </c>
      <c r="C221" s="3">
        <f>SUMIF('Raw Data 10-31-2018'!$A$6:$A$256,'PY TB-18'!A221,'Raw Data 10-31-2018'!C$6:C$256)</f>
        <v>0</v>
      </c>
      <c r="D221" s="4"/>
      <c r="E221" s="3">
        <f>SUMIF('Raw Data 10-31-2018'!$A$6:$A$256,'PY TB-18'!A221,'Raw Data 10-31-2018'!D$6:D$256)</f>
        <v>0</v>
      </c>
      <c r="F221" s="5"/>
      <c r="G221" s="3">
        <f t="shared" si="10"/>
        <v>0</v>
      </c>
      <c r="H221" s="76" t="s">
        <v>439</v>
      </c>
    </row>
    <row r="222" spans="1:8" x14ac:dyDescent="0.75">
      <c r="A222" s="14">
        <v>6460</v>
      </c>
      <c r="B222" s="18" t="s">
        <v>669</v>
      </c>
      <c r="C222" s="3">
        <f>SUMIF('Raw Data 10-31-2018'!$A$6:$A$256,'PY TB-18'!A222,'Raw Data 10-31-2018'!C$6:C$256)</f>
        <v>0</v>
      </c>
      <c r="D222" s="4"/>
      <c r="E222" s="3">
        <f>SUMIF('Raw Data 10-31-2018'!$A$6:$A$256,'PY TB-18'!A222,'Raw Data 10-31-2018'!D$6:D$256)</f>
        <v>0</v>
      </c>
      <c r="F222" s="5"/>
      <c r="G222" s="3">
        <f t="shared" si="10"/>
        <v>0</v>
      </c>
      <c r="H222" s="76" t="s">
        <v>439</v>
      </c>
    </row>
    <row r="223" spans="1:8" x14ac:dyDescent="0.75">
      <c r="A223" s="14">
        <v>6500</v>
      </c>
      <c r="B223" s="18" t="s">
        <v>670</v>
      </c>
      <c r="C223" s="3">
        <f>SUMIF('Raw Data 10-31-2018'!$A$6:$A$256,'PY TB-18'!A223,'Raw Data 10-31-2018'!C$6:C$256)</f>
        <v>0</v>
      </c>
      <c r="D223" s="4"/>
      <c r="E223" s="3">
        <f>SUMIF('Raw Data 10-31-2018'!$A$6:$A$256,'PY TB-18'!A223,'Raw Data 10-31-2018'!D$6:D$256)</f>
        <v>0</v>
      </c>
      <c r="F223" s="5"/>
      <c r="G223" s="3">
        <f t="shared" si="10"/>
        <v>0</v>
      </c>
      <c r="H223" s="76" t="s">
        <v>439</v>
      </c>
    </row>
    <row r="224" spans="1:8" x14ac:dyDescent="0.75">
      <c r="A224" s="14">
        <v>6505</v>
      </c>
      <c r="B224" s="18" t="s">
        <v>671</v>
      </c>
      <c r="C224" s="3">
        <f>SUMIF('Raw Data 10-31-2018'!$A$6:$A$256,'PY TB-18'!A224,'Raw Data 10-31-2018'!C$6:C$256)</f>
        <v>0</v>
      </c>
      <c r="D224" s="4"/>
      <c r="E224" s="3">
        <f>SUMIF('Raw Data 10-31-2018'!$A$6:$A$256,'PY TB-18'!A224,'Raw Data 10-31-2018'!D$6:D$256)</f>
        <v>0</v>
      </c>
      <c r="F224" s="5"/>
      <c r="G224" s="3">
        <f t="shared" si="10"/>
        <v>0</v>
      </c>
      <c r="H224" s="76" t="s">
        <v>439</v>
      </c>
    </row>
    <row r="225" spans="1:8" x14ac:dyDescent="0.75">
      <c r="A225" s="14">
        <v>6510</v>
      </c>
      <c r="B225" s="18" t="s">
        <v>672</v>
      </c>
      <c r="C225" s="3">
        <f>SUMIF('Raw Data 10-31-2018'!$A$6:$A$256,'PY TB-18'!A225,'Raw Data 10-31-2018'!C$6:C$256)</f>
        <v>8350.0300000000007</v>
      </c>
      <c r="D225" s="4"/>
      <c r="E225" s="3">
        <f>SUMIF('Raw Data 10-31-2018'!$A$6:$A$256,'PY TB-18'!A225,'Raw Data 10-31-2018'!D$6:D$256)</f>
        <v>0</v>
      </c>
      <c r="F225" s="5"/>
      <c r="G225" s="3">
        <f t="shared" si="10"/>
        <v>8350.0300000000007</v>
      </c>
      <c r="H225" s="76" t="s">
        <v>439</v>
      </c>
    </row>
    <row r="226" spans="1:8" x14ac:dyDescent="0.75">
      <c r="A226" s="14">
        <v>6515</v>
      </c>
      <c r="B226" s="18" t="s">
        <v>673</v>
      </c>
      <c r="C226" s="3">
        <f>SUMIF('Raw Data 10-31-2018'!$A$6:$A$256,'PY TB-18'!A226,'Raw Data 10-31-2018'!C$6:C$256)</f>
        <v>0</v>
      </c>
      <c r="D226" s="4"/>
      <c r="E226" s="3">
        <f>SUMIF('Raw Data 10-31-2018'!$A$6:$A$256,'PY TB-18'!A226,'Raw Data 10-31-2018'!D$6:D$256)</f>
        <v>0</v>
      </c>
      <c r="F226" s="5"/>
      <c r="G226" s="3">
        <f t="shared" si="10"/>
        <v>0</v>
      </c>
      <c r="H226" s="76" t="s">
        <v>439</v>
      </c>
    </row>
    <row r="227" spans="1:8" x14ac:dyDescent="0.75">
      <c r="A227" s="14">
        <v>6520</v>
      </c>
      <c r="B227" s="18" t="s">
        <v>674</v>
      </c>
      <c r="C227" s="3">
        <f>SUMIF('Raw Data 10-31-2018'!$A$6:$A$256,'PY TB-18'!A227,'Raw Data 10-31-2018'!C$6:C$256)</f>
        <v>0</v>
      </c>
      <c r="D227" s="4"/>
      <c r="E227" s="3">
        <f>SUMIF('Raw Data 10-31-2018'!$A$6:$A$256,'PY TB-18'!A227,'Raw Data 10-31-2018'!D$6:D$256)</f>
        <v>0</v>
      </c>
      <c r="F227" s="5"/>
      <c r="G227" s="3">
        <f t="shared" si="10"/>
        <v>0</v>
      </c>
      <c r="H227" s="76" t="s">
        <v>439</v>
      </c>
    </row>
    <row r="228" spans="1:8" x14ac:dyDescent="0.75">
      <c r="A228" s="14">
        <v>6525</v>
      </c>
      <c r="B228" s="18" t="s">
        <v>675</v>
      </c>
      <c r="C228" s="3">
        <f>SUMIF('Raw Data 10-31-2018'!$A$6:$A$256,'PY TB-18'!A228,'Raw Data 10-31-2018'!C$6:C$256)</f>
        <v>5238.17</v>
      </c>
      <c r="D228" s="4"/>
      <c r="E228" s="3">
        <f>SUMIF('Raw Data 10-31-2018'!$A$6:$A$256,'PY TB-18'!A228,'Raw Data 10-31-2018'!D$6:D$256)</f>
        <v>0</v>
      </c>
      <c r="F228" s="5"/>
      <c r="G228" s="3">
        <f t="shared" si="10"/>
        <v>5238.17</v>
      </c>
      <c r="H228" s="76" t="s">
        <v>439</v>
      </c>
    </row>
    <row r="229" spans="1:8" x14ac:dyDescent="0.75">
      <c r="A229" s="14">
        <v>6530</v>
      </c>
      <c r="B229" s="18" t="s">
        <v>676</v>
      </c>
      <c r="C229" s="3">
        <f>SUMIF('Raw Data 10-31-2018'!$A$6:$A$256,'PY TB-18'!A229,'Raw Data 10-31-2018'!C$6:C$256)</f>
        <v>0</v>
      </c>
      <c r="D229" s="4"/>
      <c r="E229" s="3">
        <f>SUMIF('Raw Data 10-31-2018'!$A$6:$A$256,'PY TB-18'!A229,'Raw Data 10-31-2018'!D$6:D$256)</f>
        <v>0</v>
      </c>
      <c r="F229" s="5"/>
      <c r="G229" s="3">
        <f t="shared" si="10"/>
        <v>0</v>
      </c>
      <c r="H229" s="76" t="s">
        <v>439</v>
      </c>
    </row>
    <row r="230" spans="1:8" x14ac:dyDescent="0.75">
      <c r="A230" s="14">
        <v>6535</v>
      </c>
      <c r="B230" s="18" t="s">
        <v>677</v>
      </c>
      <c r="C230" s="3">
        <f>SUMIF('Raw Data 10-31-2018'!$A$6:$A$256,'PY TB-18'!A230,'Raw Data 10-31-2018'!C$6:C$256)</f>
        <v>0</v>
      </c>
      <c r="D230" s="4"/>
      <c r="E230" s="3">
        <f>SUMIF('Raw Data 10-31-2018'!$A$6:$A$256,'PY TB-18'!A230,'Raw Data 10-31-2018'!D$6:D$256)</f>
        <v>0</v>
      </c>
      <c r="F230" s="5"/>
      <c r="G230" s="3">
        <f t="shared" si="10"/>
        <v>0</v>
      </c>
      <c r="H230" s="76" t="s">
        <v>439</v>
      </c>
    </row>
    <row r="231" spans="1:8" x14ac:dyDescent="0.75">
      <c r="A231" s="14">
        <v>6540</v>
      </c>
      <c r="B231" s="18" t="s">
        <v>678</v>
      </c>
      <c r="C231" s="3">
        <f>SUMIF('Raw Data 10-31-2018'!$A$6:$A$256,'PY TB-18'!A231,'Raw Data 10-31-2018'!C$6:C$256)</f>
        <v>233</v>
      </c>
      <c r="D231" s="4"/>
      <c r="E231" s="3">
        <f>SUMIF('Raw Data 10-31-2018'!$A$6:$A$256,'PY TB-18'!A231,'Raw Data 10-31-2018'!D$6:D$256)</f>
        <v>0</v>
      </c>
      <c r="F231" s="5"/>
      <c r="G231" s="3">
        <f t="shared" si="10"/>
        <v>233</v>
      </c>
      <c r="H231" s="76" t="s">
        <v>439</v>
      </c>
    </row>
    <row r="232" spans="1:8" x14ac:dyDescent="0.75">
      <c r="A232" s="14">
        <v>6545</v>
      </c>
      <c r="B232" s="18" t="s">
        <v>679</v>
      </c>
      <c r="C232" s="3">
        <f>SUMIF('Raw Data 10-31-2018'!$A$6:$A$256,'PY TB-18'!A232,'Raw Data 10-31-2018'!C$6:C$256)</f>
        <v>0</v>
      </c>
      <c r="D232" s="4"/>
      <c r="E232" s="3">
        <f>SUMIF('Raw Data 10-31-2018'!$A$6:$A$256,'PY TB-18'!A232,'Raw Data 10-31-2018'!D$6:D$256)</f>
        <v>0</v>
      </c>
      <c r="F232" s="5"/>
      <c r="G232" s="3">
        <f t="shared" si="10"/>
        <v>0</v>
      </c>
      <c r="H232" s="76" t="s">
        <v>439</v>
      </c>
    </row>
    <row r="233" spans="1:8" x14ac:dyDescent="0.75">
      <c r="A233" s="14">
        <v>6550</v>
      </c>
      <c r="B233" s="18" t="s">
        <v>680</v>
      </c>
      <c r="C233" s="3">
        <f>SUMIF('Raw Data 10-31-2018'!$A$6:$A$256,'PY TB-18'!A233,'Raw Data 10-31-2018'!C$6:C$256)</f>
        <v>11616.5</v>
      </c>
      <c r="D233" s="4"/>
      <c r="E233" s="3">
        <f>SUMIF('Raw Data 10-31-2018'!$A$6:$A$256,'PY TB-18'!A233,'Raw Data 10-31-2018'!D$6:D$256)</f>
        <v>0</v>
      </c>
      <c r="F233" s="5"/>
      <c r="G233" s="3">
        <f t="shared" si="10"/>
        <v>11616.5</v>
      </c>
      <c r="H233" s="76" t="s">
        <v>439</v>
      </c>
    </row>
    <row r="234" spans="1:8" x14ac:dyDescent="0.75">
      <c r="A234" s="14">
        <v>6555</v>
      </c>
      <c r="B234" s="18" t="s">
        <v>681</v>
      </c>
      <c r="C234" s="3">
        <f>SUMIF('Raw Data 10-31-2018'!$A$6:$A$256,'PY TB-18'!A234,'Raw Data 10-31-2018'!C$6:C$256)</f>
        <v>0</v>
      </c>
      <c r="D234" s="4"/>
      <c r="E234" s="3">
        <f>SUMIF('Raw Data 10-31-2018'!$A$6:$A$256,'PY TB-18'!A234,'Raw Data 10-31-2018'!D$6:D$256)</f>
        <v>0</v>
      </c>
      <c r="F234" s="5"/>
      <c r="G234" s="3">
        <f t="shared" si="10"/>
        <v>0</v>
      </c>
      <c r="H234" s="76" t="s">
        <v>439</v>
      </c>
    </row>
    <row r="235" spans="1:8" x14ac:dyDescent="0.75">
      <c r="A235" s="14">
        <v>6560</v>
      </c>
      <c r="B235" s="18" t="s">
        <v>682</v>
      </c>
      <c r="C235" s="3">
        <f>SUMIF('Raw Data 10-31-2018'!$A$6:$A$256,'PY TB-18'!A235,'Raw Data 10-31-2018'!C$6:C$256)</f>
        <v>0</v>
      </c>
      <c r="D235" s="4"/>
      <c r="E235" s="3">
        <f>SUMIF('Raw Data 10-31-2018'!$A$6:$A$256,'PY TB-18'!A235,'Raw Data 10-31-2018'!D$6:D$256)</f>
        <v>0</v>
      </c>
      <c r="F235" s="5"/>
      <c r="G235" s="3">
        <f t="shared" si="10"/>
        <v>0</v>
      </c>
      <c r="H235" s="76" t="s">
        <v>439</v>
      </c>
    </row>
    <row r="236" spans="1:8" x14ac:dyDescent="0.75">
      <c r="A236" s="14">
        <v>6565</v>
      </c>
      <c r="B236" s="18" t="s">
        <v>683</v>
      </c>
      <c r="C236" s="3">
        <f>SUMIF('Raw Data 10-31-2018'!$A$6:$A$256,'PY TB-18'!A236,'Raw Data 10-31-2018'!C$6:C$256)</f>
        <v>0</v>
      </c>
      <c r="D236" s="4"/>
      <c r="E236" s="3">
        <f>SUMIF('Raw Data 10-31-2018'!$A$6:$A$256,'PY TB-18'!A236,'Raw Data 10-31-2018'!D$6:D$256)</f>
        <v>0</v>
      </c>
      <c r="F236" s="5"/>
      <c r="G236" s="3">
        <f t="shared" si="10"/>
        <v>0</v>
      </c>
      <c r="H236" s="76" t="s">
        <v>439</v>
      </c>
    </row>
    <row r="237" spans="1:8" x14ac:dyDescent="0.75">
      <c r="A237" s="14">
        <v>6570</v>
      </c>
      <c r="B237" s="18" t="s">
        <v>684</v>
      </c>
      <c r="C237" s="3">
        <f>SUMIF('Raw Data 10-31-2018'!$A$6:$A$256,'PY TB-18'!A237,'Raw Data 10-31-2018'!C$6:C$256)</f>
        <v>0</v>
      </c>
      <c r="D237" s="4"/>
      <c r="E237" s="3">
        <f>SUMIF('Raw Data 10-31-2018'!$A$6:$A$256,'PY TB-18'!A237,'Raw Data 10-31-2018'!D$6:D$256)</f>
        <v>0</v>
      </c>
      <c r="F237" s="5"/>
      <c r="G237" s="3">
        <f t="shared" si="10"/>
        <v>0</v>
      </c>
      <c r="H237" s="76" t="s">
        <v>439</v>
      </c>
    </row>
    <row r="238" spans="1:8" x14ac:dyDescent="0.75">
      <c r="A238" s="14">
        <v>6575</v>
      </c>
      <c r="B238" s="18" t="s">
        <v>685</v>
      </c>
      <c r="C238" s="3">
        <f>SUMIF('Raw Data 10-31-2018'!$A$6:$A$256,'PY TB-18'!A238,'Raw Data 10-31-2018'!C$6:C$256)</f>
        <v>0</v>
      </c>
      <c r="D238" s="4"/>
      <c r="E238" s="3">
        <f>SUMIF('Raw Data 10-31-2018'!$A$6:$A$256,'PY TB-18'!A238,'Raw Data 10-31-2018'!D$6:D$256)</f>
        <v>0</v>
      </c>
      <c r="F238" s="5"/>
      <c r="G238" s="3">
        <f t="shared" si="10"/>
        <v>0</v>
      </c>
      <c r="H238" s="76" t="s">
        <v>439</v>
      </c>
    </row>
    <row r="239" spans="1:8" x14ac:dyDescent="0.75">
      <c r="A239" s="14">
        <v>6580</v>
      </c>
      <c r="B239" s="18" t="s">
        <v>686</v>
      </c>
      <c r="C239" s="3">
        <f>SUMIF('Raw Data 10-31-2018'!$A$6:$A$256,'PY TB-18'!A239,'Raw Data 10-31-2018'!C$6:C$256)</f>
        <v>0</v>
      </c>
      <c r="D239" s="4"/>
      <c r="E239" s="3">
        <f>SUMIF('Raw Data 10-31-2018'!$A$6:$A$256,'PY TB-18'!A239,'Raw Data 10-31-2018'!D$6:D$256)</f>
        <v>0</v>
      </c>
      <c r="F239" s="5"/>
      <c r="G239" s="3">
        <f t="shared" si="10"/>
        <v>0</v>
      </c>
      <c r="H239" s="76" t="s">
        <v>439</v>
      </c>
    </row>
    <row r="240" spans="1:8" x14ac:dyDescent="0.75">
      <c r="A240" s="14">
        <v>6585</v>
      </c>
      <c r="B240" s="18" t="s">
        <v>687</v>
      </c>
      <c r="C240" s="3">
        <f>SUMIF('Raw Data 10-31-2018'!$A$6:$A$256,'PY TB-18'!A240,'Raw Data 10-31-2018'!C$6:C$256)</f>
        <v>0</v>
      </c>
      <c r="D240" s="4"/>
      <c r="E240" s="3">
        <f>SUMIF('Raw Data 10-31-2018'!$A$6:$A$256,'PY TB-18'!A240,'Raw Data 10-31-2018'!D$6:D$256)</f>
        <v>0</v>
      </c>
      <c r="F240" s="5"/>
      <c r="G240" s="3">
        <f t="shared" si="10"/>
        <v>0</v>
      </c>
      <c r="H240" s="76" t="s">
        <v>439</v>
      </c>
    </row>
    <row r="241" spans="1:8" x14ac:dyDescent="0.75">
      <c r="A241" s="14">
        <v>6590</v>
      </c>
      <c r="B241" s="18" t="s">
        <v>688</v>
      </c>
      <c r="C241" s="3">
        <f>SUMIF('Raw Data 10-31-2018'!$A$6:$A$256,'PY TB-18'!A241,'Raw Data 10-31-2018'!C$6:C$256)</f>
        <v>0</v>
      </c>
      <c r="D241" s="4"/>
      <c r="E241" s="3">
        <f>SUMIF('Raw Data 10-31-2018'!$A$6:$A$256,'PY TB-18'!A241,'Raw Data 10-31-2018'!D$6:D$256)</f>
        <v>0</v>
      </c>
      <c r="F241" s="5"/>
      <c r="G241" s="3">
        <f t="shared" si="10"/>
        <v>0</v>
      </c>
      <c r="H241" s="76" t="s">
        <v>439</v>
      </c>
    </row>
    <row r="242" spans="1:8" x14ac:dyDescent="0.75">
      <c r="A242" s="14">
        <v>7100</v>
      </c>
      <c r="B242" s="18" t="s">
        <v>689</v>
      </c>
      <c r="C242" s="3">
        <f>SUMIF('Raw Data 10-31-2018'!$A$6:$A$256,'PY TB-18'!A242,'Raw Data 10-31-2018'!C$6:C$256)</f>
        <v>0</v>
      </c>
      <c r="D242" s="4"/>
      <c r="E242" s="3">
        <f>SUMIF('Raw Data 10-31-2018'!$A$6:$A$256,'PY TB-18'!A242,'Raw Data 10-31-2018'!D$6:D$256)</f>
        <v>175.13</v>
      </c>
      <c r="F242" s="5"/>
      <c r="G242" s="3">
        <f t="shared" si="10"/>
        <v>-175.13</v>
      </c>
      <c r="H242" s="76" t="s">
        <v>439</v>
      </c>
    </row>
    <row r="243" spans="1:8" x14ac:dyDescent="0.75">
      <c r="A243" s="14">
        <v>7200</v>
      </c>
      <c r="B243" s="18" t="s">
        <v>690</v>
      </c>
      <c r="C243" s="3">
        <f>SUMIF('Raw Data 10-31-2018'!$A$6:$A$256,'PY TB-18'!A243,'Raw Data 10-31-2018'!C$6:C$256)</f>
        <v>0</v>
      </c>
      <c r="D243" s="4"/>
      <c r="E243" s="3">
        <f>SUMIF('Raw Data 10-31-2018'!$A$6:$A$256,'PY TB-18'!A243,'Raw Data 10-31-2018'!D$6:D$256)</f>
        <v>0</v>
      </c>
      <c r="F243" s="5"/>
      <c r="G243" s="3">
        <f t="shared" si="10"/>
        <v>0</v>
      </c>
      <c r="H243" s="76" t="s">
        <v>439</v>
      </c>
    </row>
    <row r="244" spans="1:8" x14ac:dyDescent="0.75">
      <c r="A244" s="14">
        <v>7300</v>
      </c>
      <c r="B244" s="18" t="s">
        <v>691</v>
      </c>
      <c r="C244" s="3">
        <f>SUMIF('Raw Data 10-31-2018'!$A$6:$A$256,'PY TB-18'!A244,'Raw Data 10-31-2018'!C$6:C$256)</f>
        <v>0</v>
      </c>
      <c r="D244" s="4"/>
      <c r="E244" s="3">
        <f>SUMIF('Raw Data 10-31-2018'!$A$6:$A$256,'PY TB-18'!A244,'Raw Data 10-31-2018'!D$6:D$256)</f>
        <v>0</v>
      </c>
      <c r="F244" s="5"/>
      <c r="G244" s="3">
        <f t="shared" si="10"/>
        <v>0</v>
      </c>
      <c r="H244" s="76" t="s">
        <v>439</v>
      </c>
    </row>
    <row r="245" spans="1:8" x14ac:dyDescent="0.75">
      <c r="A245" s="14">
        <v>7310</v>
      </c>
      <c r="B245" s="18" t="s">
        <v>692</v>
      </c>
      <c r="C245" s="3">
        <f>SUMIF('Raw Data 10-31-2018'!$A$6:$A$256,'PY TB-18'!A245,'Raw Data 10-31-2018'!C$6:C$256)</f>
        <v>0</v>
      </c>
      <c r="D245" s="4"/>
      <c r="E245" s="3">
        <f>SUMIF('Raw Data 10-31-2018'!$A$6:$A$256,'PY TB-18'!A245,'Raw Data 10-31-2018'!D$6:D$256)</f>
        <v>0</v>
      </c>
      <c r="F245" s="5"/>
      <c r="G245" s="3">
        <f t="shared" si="10"/>
        <v>0</v>
      </c>
      <c r="H245" s="76" t="s">
        <v>439</v>
      </c>
    </row>
    <row r="246" spans="1:8" x14ac:dyDescent="0.75">
      <c r="A246" s="14">
        <v>7400</v>
      </c>
      <c r="B246" s="18" t="s">
        <v>693</v>
      </c>
      <c r="C246" s="3">
        <f>SUMIF('Raw Data 10-31-2018'!$A$6:$A$256,'PY TB-18'!A246,'Raw Data 10-31-2018'!C$6:C$256)</f>
        <v>0</v>
      </c>
      <c r="D246" s="4"/>
      <c r="E246" s="3">
        <f>SUMIF('Raw Data 10-31-2018'!$A$6:$A$256,'PY TB-18'!A246,'Raw Data 10-31-2018'!D$6:D$256)</f>
        <v>200623.8</v>
      </c>
      <c r="F246" s="5"/>
      <c r="G246" s="3">
        <f t="shared" si="10"/>
        <v>-200623.8</v>
      </c>
      <c r="H246" s="76" t="s">
        <v>951</v>
      </c>
    </row>
    <row r="247" spans="1:8" x14ac:dyDescent="0.75">
      <c r="A247" s="12">
        <v>7500</v>
      </c>
      <c r="B247" s="13" t="s">
        <v>620</v>
      </c>
      <c r="C247" s="3">
        <f>SUMIF('Raw Data 10-31-2018'!$A$6:$A$256,'PY TB-18'!A247,'Raw Data 10-31-2018'!C$6:C$256)</f>
        <v>267</v>
      </c>
      <c r="D247" s="4"/>
      <c r="E247" s="3">
        <f>SUMIF('Raw Data 10-31-2018'!$A$6:$A$256,'PY TB-18'!A247,'Raw Data 10-31-2018'!D$6:D$256)</f>
        <v>0</v>
      </c>
      <c r="F247" s="5"/>
      <c r="G247" s="3">
        <f t="shared" si="10"/>
        <v>267</v>
      </c>
      <c r="H247" s="76" t="s">
        <v>441</v>
      </c>
    </row>
    <row r="248" spans="1:8" x14ac:dyDescent="0.75">
      <c r="A248" s="12">
        <v>7510</v>
      </c>
      <c r="B248" s="13" t="s">
        <v>621</v>
      </c>
      <c r="C248" s="3">
        <f>SUMIF('Raw Data 10-31-2018'!$A$6:$A$256,'PY TB-18'!A248,'Raw Data 10-31-2018'!C$6:C$256)</f>
        <v>9948.49</v>
      </c>
      <c r="D248" s="4"/>
      <c r="E248" s="3">
        <f>SUMIF('Raw Data 10-31-2018'!$A$6:$A$256,'PY TB-18'!A248,'Raw Data 10-31-2018'!D$6:D$256)</f>
        <v>0</v>
      </c>
      <c r="F248" s="5"/>
      <c r="G248" s="3">
        <f t="shared" si="10"/>
        <v>9948.49</v>
      </c>
      <c r="H248" s="76" t="s">
        <v>441</v>
      </c>
    </row>
    <row r="249" spans="1:8" x14ac:dyDescent="0.75">
      <c r="A249" s="12">
        <v>7520</v>
      </c>
      <c r="B249" s="13" t="s">
        <v>622</v>
      </c>
      <c r="C249" s="3">
        <f>SUMIF('Raw Data 10-31-2018'!$A$6:$A$256,'PY TB-18'!A249,'Raw Data 10-31-2018'!C$6:C$256)</f>
        <v>12307.48</v>
      </c>
      <c r="D249" s="4"/>
      <c r="E249" s="3">
        <f>SUMIF('Raw Data 10-31-2018'!$A$6:$A$256,'PY TB-18'!A249,'Raw Data 10-31-2018'!D$6:D$256)</f>
        <v>0</v>
      </c>
      <c r="F249" s="5"/>
      <c r="G249" s="3">
        <f t="shared" si="10"/>
        <v>12307.48</v>
      </c>
      <c r="H249" s="76" t="s">
        <v>441</v>
      </c>
    </row>
    <row r="250" spans="1:8" x14ac:dyDescent="0.75">
      <c r="A250" s="12">
        <v>7530</v>
      </c>
      <c r="B250" s="13" t="s">
        <v>623</v>
      </c>
      <c r="C250" s="3">
        <f>SUMIF('Raw Data 10-31-2018'!$A$6:$A$256,'PY TB-18'!A250,'Raw Data 10-31-2018'!C$6:C$256)</f>
        <v>115777.92</v>
      </c>
      <c r="D250" s="4"/>
      <c r="E250" s="3">
        <f>SUMIF('Raw Data 10-31-2018'!$A$6:$A$256,'PY TB-18'!A250,'Raw Data 10-31-2018'!D$6:D$256)</f>
        <v>0</v>
      </c>
      <c r="F250" s="5"/>
      <c r="G250" s="3">
        <f t="shared" si="10"/>
        <v>115777.92</v>
      </c>
      <c r="H250" s="76" t="s">
        <v>441</v>
      </c>
    </row>
    <row r="251" spans="1:8" x14ac:dyDescent="0.75">
      <c r="A251" s="12">
        <v>7540</v>
      </c>
      <c r="B251" s="13" t="s">
        <v>624</v>
      </c>
      <c r="C251" s="3">
        <f>SUMIF('Raw Data 10-31-2018'!$A$6:$A$256,'PY TB-18'!A251,'Raw Data 10-31-2018'!C$6:C$256)</f>
        <v>34431.519999999997</v>
      </c>
      <c r="D251" s="4"/>
      <c r="E251" s="3">
        <f>SUMIF('Raw Data 10-31-2018'!$A$6:$A$256,'PY TB-18'!A251,'Raw Data 10-31-2018'!D$6:D$256)</f>
        <v>0</v>
      </c>
      <c r="F251" s="5"/>
      <c r="G251" s="3">
        <f t="shared" si="10"/>
        <v>34431.519999999997</v>
      </c>
      <c r="H251" s="76" t="s">
        <v>441</v>
      </c>
    </row>
    <row r="252" spans="1:8" s="77" customFormat="1" x14ac:dyDescent="0.75">
      <c r="A252" s="12" t="s">
        <v>945</v>
      </c>
      <c r="B252" s="13" t="s">
        <v>946</v>
      </c>
      <c r="C252" s="3">
        <f>SUMIF('Raw Data 10-31-2018'!$A$6:$A$256,'PY TB-18'!A252,'Raw Data 10-31-2018'!C$6:C$256)</f>
        <v>175585</v>
      </c>
      <c r="D252" s="4"/>
      <c r="E252" s="3">
        <f>SUMIF('Raw Data 10-31-2018'!$A$6:$A$256,'PY TB-18'!A252,'Raw Data 10-31-2018'!D$6:D$256)</f>
        <v>0</v>
      </c>
      <c r="F252" s="5"/>
      <c r="G252" s="3">
        <f t="shared" ref="G252" si="11">C252-E252</f>
        <v>175585</v>
      </c>
      <c r="H252" s="77" t="s">
        <v>441</v>
      </c>
    </row>
    <row r="253" spans="1:8" x14ac:dyDescent="0.75">
      <c r="A253" s="14">
        <v>7600</v>
      </c>
      <c r="B253" s="18" t="s">
        <v>694</v>
      </c>
      <c r="C253" s="3">
        <f>SUMIF('Raw Data 10-31-2018'!$A$6:$A$256,'PY TB-18'!A253,'Raw Data 10-31-2018'!C$6:C$256)</f>
        <v>39.65</v>
      </c>
      <c r="D253" s="4"/>
      <c r="E253" s="3">
        <f>SUMIF('Raw Data 10-31-2018'!$A$6:$A$256,'PY TB-18'!A253,'Raw Data 10-31-2018'!D$6:D$256)</f>
        <v>0</v>
      </c>
      <c r="F253" s="5"/>
      <c r="G253" s="3">
        <f t="shared" si="10"/>
        <v>39.65</v>
      </c>
      <c r="H253" s="76" t="s">
        <v>439</v>
      </c>
    </row>
    <row r="254" spans="1:8" x14ac:dyDescent="0.75">
      <c r="A254" s="14">
        <v>7700</v>
      </c>
      <c r="B254" s="18" t="s">
        <v>695</v>
      </c>
      <c r="C254" s="3">
        <f>SUMIF('Raw Data 10-31-2018'!$A$6:$A$256,'PY TB-18'!A254,'Raw Data 10-31-2018'!C$6:C$256)</f>
        <v>0</v>
      </c>
      <c r="D254" s="4"/>
      <c r="E254" s="3">
        <f>SUMIF('Raw Data 10-31-2018'!$A$6:$A$256,'PY TB-18'!A254,'Raw Data 10-31-2018'!D$6:D$256)</f>
        <v>0</v>
      </c>
      <c r="F254" s="5"/>
      <c r="G254" s="3">
        <f t="shared" si="10"/>
        <v>0</v>
      </c>
      <c r="H254" s="76" t="s">
        <v>439</v>
      </c>
    </row>
    <row r="255" spans="1:8" x14ac:dyDescent="0.75">
      <c r="C255" s="51">
        <f>SUM(C6:C254)</f>
        <v>11107641.92</v>
      </c>
      <c r="D255" s="51"/>
      <c r="E255" s="51">
        <f>SUM(E6:E254)</f>
        <v>11107641.920000002</v>
      </c>
      <c r="G255" s="51">
        <f>SUM(G6:G254)</f>
        <v>4.7148063231361448E-10</v>
      </c>
    </row>
  </sheetData>
  <autoFilter ref="A5:H255" xr:uid="{5133B319-3E00-4091-BDBF-59597BA8C24A}"/>
  <sortState xmlns:xlrd2="http://schemas.microsoft.com/office/spreadsheetml/2017/richdata2" ref="A6:B254">
    <sortCondition ref="A6:A254"/>
  </sortState>
  <mergeCells count="3">
    <mergeCell ref="B1:D1"/>
    <mergeCell ref="B2:D2"/>
    <mergeCell ref="B3:D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61" r:id="rId4" name="FILT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40961" r:id="rId4" name="FILTER"/>
      </mc:Fallback>
    </mc:AlternateContent>
    <mc:AlternateContent xmlns:mc="http://schemas.openxmlformats.org/markup-compatibility/2006">
      <mc:Choice Requires="x14">
        <control shapeId="40962" r:id="rId6" name="HEAD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40962" r:id="rId6" name="HEADER"/>
      </mc:Fallback>
    </mc:AlternateContent>
  </control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D689-72BC-40C0-9AC3-8EB8ECFFFC08}">
  <sheetPr codeName="Sheet4">
    <tabColor rgb="FFFFFF00"/>
  </sheetPr>
  <dimension ref="A1:K255"/>
  <sheetViews>
    <sheetView zoomScaleNormal="100" workbookViewId="0">
      <pane xSplit="2" ySplit="5" topLeftCell="C137" activePane="bottomRight" state="frozenSplit"/>
      <selection pane="topRight" activeCell="C1" sqref="C1"/>
      <selection pane="bottomLeft" activeCell="A3" sqref="A3"/>
      <selection pane="bottomRight" activeCell="K151" sqref="K151"/>
    </sheetView>
  </sheetViews>
  <sheetFormatPr defaultRowHeight="14.75" x14ac:dyDescent="0.75"/>
  <cols>
    <col min="1" max="1" width="11.86328125" style="14" customWidth="1"/>
    <col min="2" max="2" width="40.26953125" style="18" customWidth="1"/>
    <col min="3" max="3" width="14.1328125" style="10" customWidth="1"/>
    <col min="4" max="4" width="2.1328125" style="10" customWidth="1"/>
    <col min="5" max="5" width="15.40625" style="10" customWidth="1"/>
    <col min="6" max="6" width="4.26953125" style="10" customWidth="1"/>
    <col min="7" max="7" width="15.40625" style="10" customWidth="1"/>
    <col min="8" max="8" width="17.54296875" bestFit="1" customWidth="1"/>
    <col min="10" max="10" width="13.40625" customWidth="1"/>
  </cols>
  <sheetData>
    <row r="1" spans="1:11" ht="18" x14ac:dyDescent="0.8">
      <c r="B1" s="195" t="s">
        <v>696</v>
      </c>
      <c r="C1" s="197"/>
      <c r="D1" s="197"/>
    </row>
    <row r="2" spans="1:11" ht="18" x14ac:dyDescent="0.8">
      <c r="B2" s="195" t="s">
        <v>697</v>
      </c>
      <c r="C2" s="197"/>
      <c r="D2" s="197"/>
    </row>
    <row r="3" spans="1:11" ht="15.75" x14ac:dyDescent="0.75">
      <c r="B3" s="196" t="str">
        <f>'Raw Data 10-31-2019'!B3:D3</f>
        <v>As of October 31, 2019</v>
      </c>
      <c r="C3" s="196"/>
      <c r="D3" s="196"/>
    </row>
    <row r="4" spans="1:11" ht="15.5" thickBot="1" x14ac:dyDescent="0.9">
      <c r="A4" s="12"/>
      <c r="B4" s="13"/>
      <c r="C4" s="15"/>
      <c r="D4" s="1"/>
      <c r="E4" s="2"/>
      <c r="F4" s="2"/>
      <c r="G4" s="2"/>
    </row>
    <row r="5" spans="1:11" s="9" customFormat="1" ht="16.25" thickTop="1" thickBot="1" x14ac:dyDescent="0.9">
      <c r="A5" s="12" t="s">
        <v>4</v>
      </c>
      <c r="B5" s="17" t="s">
        <v>3</v>
      </c>
      <c r="C5" s="7" t="s">
        <v>0</v>
      </c>
      <c r="D5" s="8"/>
      <c r="E5" s="7" t="s">
        <v>1</v>
      </c>
      <c r="F5" s="15"/>
      <c r="G5" s="15" t="s">
        <v>170</v>
      </c>
      <c r="H5" s="35" t="s">
        <v>799</v>
      </c>
    </row>
    <row r="6" spans="1:11" ht="15.5" thickTop="1" x14ac:dyDescent="0.75">
      <c r="A6" s="12">
        <v>1005</v>
      </c>
      <c r="B6" s="13" t="s">
        <v>457</v>
      </c>
      <c r="C6" s="3">
        <f>SUMIF('Raw Data 10-31-2019'!$A$6:$A$255,'Q4 TB-19'!A6,'Raw Data 10-31-2019'!C$6:C$255)</f>
        <v>0</v>
      </c>
      <c r="D6" s="4"/>
      <c r="E6" s="3">
        <f>SUMIF('Raw Data 10-31-2019'!$A$6:$A$255,'Q4 TB-19'!A6,'Raw Data 10-31-2019'!D$6:D$255)</f>
        <v>0</v>
      </c>
      <c r="F6" s="3"/>
      <c r="G6" s="3">
        <f>C6-E6</f>
        <v>0</v>
      </c>
      <c r="H6" t="s">
        <v>171</v>
      </c>
      <c r="J6" s="19"/>
    </row>
    <row r="7" spans="1:11" x14ac:dyDescent="0.75">
      <c r="A7" s="12">
        <v>1010</v>
      </c>
      <c r="B7" s="13" t="s">
        <v>458</v>
      </c>
      <c r="C7" s="3">
        <f>SUMIF('Raw Data 10-31-2019'!$A$6:$A$255,'Q4 TB-19'!A7,'Raw Data 10-31-2019'!C$6:C$255)</f>
        <v>117973.39</v>
      </c>
      <c r="D7" s="4"/>
      <c r="E7" s="3">
        <f>SUMIF('Raw Data 10-31-2019'!$A$6:$A$255,'Q4 TB-19'!A7,'Raw Data 10-31-2019'!D$6:D$255)</f>
        <v>0</v>
      </c>
      <c r="F7" s="3"/>
      <c r="G7" s="3">
        <f t="shared" ref="G7:G72" si="0">C7-E7</f>
        <v>117973.39</v>
      </c>
      <c r="H7" t="s">
        <v>171</v>
      </c>
      <c r="J7" s="19"/>
    </row>
    <row r="8" spans="1:11" x14ac:dyDescent="0.75">
      <c r="A8" s="12">
        <v>1020</v>
      </c>
      <c r="B8" s="13" t="s">
        <v>459</v>
      </c>
      <c r="C8" s="3">
        <f>SUMIF('Raw Data 10-31-2019'!$A$6:$A$255,'Q4 TB-19'!A8,'Raw Data 10-31-2019'!C$6:C$255)</f>
        <v>650.53</v>
      </c>
      <c r="D8" s="4"/>
      <c r="E8" s="3">
        <f>SUMIF('Raw Data 10-31-2019'!$A$6:$A$255,'Q4 TB-19'!A8,'Raw Data 10-31-2019'!D$6:D$255)</f>
        <v>0</v>
      </c>
      <c r="F8" s="3"/>
      <c r="G8" s="3">
        <f t="shared" si="0"/>
        <v>650.53</v>
      </c>
      <c r="H8" t="s">
        <v>171</v>
      </c>
      <c r="J8" s="19"/>
    </row>
    <row r="9" spans="1:11" x14ac:dyDescent="0.75">
      <c r="A9" s="12">
        <v>1200</v>
      </c>
      <c r="B9" s="13" t="s">
        <v>460</v>
      </c>
      <c r="C9" s="3">
        <f>SUMIF('Raw Data 10-31-2019'!$A$6:$A$255,'Q4 TB-19'!A9,'Raw Data 10-31-2019'!C$6:C$255)</f>
        <v>176115.13</v>
      </c>
      <c r="D9" s="4"/>
      <c r="E9" s="3">
        <f>SUMIF('Raw Data 10-31-2019'!$A$6:$A$255,'Q4 TB-19'!A9,'Raw Data 10-31-2019'!D$6:D$255)</f>
        <v>0</v>
      </c>
      <c r="F9" s="3"/>
      <c r="G9" s="3">
        <f t="shared" si="0"/>
        <v>176115.13</v>
      </c>
      <c r="H9" t="s">
        <v>172</v>
      </c>
      <c r="J9" s="19"/>
      <c r="K9" s="51"/>
    </row>
    <row r="10" spans="1:11" x14ac:dyDescent="0.75">
      <c r="A10" s="12">
        <v>1210</v>
      </c>
      <c r="B10" s="13" t="s">
        <v>461</v>
      </c>
      <c r="C10" s="3">
        <f>SUMIF('Raw Data 10-31-2019'!$A$6:$A$255,'Q4 TB-19'!A10,'Raw Data 10-31-2019'!C$6:C$255)</f>
        <v>0</v>
      </c>
      <c r="D10" s="4"/>
      <c r="E10" s="3">
        <f>SUMIF('Raw Data 10-31-2019'!$A$6:$A$255,'Q4 TB-19'!A10,'Raw Data 10-31-2019'!D$6:D$255)</f>
        <v>0</v>
      </c>
      <c r="F10" s="3"/>
      <c r="G10" s="3">
        <f t="shared" si="0"/>
        <v>0</v>
      </c>
      <c r="H10" t="s">
        <v>172</v>
      </c>
      <c r="J10" s="19"/>
      <c r="K10" s="51"/>
    </row>
    <row r="11" spans="1:11" x14ac:dyDescent="0.75">
      <c r="A11" s="12">
        <v>1250</v>
      </c>
      <c r="B11" s="13" t="s">
        <v>462</v>
      </c>
      <c r="C11" s="3">
        <f>SUMIF('Raw Data 10-31-2019'!$A$6:$A$255,'Q4 TB-19'!A11,'Raw Data 10-31-2019'!C$6:C$255)</f>
        <v>0</v>
      </c>
      <c r="D11" s="4"/>
      <c r="E11" s="3">
        <f>SUMIF('Raw Data 10-31-2019'!$A$6:$A$255,'Q4 TB-19'!A11,'Raw Data 10-31-2019'!D$6:D$255)</f>
        <v>1746</v>
      </c>
      <c r="F11" s="3"/>
      <c r="G11" s="3">
        <f t="shared" si="0"/>
        <v>-1746</v>
      </c>
      <c r="H11" t="s">
        <v>172</v>
      </c>
      <c r="J11" s="19"/>
      <c r="K11" s="51"/>
    </row>
    <row r="12" spans="1:11" x14ac:dyDescent="0.75">
      <c r="A12" s="12">
        <v>1280</v>
      </c>
      <c r="B12" s="13" t="s">
        <v>468</v>
      </c>
      <c r="C12" s="3">
        <f>SUMIF('Raw Data 10-31-2019'!$A$6:$A$255,'Q4 TB-19'!A12,'Raw Data 10-31-2019'!C$6:C$255)</f>
        <v>0</v>
      </c>
      <c r="D12" s="4"/>
      <c r="E12" s="3">
        <f>SUMIF('Raw Data 10-31-2019'!$A$6:$A$255,'Q4 TB-19'!A12,'Raw Data 10-31-2019'!D$6:D$255)</f>
        <v>0</v>
      </c>
      <c r="F12" s="3"/>
      <c r="G12" s="3">
        <f t="shared" si="0"/>
        <v>0</v>
      </c>
      <c r="H12" t="s">
        <v>175</v>
      </c>
      <c r="J12" s="19"/>
    </row>
    <row r="13" spans="1:11" x14ac:dyDescent="0.75">
      <c r="A13" s="12">
        <v>1290</v>
      </c>
      <c r="B13" s="13" t="s">
        <v>469</v>
      </c>
      <c r="C13" s="3">
        <f>SUMIF('Raw Data 10-31-2019'!$A$6:$A$255,'Q4 TB-19'!A13,'Raw Data 10-31-2019'!C$6:C$255)</f>
        <v>0</v>
      </c>
      <c r="D13" s="4"/>
      <c r="E13" s="3">
        <f>SUMIF('Raw Data 10-31-2019'!$A$6:$A$255,'Q4 TB-19'!A13,'Raw Data 10-31-2019'!D$6:D$255)</f>
        <v>0</v>
      </c>
      <c r="F13" s="3"/>
      <c r="G13" s="3">
        <f t="shared" si="0"/>
        <v>0</v>
      </c>
      <c r="H13" t="s">
        <v>172</v>
      </c>
      <c r="J13" s="19"/>
      <c r="K13" s="51"/>
    </row>
    <row r="14" spans="1:11" x14ac:dyDescent="0.75">
      <c r="A14" s="12">
        <v>1300</v>
      </c>
      <c r="B14" s="13" t="s">
        <v>463</v>
      </c>
      <c r="C14" s="3">
        <f>SUMIF('Raw Data 10-31-2019'!$A$6:$A$255,'Q4 TB-19'!A14,'Raw Data 10-31-2019'!C$6:C$255)</f>
        <v>0</v>
      </c>
      <c r="D14" s="4"/>
      <c r="E14" s="3">
        <f>SUMIF('Raw Data 10-31-2019'!$A$6:$A$255,'Q4 TB-19'!A14,'Raw Data 10-31-2019'!D$6:D$255)</f>
        <v>0</v>
      </c>
      <c r="F14" s="3"/>
      <c r="G14" s="3">
        <f t="shared" si="0"/>
        <v>0</v>
      </c>
      <c r="H14" t="s">
        <v>174</v>
      </c>
      <c r="J14" s="19"/>
    </row>
    <row r="15" spans="1:11" x14ac:dyDescent="0.75">
      <c r="A15" s="12">
        <v>1310</v>
      </c>
      <c r="B15" s="13" t="s">
        <v>467</v>
      </c>
      <c r="C15" s="3">
        <f>SUMIF('Raw Data 10-31-2019'!$A$6:$A$255,'Q4 TB-19'!A15,'Raw Data 10-31-2019'!C$6:C$255)</f>
        <v>0</v>
      </c>
      <c r="D15" s="4"/>
      <c r="E15" s="3">
        <f>SUMIF('Raw Data 10-31-2019'!$A$6:$A$255,'Q4 TB-19'!A15,'Raw Data 10-31-2019'!D$6:D$255)</f>
        <v>0</v>
      </c>
      <c r="F15" s="3"/>
      <c r="G15" s="3">
        <f t="shared" si="0"/>
        <v>0</v>
      </c>
      <c r="H15" t="s">
        <v>174</v>
      </c>
      <c r="J15" s="19"/>
      <c r="K15" s="19"/>
    </row>
    <row r="16" spans="1:11" x14ac:dyDescent="0.75">
      <c r="A16" s="12">
        <v>1320</v>
      </c>
      <c r="B16" s="13" t="s">
        <v>466</v>
      </c>
      <c r="C16" s="3">
        <f>SUMIF('Raw Data 10-31-2019'!$A$6:$A$255,'Q4 TB-19'!A16,'Raw Data 10-31-2019'!C$6:C$255)</f>
        <v>0</v>
      </c>
      <c r="D16" s="4"/>
      <c r="E16" s="3">
        <f>SUMIF('Raw Data 10-31-2019'!$A$6:$A$255,'Q4 TB-19'!A16,'Raw Data 10-31-2019'!D$6:D$255)</f>
        <v>0</v>
      </c>
      <c r="F16" s="3"/>
      <c r="G16" s="3">
        <f t="shared" si="0"/>
        <v>0</v>
      </c>
      <c r="H16" t="s">
        <v>174</v>
      </c>
      <c r="J16" s="19"/>
    </row>
    <row r="17" spans="1:10" x14ac:dyDescent="0.75">
      <c r="A17" s="12">
        <v>1330</v>
      </c>
      <c r="B17" s="13" t="s">
        <v>464</v>
      </c>
      <c r="C17" s="3">
        <f>SUMIF('Raw Data 10-31-2019'!$A$6:$A$255,'Q4 TB-19'!A17,'Raw Data 10-31-2019'!C$6:C$255)</f>
        <v>0</v>
      </c>
      <c r="D17" s="4"/>
      <c r="E17" s="3">
        <f>SUMIF('Raw Data 10-31-2019'!$A$6:$A$255,'Q4 TB-19'!A17,'Raw Data 10-31-2019'!D$6:D$255)</f>
        <v>0</v>
      </c>
      <c r="F17" s="3"/>
      <c r="G17" s="3">
        <f t="shared" si="0"/>
        <v>0</v>
      </c>
      <c r="H17" s="53" t="s">
        <v>174</v>
      </c>
      <c r="J17" s="19"/>
    </row>
    <row r="18" spans="1:10" x14ac:dyDescent="0.75">
      <c r="A18" s="12">
        <v>1340</v>
      </c>
      <c r="B18" s="13" t="s">
        <v>465</v>
      </c>
      <c r="C18" s="3">
        <f>SUMIF('Raw Data 10-31-2019'!$A$6:$A$255,'Q4 TB-19'!A18,'Raw Data 10-31-2019'!C$6:C$255)</f>
        <v>0</v>
      </c>
      <c r="D18" s="4"/>
      <c r="E18" s="3">
        <f>SUMIF('Raw Data 10-31-2019'!$A$6:$A$255,'Q4 TB-19'!A18,'Raw Data 10-31-2019'!D$6:D$255)</f>
        <v>0</v>
      </c>
      <c r="F18" s="3"/>
      <c r="G18" s="3">
        <f t="shared" si="0"/>
        <v>0</v>
      </c>
      <c r="H18" s="53" t="s">
        <v>174</v>
      </c>
      <c r="J18" s="19"/>
    </row>
    <row r="19" spans="1:10" x14ac:dyDescent="0.75">
      <c r="A19" s="12">
        <v>1410</v>
      </c>
      <c r="B19" s="13" t="s">
        <v>470</v>
      </c>
      <c r="C19" s="3">
        <f>SUMIF('Raw Data 10-31-2019'!$A$6:$A$255,'Q4 TB-19'!A19,'Raw Data 10-31-2019'!C$6:C$255)</f>
        <v>13000</v>
      </c>
      <c r="D19" s="4"/>
      <c r="E19" s="3">
        <f>SUMIF('Raw Data 10-31-2019'!$A$6:$A$255,'Q4 TB-19'!A19,'Raw Data 10-31-2019'!D$6:D$255)</f>
        <v>0</v>
      </c>
      <c r="F19" s="3"/>
      <c r="G19" s="3">
        <f t="shared" si="0"/>
        <v>13000</v>
      </c>
      <c r="H19" t="s">
        <v>175</v>
      </c>
      <c r="J19" s="19"/>
    </row>
    <row r="20" spans="1:10" x14ac:dyDescent="0.75">
      <c r="A20" s="12">
        <v>1420</v>
      </c>
      <c r="B20" s="13" t="s">
        <v>471</v>
      </c>
      <c r="C20" s="3">
        <f>SUMIF('Raw Data 10-31-2019'!$A$6:$A$255,'Q4 TB-19'!A20,'Raw Data 10-31-2019'!C$6:C$255)</f>
        <v>0</v>
      </c>
      <c r="D20" s="4"/>
      <c r="E20" s="3">
        <f>SUMIF('Raw Data 10-31-2019'!$A$6:$A$255,'Q4 TB-19'!A20,'Raw Data 10-31-2019'!D$6:D$255)</f>
        <v>0</v>
      </c>
      <c r="F20" s="3"/>
      <c r="G20" s="3">
        <f t="shared" si="0"/>
        <v>0</v>
      </c>
      <c r="H20" t="s">
        <v>175</v>
      </c>
      <c r="J20" s="19"/>
    </row>
    <row r="21" spans="1:10" x14ac:dyDescent="0.75">
      <c r="A21" s="12">
        <v>1430</v>
      </c>
      <c r="B21" s="13" t="s">
        <v>472</v>
      </c>
      <c r="C21" s="3">
        <f>SUMIF('Raw Data 10-31-2019'!$A$6:$A$255,'Q4 TB-19'!A21,'Raw Data 10-31-2019'!C$6:C$255)</f>
        <v>0</v>
      </c>
      <c r="D21" s="4"/>
      <c r="E21" s="3">
        <f>SUMIF('Raw Data 10-31-2019'!$A$6:$A$255,'Q4 TB-19'!A21,'Raw Data 10-31-2019'!D$6:D$255)</f>
        <v>0</v>
      </c>
      <c r="F21" s="3"/>
      <c r="G21" s="3">
        <f t="shared" si="0"/>
        <v>0</v>
      </c>
      <c r="H21" t="s">
        <v>175</v>
      </c>
      <c r="J21" s="19"/>
    </row>
    <row r="22" spans="1:10" x14ac:dyDescent="0.75">
      <c r="A22" s="12">
        <v>1710</v>
      </c>
      <c r="B22" s="13" t="s">
        <v>481</v>
      </c>
      <c r="C22" s="3">
        <f>SUMIF('Raw Data 10-31-2019'!$A$6:$A$255,'Q4 TB-19'!A22,'Raw Data 10-31-2019'!C$6:C$255)</f>
        <v>97384.17</v>
      </c>
      <c r="D22" s="4"/>
      <c r="E22" s="3">
        <f>SUMIF('Raw Data 10-31-2019'!$A$6:$A$255,'Q4 TB-19'!A22,'Raw Data 10-31-2019'!D$6:D$255)</f>
        <v>0</v>
      </c>
      <c r="F22" s="3"/>
      <c r="G22" s="3">
        <f t="shared" si="0"/>
        <v>97384.17</v>
      </c>
      <c r="H22" t="s">
        <v>173</v>
      </c>
      <c r="J22" s="19"/>
    </row>
    <row r="23" spans="1:10" x14ac:dyDescent="0.75">
      <c r="A23" s="12">
        <v>1715</v>
      </c>
      <c r="B23" s="13" t="s">
        <v>483</v>
      </c>
      <c r="C23" s="3">
        <f>SUMIF('Raw Data 10-31-2019'!$A$6:$A$255,'Q4 TB-19'!A23,'Raw Data 10-31-2019'!C$6:C$255)</f>
        <v>0</v>
      </c>
      <c r="D23" s="4"/>
      <c r="E23" s="3">
        <f>SUMIF('Raw Data 10-31-2019'!$A$6:$A$255,'Q4 TB-19'!A23,'Raw Data 10-31-2019'!D$6:D$255)</f>
        <v>0</v>
      </c>
      <c r="F23" s="3"/>
      <c r="G23" s="3">
        <f t="shared" si="0"/>
        <v>0</v>
      </c>
      <c r="H23" t="s">
        <v>173</v>
      </c>
      <c r="J23" s="19"/>
    </row>
    <row r="24" spans="1:10" x14ac:dyDescent="0.75">
      <c r="A24" s="12">
        <v>1720</v>
      </c>
      <c r="B24" s="13" t="s">
        <v>484</v>
      </c>
      <c r="C24" s="3">
        <f>SUMIF('Raw Data 10-31-2019'!$A$6:$A$255,'Q4 TB-19'!A24,'Raw Data 10-31-2019'!C$6:C$255)</f>
        <v>3937.6</v>
      </c>
      <c r="D24" s="4"/>
      <c r="E24" s="3">
        <f>SUMIF('Raw Data 10-31-2019'!$A$6:$A$255,'Q4 TB-19'!A24,'Raw Data 10-31-2019'!D$6:D$255)</f>
        <v>0</v>
      </c>
      <c r="F24" s="3"/>
      <c r="G24" s="3">
        <f t="shared" si="0"/>
        <v>3937.6</v>
      </c>
      <c r="H24" t="s">
        <v>173</v>
      </c>
      <c r="J24" s="19"/>
    </row>
    <row r="25" spans="1:10" x14ac:dyDescent="0.75">
      <c r="A25" s="12">
        <v>1725</v>
      </c>
      <c r="B25" s="13" t="s">
        <v>485</v>
      </c>
      <c r="C25" s="3">
        <f>SUMIF('Raw Data 10-31-2019'!$A$6:$A$255,'Q4 TB-19'!A25,'Raw Data 10-31-2019'!C$6:C$255)</f>
        <v>2446.33</v>
      </c>
      <c r="D25" s="4"/>
      <c r="E25" s="3">
        <f>SUMIF('Raw Data 10-31-2019'!$A$6:$A$255,'Q4 TB-19'!A25,'Raw Data 10-31-2019'!D$6:D$255)</f>
        <v>0</v>
      </c>
      <c r="F25" s="3"/>
      <c r="G25" s="3">
        <f t="shared" si="0"/>
        <v>2446.33</v>
      </c>
      <c r="H25" t="s">
        <v>173</v>
      </c>
      <c r="J25" s="19"/>
    </row>
    <row r="26" spans="1:10" x14ac:dyDescent="0.75">
      <c r="A26" s="12">
        <v>1735</v>
      </c>
      <c r="B26" s="13" t="s">
        <v>487</v>
      </c>
      <c r="C26" s="3">
        <f>SUMIF('Raw Data 10-31-2019'!$A$6:$A$255,'Q4 TB-19'!A26,'Raw Data 10-31-2019'!C$6:C$255)</f>
        <v>4977.6499999999996</v>
      </c>
      <c r="D26" s="4"/>
      <c r="E26" s="3">
        <f>SUMIF('Raw Data 10-31-2019'!$A$6:$A$255,'Q4 TB-19'!A26,'Raw Data 10-31-2019'!D$6:D$255)</f>
        <v>0</v>
      </c>
      <c r="F26" s="3"/>
      <c r="G26" s="3">
        <f t="shared" si="0"/>
        <v>4977.6499999999996</v>
      </c>
      <c r="H26" t="s">
        <v>173</v>
      </c>
      <c r="J26" s="19"/>
    </row>
    <row r="27" spans="1:10" s="53" customFormat="1" x14ac:dyDescent="0.75">
      <c r="A27" s="12">
        <v>1740</v>
      </c>
      <c r="B27" s="13" t="s">
        <v>488</v>
      </c>
      <c r="C27" s="3">
        <f>SUMIF('Raw Data 10-31-2019'!$A$6:$A$255,'Q4 TB-19'!A27,'Raw Data 10-31-2019'!C$6:C$255)</f>
        <v>0</v>
      </c>
      <c r="D27" s="4"/>
      <c r="E27" s="3">
        <f>SUMIF('Raw Data 10-31-2019'!$A$6:$A$255,'Q4 TB-19'!A27,'Raw Data 10-31-2019'!D$6:D$255)</f>
        <v>0</v>
      </c>
      <c r="F27" s="3"/>
      <c r="G27" s="3">
        <f t="shared" ref="G27" si="1">C27-E27</f>
        <v>0</v>
      </c>
      <c r="H27" s="53" t="s">
        <v>173</v>
      </c>
      <c r="J27" s="19"/>
    </row>
    <row r="28" spans="1:10" x14ac:dyDescent="0.75">
      <c r="A28" s="12">
        <v>1745</v>
      </c>
      <c r="B28" s="13" t="s">
        <v>489</v>
      </c>
      <c r="C28" s="3">
        <f>SUMIF('Raw Data 10-31-2019'!$A$6:$A$255,'Q4 TB-19'!A28,'Raw Data 10-31-2019'!C$6:C$255)</f>
        <v>312187.15000000002</v>
      </c>
      <c r="D28" s="4"/>
      <c r="E28" s="3">
        <f>SUMIF('Raw Data 10-31-2019'!$A$6:$A$255,'Q4 TB-19'!A28,'Raw Data 10-31-2019'!D$6:D$255)</f>
        <v>0</v>
      </c>
      <c r="F28" s="3"/>
      <c r="G28" s="3">
        <f t="shared" si="0"/>
        <v>312187.15000000002</v>
      </c>
      <c r="H28" t="s">
        <v>173</v>
      </c>
      <c r="J28" s="19"/>
    </row>
    <row r="29" spans="1:10" x14ac:dyDescent="0.75">
      <c r="A29" s="12">
        <v>1750</v>
      </c>
      <c r="B29" s="13" t="s">
        <v>490</v>
      </c>
      <c r="C29" s="3">
        <f>SUMIF('Raw Data 10-31-2019'!$A$6:$A$255,'Q4 TB-19'!A29,'Raw Data 10-31-2019'!C$6:C$255)</f>
        <v>10394.01</v>
      </c>
      <c r="D29" s="4"/>
      <c r="E29" s="3">
        <f>SUMIF('Raw Data 10-31-2019'!$A$6:$A$255,'Q4 TB-19'!A29,'Raw Data 10-31-2019'!D$6:D$255)</f>
        <v>0</v>
      </c>
      <c r="F29" s="3"/>
      <c r="G29" s="3">
        <f t="shared" si="0"/>
        <v>10394.01</v>
      </c>
      <c r="H29" t="s">
        <v>173</v>
      </c>
      <c r="J29" s="19"/>
    </row>
    <row r="30" spans="1:10" x14ac:dyDescent="0.75">
      <c r="A30" s="12">
        <v>1755</v>
      </c>
      <c r="B30" s="13" t="s">
        <v>491</v>
      </c>
      <c r="C30" s="3">
        <f>SUMIF('Raw Data 10-31-2019'!$A$6:$A$255,'Q4 TB-19'!A30,'Raw Data 10-31-2019'!C$6:C$255)</f>
        <v>787.91</v>
      </c>
      <c r="D30" s="4"/>
      <c r="E30" s="3">
        <f>SUMIF('Raw Data 10-31-2019'!$A$6:$A$255,'Q4 TB-19'!A30,'Raw Data 10-31-2019'!D$6:D$255)</f>
        <v>0</v>
      </c>
      <c r="F30" s="3"/>
      <c r="G30" s="3">
        <f t="shared" si="0"/>
        <v>787.91</v>
      </c>
      <c r="H30" t="s">
        <v>173</v>
      </c>
      <c r="J30" s="19"/>
    </row>
    <row r="31" spans="1:10" x14ac:dyDescent="0.75">
      <c r="A31" s="12">
        <v>1760</v>
      </c>
      <c r="B31" s="13" t="s">
        <v>492</v>
      </c>
      <c r="C31" s="3">
        <f>SUMIF('Raw Data 10-31-2019'!$A$6:$A$255,'Q4 TB-19'!A31,'Raw Data 10-31-2019'!C$6:C$255)</f>
        <v>20105.95</v>
      </c>
      <c r="D31" s="4"/>
      <c r="E31" s="3">
        <f>SUMIF('Raw Data 10-31-2019'!$A$6:$A$255,'Q4 TB-19'!A31,'Raw Data 10-31-2019'!D$6:D$255)</f>
        <v>0</v>
      </c>
      <c r="F31" s="3"/>
      <c r="G31" s="3">
        <f t="shared" si="0"/>
        <v>20105.95</v>
      </c>
      <c r="H31" t="s">
        <v>173</v>
      </c>
      <c r="J31" s="19"/>
    </row>
    <row r="32" spans="1:10" x14ac:dyDescent="0.75">
      <c r="A32" s="12">
        <v>1765</v>
      </c>
      <c r="B32" s="13" t="s">
        <v>493</v>
      </c>
      <c r="C32" s="3">
        <f>SUMIF('Raw Data 10-31-2019'!$A$6:$A$255,'Q4 TB-19'!A32,'Raw Data 10-31-2019'!C$6:C$255)</f>
        <v>1015.31</v>
      </c>
      <c r="D32" s="4"/>
      <c r="E32" s="3">
        <f>SUMIF('Raw Data 10-31-2019'!$A$6:$A$255,'Q4 TB-19'!A32,'Raw Data 10-31-2019'!D$6:D$255)</f>
        <v>0</v>
      </c>
      <c r="F32" s="3"/>
      <c r="G32" s="3">
        <f t="shared" si="0"/>
        <v>1015.31</v>
      </c>
      <c r="H32" t="s">
        <v>173</v>
      </c>
      <c r="J32" s="19"/>
    </row>
    <row r="33" spans="1:10" x14ac:dyDescent="0.75">
      <c r="A33" s="12">
        <v>1781</v>
      </c>
      <c r="B33" s="13" t="s">
        <v>482</v>
      </c>
      <c r="C33" s="3">
        <f>SUMIF('Raw Data 10-31-2019'!$A$6:$A$255,'Q4 TB-19'!A33,'Raw Data 10-31-2019'!C$6:C$255)</f>
        <v>0</v>
      </c>
      <c r="D33" s="4"/>
      <c r="E33" s="3">
        <f>SUMIF('Raw Data 10-31-2019'!$A$6:$A$255,'Q4 TB-19'!A33,'Raw Data 10-31-2019'!D$6:D$255)</f>
        <v>43024.93</v>
      </c>
      <c r="F33" s="3"/>
      <c r="G33" s="3">
        <f t="shared" si="0"/>
        <v>-43024.93</v>
      </c>
      <c r="H33" t="s">
        <v>173</v>
      </c>
      <c r="J33" s="19"/>
    </row>
    <row r="34" spans="1:10" x14ac:dyDescent="0.75">
      <c r="A34" s="12">
        <v>1782</v>
      </c>
      <c r="B34" s="13" t="s">
        <v>473</v>
      </c>
      <c r="C34" s="3">
        <f>SUMIF('Raw Data 10-31-2019'!$A$6:$A$255,'Q4 TB-19'!A34,'Raw Data 10-31-2019'!C$6:C$255)</f>
        <v>0</v>
      </c>
      <c r="D34" s="4"/>
      <c r="E34" s="3">
        <f>SUMIF('Raw Data 10-31-2019'!$A$6:$A$255,'Q4 TB-19'!A34,'Raw Data 10-31-2019'!D$6:D$255)</f>
        <v>0</v>
      </c>
      <c r="F34" s="3"/>
      <c r="G34" s="3">
        <f t="shared" si="0"/>
        <v>0</v>
      </c>
      <c r="H34" t="s">
        <v>173</v>
      </c>
      <c r="J34" s="19"/>
    </row>
    <row r="35" spans="1:10" x14ac:dyDescent="0.75">
      <c r="A35" s="12">
        <v>1783</v>
      </c>
      <c r="B35" s="13" t="s">
        <v>474</v>
      </c>
      <c r="C35" s="3">
        <f>SUMIF('Raw Data 10-31-2019'!$A$6:$A$255,'Q4 TB-19'!A35,'Raw Data 10-31-2019'!C$6:C$255)</f>
        <v>0</v>
      </c>
      <c r="D35" s="4"/>
      <c r="E35" s="3">
        <f>SUMIF('Raw Data 10-31-2019'!$A$6:$A$255,'Q4 TB-19'!A35,'Raw Data 10-31-2019'!D$6:D$255)</f>
        <v>984.39</v>
      </c>
      <c r="F35" s="3"/>
      <c r="G35" s="3">
        <f t="shared" si="0"/>
        <v>-984.39</v>
      </c>
      <c r="H35" t="s">
        <v>173</v>
      </c>
      <c r="J35" s="19"/>
    </row>
    <row r="36" spans="1:10" x14ac:dyDescent="0.75">
      <c r="A36" s="12">
        <v>1784</v>
      </c>
      <c r="B36" s="13" t="s">
        <v>486</v>
      </c>
      <c r="C36" s="3">
        <f>SUMIF('Raw Data 10-31-2019'!$A$6:$A$255,'Q4 TB-19'!A36,'Raw Data 10-31-2019'!C$6:C$255)</f>
        <v>0</v>
      </c>
      <c r="D36" s="4"/>
      <c r="E36" s="3">
        <f>SUMIF('Raw Data 10-31-2019'!$A$6:$A$255,'Q4 TB-19'!A36,'Raw Data 10-31-2019'!D$6:D$255)</f>
        <v>436.78</v>
      </c>
      <c r="F36" s="3"/>
      <c r="G36" s="3">
        <f t="shared" si="0"/>
        <v>-436.78</v>
      </c>
      <c r="H36" t="s">
        <v>173</v>
      </c>
      <c r="J36" s="19"/>
    </row>
    <row r="37" spans="1:10" x14ac:dyDescent="0.75">
      <c r="A37" s="12">
        <v>1785</v>
      </c>
      <c r="B37" s="13" t="s">
        <v>476</v>
      </c>
      <c r="C37" s="3">
        <f>SUMIF('Raw Data 10-31-2019'!$A$6:$A$255,'Q4 TB-19'!A37,'Raw Data 10-31-2019'!C$6:C$255)</f>
        <v>0</v>
      </c>
      <c r="D37" s="4"/>
      <c r="E37" s="3">
        <f>SUMIF('Raw Data 10-31-2019'!$A$6:$A$255,'Q4 TB-19'!A37,'Raw Data 10-31-2019'!D$6:D$255)</f>
        <v>4128.68</v>
      </c>
      <c r="F37" s="3"/>
      <c r="G37" s="3">
        <f t="shared" si="0"/>
        <v>-4128.68</v>
      </c>
      <c r="H37" t="s">
        <v>173</v>
      </c>
      <c r="J37" s="19"/>
    </row>
    <row r="38" spans="1:10" x14ac:dyDescent="0.75">
      <c r="A38" s="12">
        <v>1786</v>
      </c>
      <c r="B38" s="13" t="s">
        <v>475</v>
      </c>
      <c r="C38" s="3">
        <f>SUMIF('Raw Data 10-31-2019'!$A$6:$A$255,'Q4 TB-19'!A38,'Raw Data 10-31-2019'!C$6:C$255)</f>
        <v>0</v>
      </c>
      <c r="D38" s="4"/>
      <c r="E38" s="3">
        <f>SUMIF('Raw Data 10-31-2019'!$A$6:$A$255,'Q4 TB-19'!A38,'Raw Data 10-31-2019'!D$6:D$255)</f>
        <v>0</v>
      </c>
      <c r="F38" s="3"/>
      <c r="G38" s="3">
        <f t="shared" si="0"/>
        <v>0</v>
      </c>
      <c r="H38" t="s">
        <v>173</v>
      </c>
      <c r="J38" s="19"/>
    </row>
    <row r="39" spans="1:10" x14ac:dyDescent="0.75">
      <c r="A39" s="12">
        <v>1787</v>
      </c>
      <c r="B39" s="13" t="s">
        <v>477</v>
      </c>
      <c r="C39" s="3">
        <f>SUMIF('Raw Data 10-31-2019'!$A$6:$A$255,'Q4 TB-19'!A39,'Raw Data 10-31-2019'!C$6:C$255)</f>
        <v>0</v>
      </c>
      <c r="D39" s="4"/>
      <c r="E39" s="3">
        <f>SUMIF('Raw Data 10-31-2019'!$A$6:$A$255,'Q4 TB-19'!A39,'Raw Data 10-31-2019'!D$6:D$255)</f>
        <v>176397.68</v>
      </c>
      <c r="F39" s="3"/>
      <c r="G39" s="3">
        <f t="shared" si="0"/>
        <v>-176397.68</v>
      </c>
      <c r="H39" t="s">
        <v>173</v>
      </c>
      <c r="J39" s="19"/>
    </row>
    <row r="40" spans="1:10" x14ac:dyDescent="0.75">
      <c r="A40" s="12" t="s">
        <v>863</v>
      </c>
      <c r="B40" s="13" t="s">
        <v>864</v>
      </c>
      <c r="C40" s="3">
        <f>SUMIF('Raw Data 10-31-2019'!$A$6:$A$255,'Q4 TB-19'!A40,'Raw Data 10-31-2019'!C$6:C$255)</f>
        <v>0</v>
      </c>
      <c r="D40" s="4"/>
      <c r="E40" s="3">
        <f>SUMIF('Raw Data 10-31-2019'!$A$6:$A$255,'Q4 TB-19'!A40,'Raw Data 10-31-2019'!D$6:D$255)</f>
        <v>10394.01</v>
      </c>
      <c r="F40" s="3"/>
      <c r="G40" s="3">
        <f t="shared" si="0"/>
        <v>-10394.01</v>
      </c>
      <c r="H40" t="s">
        <v>173</v>
      </c>
      <c r="J40" s="19"/>
    </row>
    <row r="41" spans="1:10" x14ac:dyDescent="0.75">
      <c r="A41" s="12">
        <v>1789</v>
      </c>
      <c r="B41" s="13" t="s">
        <v>478</v>
      </c>
      <c r="C41" s="3">
        <f>SUMIF('Raw Data 10-31-2019'!$A$6:$A$255,'Q4 TB-19'!A41,'Raw Data 10-31-2019'!C$6:C$255)</f>
        <v>0</v>
      </c>
      <c r="D41" s="4"/>
      <c r="E41" s="3">
        <f>SUMIF('Raw Data 10-31-2019'!$A$6:$A$255,'Q4 TB-19'!A41,'Raw Data 10-31-2019'!D$6:D$255)</f>
        <v>787.91</v>
      </c>
      <c r="F41" s="3"/>
      <c r="G41" s="3">
        <f t="shared" si="0"/>
        <v>-787.91</v>
      </c>
      <c r="H41" t="s">
        <v>173</v>
      </c>
      <c r="J41" s="19"/>
    </row>
    <row r="42" spans="1:10" x14ac:dyDescent="0.75">
      <c r="A42" s="12">
        <v>1790</v>
      </c>
      <c r="B42" s="13" t="s">
        <v>479</v>
      </c>
      <c r="C42" s="3">
        <f>SUMIF('Raw Data 10-31-2019'!$A$6:$A$255,'Q4 TB-19'!A42,'Raw Data 10-31-2019'!C$6:C$255)</f>
        <v>0</v>
      </c>
      <c r="D42" s="4"/>
      <c r="E42" s="3">
        <f>SUMIF('Raw Data 10-31-2019'!$A$6:$A$255,'Q4 TB-19'!A42,'Raw Data 10-31-2019'!D$6:D$255)</f>
        <v>1015.31</v>
      </c>
      <c r="F42" s="3"/>
      <c r="G42" s="3">
        <f t="shared" si="0"/>
        <v>-1015.31</v>
      </c>
      <c r="H42" t="s">
        <v>173</v>
      </c>
      <c r="J42" s="19"/>
    </row>
    <row r="43" spans="1:10" x14ac:dyDescent="0.75">
      <c r="A43" s="12">
        <v>1791</v>
      </c>
      <c r="B43" s="13" t="s">
        <v>480</v>
      </c>
      <c r="C43" s="3">
        <f>SUMIF('Raw Data 10-31-2019'!$A$6:$A$255,'Q4 TB-19'!A43,'Raw Data 10-31-2019'!C$6:C$255)</f>
        <v>0</v>
      </c>
      <c r="D43" s="4"/>
      <c r="E43" s="3">
        <f>SUMIF('Raw Data 10-31-2019'!$A$6:$A$255,'Q4 TB-19'!A43,'Raw Data 10-31-2019'!D$6:D$255)</f>
        <v>19794.990000000002</v>
      </c>
      <c r="F43" s="3"/>
      <c r="G43" s="3">
        <f t="shared" si="0"/>
        <v>-19794.990000000002</v>
      </c>
      <c r="H43" t="s">
        <v>173</v>
      </c>
      <c r="J43" s="19"/>
    </row>
    <row r="44" spans="1:10" s="85" customFormat="1" x14ac:dyDescent="0.75">
      <c r="A44" s="12" t="s">
        <v>67</v>
      </c>
      <c r="B44" s="13" t="s">
        <v>921</v>
      </c>
      <c r="C44" s="3">
        <f>SUMIF('Raw Data 10-31-2019'!$A$6:$A$255,'Q4 TB-19'!A44,'Raw Data 10-31-2019'!C$6:C$255)</f>
        <v>62155</v>
      </c>
      <c r="D44" s="4"/>
      <c r="E44" s="3">
        <f>SUMIF('Raw Data 10-31-2019'!$A$6:$A$255,'Q4 TB-19'!A44,'Raw Data 10-31-2019'!D$6:D$255)</f>
        <v>0</v>
      </c>
      <c r="F44" s="3"/>
      <c r="G44" s="3">
        <f t="shared" ref="G44" si="2">C44-E44</f>
        <v>62155</v>
      </c>
      <c r="H44" s="85" t="s">
        <v>922</v>
      </c>
      <c r="J44" s="19"/>
    </row>
    <row r="45" spans="1:10" x14ac:dyDescent="0.75">
      <c r="A45" s="12">
        <v>1820</v>
      </c>
      <c r="B45" s="13" t="s">
        <v>495</v>
      </c>
      <c r="C45" s="3">
        <f>SUMIF('Raw Data 10-31-2019'!$A$6:$A$255,'Q4 TB-19'!A45,'Raw Data 10-31-2019'!C$6:C$255)</f>
        <v>0</v>
      </c>
      <c r="D45" s="4"/>
      <c r="E45" s="3">
        <f>SUMIF('Raw Data 10-31-2019'!$A$6:$A$255,'Q4 TB-19'!A45,'Raw Data 10-31-2019'!D$6:D$255)</f>
        <v>0</v>
      </c>
      <c r="F45" s="3"/>
      <c r="G45" s="3">
        <f t="shared" si="0"/>
        <v>0</v>
      </c>
      <c r="H45" s="53" t="s">
        <v>444</v>
      </c>
      <c r="J45" s="19"/>
    </row>
    <row r="46" spans="1:10" x14ac:dyDescent="0.75">
      <c r="A46" s="12">
        <v>1830</v>
      </c>
      <c r="B46" s="13" t="s">
        <v>496</v>
      </c>
      <c r="C46" s="3">
        <f>SUMIF('Raw Data 10-31-2019'!$A$6:$A$255,'Q4 TB-19'!A46,'Raw Data 10-31-2019'!C$6:C$255)</f>
        <v>0</v>
      </c>
      <c r="D46" s="4"/>
      <c r="E46" s="3">
        <f>SUMIF('Raw Data 10-31-2019'!$A$6:$A$255,'Q4 TB-19'!A46,'Raw Data 10-31-2019'!D$6:D$255)</f>
        <v>0</v>
      </c>
      <c r="F46" s="3"/>
      <c r="G46" s="3">
        <f t="shared" si="0"/>
        <v>0</v>
      </c>
      <c r="H46" s="53" t="s">
        <v>444</v>
      </c>
      <c r="J46" s="19"/>
    </row>
    <row r="47" spans="1:10" x14ac:dyDescent="0.75">
      <c r="A47" s="12">
        <v>1840</v>
      </c>
      <c r="B47" s="13" t="s">
        <v>497</v>
      </c>
      <c r="C47" s="3">
        <f>SUMIF('Raw Data 10-31-2019'!$A$6:$A$255,'Q4 TB-19'!A47,'Raw Data 10-31-2019'!C$6:C$255)</f>
        <v>0</v>
      </c>
      <c r="D47" s="4"/>
      <c r="E47" s="3">
        <f>SUMIF('Raw Data 10-31-2019'!$A$6:$A$255,'Q4 TB-19'!A47,'Raw Data 10-31-2019'!D$6:D$255)</f>
        <v>0</v>
      </c>
      <c r="F47" s="3"/>
      <c r="G47" s="3">
        <f t="shared" si="0"/>
        <v>0</v>
      </c>
      <c r="H47" s="53" t="s">
        <v>444</v>
      </c>
      <c r="J47" s="19"/>
    </row>
    <row r="48" spans="1:10" x14ac:dyDescent="0.75">
      <c r="A48" s="12">
        <v>1900</v>
      </c>
      <c r="B48" s="13" t="s">
        <v>498</v>
      </c>
      <c r="C48" s="3">
        <f>SUMIF('Raw Data 10-31-2019'!$A$6:$A$255,'Q4 TB-19'!A48,'Raw Data 10-31-2019'!C$6:C$255)</f>
        <v>0</v>
      </c>
      <c r="D48" s="4"/>
      <c r="E48" s="3">
        <f>SUMIF('Raw Data 10-31-2019'!$A$6:$A$255,'Q4 TB-19'!A48,'Raw Data 10-31-2019'!D$6:D$255)</f>
        <v>0</v>
      </c>
      <c r="F48" s="3"/>
      <c r="G48" s="3">
        <f t="shared" si="0"/>
        <v>0</v>
      </c>
      <c r="H48" s="53" t="s">
        <v>443</v>
      </c>
      <c r="J48" s="19"/>
    </row>
    <row r="49" spans="1:10" x14ac:dyDescent="0.75">
      <c r="A49" s="12">
        <v>1902</v>
      </c>
      <c r="B49" s="13" t="s">
        <v>499</v>
      </c>
      <c r="C49" s="3">
        <f>SUMIF('Raw Data 10-31-2019'!$A$6:$A$255,'Q4 TB-19'!A49,'Raw Data 10-31-2019'!C$6:C$255)</f>
        <v>0</v>
      </c>
      <c r="D49" s="4"/>
      <c r="E49" s="3">
        <f>SUMIF('Raw Data 10-31-2019'!$A$6:$A$255,'Q4 TB-19'!A49,'Raw Data 10-31-2019'!D$6:D$255)</f>
        <v>0</v>
      </c>
      <c r="F49" s="3"/>
      <c r="G49" s="3">
        <f t="shared" si="0"/>
        <v>0</v>
      </c>
      <c r="H49" t="s">
        <v>443</v>
      </c>
      <c r="J49" s="19"/>
    </row>
    <row r="50" spans="1:10" x14ac:dyDescent="0.75">
      <c r="A50" s="12">
        <v>1904</v>
      </c>
      <c r="B50" s="13" t="s">
        <v>500</v>
      </c>
      <c r="C50" s="3">
        <f>SUMIF('Raw Data 10-31-2019'!$A$6:$A$255,'Q4 TB-19'!A50,'Raw Data 10-31-2019'!C$6:C$255)</f>
        <v>0</v>
      </c>
      <c r="D50" s="4"/>
      <c r="E50" s="3">
        <f>SUMIF('Raw Data 10-31-2019'!$A$6:$A$255,'Q4 TB-19'!A50,'Raw Data 10-31-2019'!D$6:D$255)</f>
        <v>0</v>
      </c>
      <c r="F50" s="3"/>
      <c r="G50" s="3">
        <f t="shared" si="0"/>
        <v>0</v>
      </c>
      <c r="H50" t="s">
        <v>176</v>
      </c>
      <c r="J50" s="19"/>
    </row>
    <row r="51" spans="1:10" x14ac:dyDescent="0.75">
      <c r="A51" s="12">
        <v>1906</v>
      </c>
      <c r="B51" s="13" t="s">
        <v>501</v>
      </c>
      <c r="C51" s="3">
        <f>SUMIF('Raw Data 10-31-2019'!$A$6:$A$255,'Q4 TB-19'!A51,'Raw Data 10-31-2019'!C$6:C$255)</f>
        <v>0</v>
      </c>
      <c r="D51" s="4"/>
      <c r="E51" s="3">
        <f>SUMIF('Raw Data 10-31-2019'!$A$6:$A$255,'Q4 TB-19'!A51,'Raw Data 10-31-2019'!D$6:D$255)</f>
        <v>0</v>
      </c>
      <c r="F51" s="3"/>
      <c r="G51" s="3">
        <f t="shared" si="0"/>
        <v>0</v>
      </c>
      <c r="H51" t="s">
        <v>176</v>
      </c>
      <c r="J51" s="19"/>
    </row>
    <row r="52" spans="1:10" x14ac:dyDescent="0.75">
      <c r="A52" s="12">
        <v>1908</v>
      </c>
      <c r="B52" s="13" t="s">
        <v>502</v>
      </c>
      <c r="C52" s="3">
        <f>SUMIF('Raw Data 10-31-2019'!$A$6:$A$255,'Q4 TB-19'!A52,'Raw Data 10-31-2019'!C$6:C$255)</f>
        <v>0</v>
      </c>
      <c r="D52" s="4"/>
      <c r="E52" s="3">
        <f>SUMIF('Raw Data 10-31-2019'!$A$6:$A$255,'Q4 TB-19'!A52,'Raw Data 10-31-2019'!D$6:D$255)</f>
        <v>0</v>
      </c>
      <c r="F52" s="3"/>
      <c r="G52" s="3">
        <f t="shared" si="0"/>
        <v>0</v>
      </c>
      <c r="H52" t="s">
        <v>176</v>
      </c>
      <c r="J52" s="19"/>
    </row>
    <row r="53" spans="1:10" x14ac:dyDescent="0.75">
      <c r="A53" s="12">
        <v>1910</v>
      </c>
      <c r="B53" s="13" t="s">
        <v>503</v>
      </c>
      <c r="C53" s="3">
        <f>SUMIF('Raw Data 10-31-2019'!$A$6:$A$255,'Q4 TB-19'!A53,'Raw Data 10-31-2019'!C$6:C$255)</f>
        <v>0</v>
      </c>
      <c r="D53" s="4"/>
      <c r="E53" s="3">
        <f>SUMIF('Raw Data 10-31-2019'!$A$6:$A$255,'Q4 TB-19'!A53,'Raw Data 10-31-2019'!D$6:D$255)</f>
        <v>0</v>
      </c>
      <c r="F53" s="3"/>
      <c r="G53" s="3">
        <f t="shared" si="0"/>
        <v>0</v>
      </c>
      <c r="H53" t="s">
        <v>443</v>
      </c>
      <c r="J53" s="19"/>
    </row>
    <row r="54" spans="1:10" x14ac:dyDescent="0.75">
      <c r="A54" s="12">
        <v>1912</v>
      </c>
      <c r="B54" s="13" t="s">
        <v>504</v>
      </c>
      <c r="C54" s="3">
        <f>SUMIF('Raw Data 10-31-2019'!$A$6:$A$255,'Q4 TB-19'!A54,'Raw Data 10-31-2019'!C$6:C$255)</f>
        <v>0</v>
      </c>
      <c r="D54" s="4"/>
      <c r="E54" s="3">
        <f>SUMIF('Raw Data 10-31-2019'!$A$6:$A$255,'Q4 TB-19'!A54,'Raw Data 10-31-2019'!D$6:D$255)</f>
        <v>0</v>
      </c>
      <c r="F54" s="3"/>
      <c r="G54" s="3">
        <f t="shared" si="0"/>
        <v>0</v>
      </c>
      <c r="H54" t="s">
        <v>176</v>
      </c>
      <c r="J54" s="19"/>
    </row>
    <row r="55" spans="1:10" x14ac:dyDescent="0.75">
      <c r="A55" s="12">
        <v>1914</v>
      </c>
      <c r="B55" s="13" t="s">
        <v>505</v>
      </c>
      <c r="C55" s="3">
        <f>SUMIF('Raw Data 10-31-2019'!$A$6:$A$255,'Q4 TB-19'!A55,'Raw Data 10-31-2019'!C$6:C$255)</f>
        <v>0</v>
      </c>
      <c r="D55" s="4"/>
      <c r="E55" s="3">
        <f>SUMIF('Raw Data 10-31-2019'!$A$6:$A$255,'Q4 TB-19'!A55,'Raw Data 10-31-2019'!D$6:D$255)</f>
        <v>0</v>
      </c>
      <c r="F55" s="3"/>
      <c r="G55" s="3">
        <f t="shared" si="0"/>
        <v>0</v>
      </c>
      <c r="H55" t="s">
        <v>176</v>
      </c>
      <c r="J55" s="19"/>
    </row>
    <row r="56" spans="1:10" x14ac:dyDescent="0.75">
      <c r="A56" s="12">
        <v>1916</v>
      </c>
      <c r="B56" s="13" t="s">
        <v>506</v>
      </c>
      <c r="C56" s="3">
        <f>SUMIF('Raw Data 10-31-2019'!$A$6:$A$255,'Q4 TB-19'!A56,'Raw Data 10-31-2019'!C$6:C$255)</f>
        <v>0</v>
      </c>
      <c r="D56" s="4"/>
      <c r="E56" s="3">
        <f>SUMIF('Raw Data 10-31-2019'!$A$6:$A$255,'Q4 TB-19'!A56,'Raw Data 10-31-2019'!D$6:D$255)</f>
        <v>0</v>
      </c>
      <c r="F56" s="3"/>
      <c r="G56" s="3">
        <f t="shared" si="0"/>
        <v>0</v>
      </c>
      <c r="H56" t="s">
        <v>176</v>
      </c>
      <c r="J56" s="19"/>
    </row>
    <row r="57" spans="1:10" x14ac:dyDescent="0.75">
      <c r="A57" s="12">
        <v>1918</v>
      </c>
      <c r="B57" s="13" t="s">
        <v>507</v>
      </c>
      <c r="C57" s="3">
        <f>SUMIF('Raw Data 10-31-2019'!$A$6:$A$255,'Q4 TB-19'!A57,'Raw Data 10-31-2019'!C$6:C$255)</f>
        <v>0</v>
      </c>
      <c r="D57" s="4"/>
      <c r="E57" s="3">
        <f>SUMIF('Raw Data 10-31-2019'!$A$6:$A$255,'Q4 TB-19'!A57,'Raw Data 10-31-2019'!D$6:D$255)</f>
        <v>0</v>
      </c>
      <c r="F57" s="3"/>
      <c r="G57" s="3">
        <f t="shared" si="0"/>
        <v>0</v>
      </c>
      <c r="H57" t="s">
        <v>176</v>
      </c>
      <c r="J57" s="19"/>
    </row>
    <row r="58" spans="1:10" x14ac:dyDescent="0.75">
      <c r="A58" s="12">
        <v>1920</v>
      </c>
      <c r="B58" s="13" t="s">
        <v>508</v>
      </c>
      <c r="C58" s="3">
        <f>SUMIF('Raw Data 10-31-2019'!$A$6:$A$255,'Q4 TB-19'!A58,'Raw Data 10-31-2019'!C$6:C$255)</f>
        <v>0</v>
      </c>
      <c r="D58" s="4"/>
      <c r="E58" s="3">
        <f>SUMIF('Raw Data 10-31-2019'!$A$6:$A$255,'Q4 TB-19'!A58,'Raw Data 10-31-2019'!D$6:D$255)</f>
        <v>0</v>
      </c>
      <c r="F58" s="3"/>
      <c r="G58" s="3">
        <f t="shared" si="0"/>
        <v>0</v>
      </c>
      <c r="H58" t="s">
        <v>176</v>
      </c>
      <c r="J58" s="19"/>
    </row>
    <row r="59" spans="1:10" x14ac:dyDescent="0.75">
      <c r="A59" s="12">
        <v>1922</v>
      </c>
      <c r="B59" s="13" t="s">
        <v>509</v>
      </c>
      <c r="C59" s="3">
        <f>SUMIF('Raw Data 10-31-2019'!$A$6:$A$255,'Q4 TB-19'!A59,'Raw Data 10-31-2019'!C$6:C$255)</f>
        <v>0</v>
      </c>
      <c r="D59" s="4"/>
      <c r="E59" s="3">
        <f>SUMIF('Raw Data 10-31-2019'!$A$6:$A$255,'Q4 TB-19'!A59,'Raw Data 10-31-2019'!D$6:D$255)</f>
        <v>0</v>
      </c>
      <c r="F59" s="3"/>
      <c r="G59" s="3">
        <f t="shared" si="0"/>
        <v>0</v>
      </c>
      <c r="H59" t="s">
        <v>176</v>
      </c>
      <c r="J59" s="19"/>
    </row>
    <row r="60" spans="1:10" x14ac:dyDescent="0.75">
      <c r="A60" s="12">
        <v>1924</v>
      </c>
      <c r="B60" s="13" t="s">
        <v>510</v>
      </c>
      <c r="C60" s="3">
        <f>SUMIF('Raw Data 10-31-2019'!$A$6:$A$255,'Q4 TB-19'!A60,'Raw Data 10-31-2019'!C$6:C$255)</f>
        <v>0</v>
      </c>
      <c r="D60" s="4"/>
      <c r="E60" s="3">
        <f>SUMIF('Raw Data 10-31-2019'!$A$6:$A$255,'Q4 TB-19'!A60,'Raw Data 10-31-2019'!D$6:D$255)</f>
        <v>0</v>
      </c>
      <c r="F60" s="3"/>
      <c r="G60" s="3">
        <f t="shared" si="0"/>
        <v>0</v>
      </c>
      <c r="H60" t="s">
        <v>176</v>
      </c>
      <c r="J60" s="19"/>
    </row>
    <row r="61" spans="1:10" x14ac:dyDescent="0.75">
      <c r="A61" s="12">
        <v>1926</v>
      </c>
      <c r="B61" s="13" t="s">
        <v>511</v>
      </c>
      <c r="C61" s="3">
        <f>SUMIF('Raw Data 10-31-2019'!$A$6:$A$255,'Q4 TB-19'!A61,'Raw Data 10-31-2019'!C$6:C$255)</f>
        <v>0</v>
      </c>
      <c r="D61" s="4"/>
      <c r="E61" s="3">
        <f>SUMIF('Raw Data 10-31-2019'!$A$6:$A$255,'Q4 TB-19'!A61,'Raw Data 10-31-2019'!D$6:D$255)</f>
        <v>0</v>
      </c>
      <c r="F61" s="3"/>
      <c r="G61" s="3">
        <f t="shared" si="0"/>
        <v>0</v>
      </c>
      <c r="H61" t="s">
        <v>176</v>
      </c>
      <c r="J61" s="19"/>
    </row>
    <row r="62" spans="1:10" x14ac:dyDescent="0.75">
      <c r="A62" s="12">
        <v>1928</v>
      </c>
      <c r="B62" s="13" t="s">
        <v>512</v>
      </c>
      <c r="C62" s="3">
        <f>SUMIF('Raw Data 10-31-2019'!$A$6:$A$255,'Q4 TB-19'!A62,'Raw Data 10-31-2019'!C$6:C$255)</f>
        <v>43132.88</v>
      </c>
      <c r="D62" s="4"/>
      <c r="E62" s="3">
        <f>SUMIF('Raw Data 10-31-2019'!$A$6:$A$255,'Q4 TB-19'!A62,'Raw Data 10-31-2019'!D$6:D$255)</f>
        <v>0</v>
      </c>
      <c r="F62" s="3"/>
      <c r="G62" s="3">
        <f t="shared" si="0"/>
        <v>43132.88</v>
      </c>
      <c r="H62" t="s">
        <v>176</v>
      </c>
      <c r="J62" s="19"/>
    </row>
    <row r="63" spans="1:10" x14ac:dyDescent="0.75">
      <c r="A63" s="12">
        <v>1930</v>
      </c>
      <c r="B63" s="13" t="s">
        <v>513</v>
      </c>
      <c r="C63" s="3">
        <f>SUMIF('Raw Data 10-31-2019'!$A$6:$A$255,'Q4 TB-19'!A63,'Raw Data 10-31-2019'!C$6:C$255)</f>
        <v>0</v>
      </c>
      <c r="D63" s="4"/>
      <c r="E63" s="3">
        <f>SUMIF('Raw Data 10-31-2019'!$A$6:$A$255,'Q4 TB-19'!A63,'Raw Data 10-31-2019'!D$6:D$255)</f>
        <v>0</v>
      </c>
      <c r="F63" s="3"/>
      <c r="G63" s="3">
        <f t="shared" si="0"/>
        <v>0</v>
      </c>
      <c r="H63" t="s">
        <v>176</v>
      </c>
      <c r="J63" s="19"/>
    </row>
    <row r="64" spans="1:10" x14ac:dyDescent="0.75">
      <c r="A64" s="12">
        <v>1932</v>
      </c>
      <c r="B64" s="13" t="s">
        <v>514</v>
      </c>
      <c r="C64" s="3">
        <f>SUMIF('Raw Data 10-31-2019'!$A$6:$A$255,'Q4 TB-19'!A64,'Raw Data 10-31-2019'!C$6:C$255)</f>
        <v>0</v>
      </c>
      <c r="D64" s="4"/>
      <c r="E64" s="3">
        <f>SUMIF('Raw Data 10-31-2019'!$A$6:$A$255,'Q4 TB-19'!A64,'Raw Data 10-31-2019'!D$6:D$255)</f>
        <v>0</v>
      </c>
      <c r="F64" s="3"/>
      <c r="G64" s="3">
        <f t="shared" si="0"/>
        <v>0</v>
      </c>
      <c r="H64" t="s">
        <v>176</v>
      </c>
      <c r="J64" s="19"/>
    </row>
    <row r="65" spans="1:10" x14ac:dyDescent="0.75">
      <c r="A65" s="12">
        <v>1950</v>
      </c>
      <c r="B65" s="13" t="s">
        <v>494</v>
      </c>
      <c r="C65" s="3">
        <f>SUMIF('Raw Data 10-31-2019'!$A$6:$A$255,'Q4 TB-19'!A65,'Raw Data 10-31-2019'!C$6:C$255)</f>
        <v>0</v>
      </c>
      <c r="D65" s="4"/>
      <c r="E65" s="3">
        <f>SUMIF('Raw Data 10-31-2019'!$A$6:$A$255,'Q4 TB-19'!A65,'Raw Data 10-31-2019'!D$6:D$255)</f>
        <v>43132.89</v>
      </c>
      <c r="F65" s="3"/>
      <c r="G65" s="3">
        <f t="shared" si="0"/>
        <v>-43132.89</v>
      </c>
      <c r="H65" t="s">
        <v>176</v>
      </c>
      <c r="J65" s="19"/>
    </row>
    <row r="66" spans="1:10" x14ac:dyDescent="0.75">
      <c r="A66" s="12">
        <v>1960</v>
      </c>
      <c r="B66" s="13" t="s">
        <v>515</v>
      </c>
      <c r="C66" s="3">
        <f>SUMIF('Raw Data 10-31-2019'!$A$6:$A$255,'Q4 TB-19'!A66,'Raw Data 10-31-2019'!C$6:C$255)</f>
        <v>0</v>
      </c>
      <c r="D66" s="4"/>
      <c r="E66" s="3">
        <f>SUMIF('Raw Data 10-31-2019'!$A$6:$A$255,'Q4 TB-19'!A66,'Raw Data 10-31-2019'!D$6:D$255)</f>
        <v>0</v>
      </c>
      <c r="F66" s="3"/>
      <c r="G66" s="3">
        <f t="shared" si="0"/>
        <v>0</v>
      </c>
      <c r="H66" t="s">
        <v>444</v>
      </c>
      <c r="J66" s="19"/>
    </row>
    <row r="67" spans="1:10" x14ac:dyDescent="0.75">
      <c r="A67" s="12">
        <v>1980</v>
      </c>
      <c r="B67" s="13" t="s">
        <v>516</v>
      </c>
      <c r="C67" s="3">
        <f>SUMIF('Raw Data 10-31-2019'!$A$6:$A$255,'Q4 TB-19'!A67,'Raw Data 10-31-2019'!C$6:C$255)</f>
        <v>0</v>
      </c>
      <c r="D67" s="4"/>
      <c r="E67" s="3">
        <f>SUMIF('Raw Data 10-31-2019'!$A$6:$A$255,'Q4 TB-19'!A67,'Raw Data 10-31-2019'!D$6:D$255)</f>
        <v>0</v>
      </c>
      <c r="F67" s="3"/>
      <c r="G67" s="3">
        <f t="shared" si="0"/>
        <v>0</v>
      </c>
      <c r="H67" t="s">
        <v>444</v>
      </c>
      <c r="J67" s="19"/>
    </row>
    <row r="68" spans="1:10" x14ac:dyDescent="0.75">
      <c r="A68" s="12">
        <v>2000</v>
      </c>
      <c r="B68" s="13" t="s">
        <v>517</v>
      </c>
      <c r="C68" s="3">
        <f>SUMIF('Raw Data 10-31-2019'!$A$6:$A$255,'Q4 TB-19'!A68,'Raw Data 10-31-2019'!C$6:C$255)</f>
        <v>0</v>
      </c>
      <c r="D68" s="4"/>
      <c r="E68" s="3">
        <f>SUMIF('Raw Data 10-31-2019'!$A$6:$A$255,'Q4 TB-19'!A68,'Raw Data 10-31-2019'!D$6:D$255)</f>
        <v>52122.879999999997</v>
      </c>
      <c r="F68" s="3"/>
      <c r="G68" s="3">
        <f t="shared" si="0"/>
        <v>-52122.879999999997</v>
      </c>
      <c r="H68" t="s">
        <v>177</v>
      </c>
      <c r="J68" s="19"/>
    </row>
    <row r="69" spans="1:10" x14ac:dyDescent="0.75">
      <c r="A69" s="12">
        <v>2010</v>
      </c>
      <c r="B69" s="13" t="s">
        <v>524</v>
      </c>
      <c r="C69" s="3">
        <f>SUMIF('Raw Data 10-31-2019'!$A$6:$A$255,'Q4 TB-19'!A69,'Raw Data 10-31-2019'!C$6:C$255)</f>
        <v>0</v>
      </c>
      <c r="D69" s="4"/>
      <c r="E69" s="3">
        <f>SUMIF('Raw Data 10-31-2019'!$A$6:$A$255,'Q4 TB-19'!A69,'Raw Data 10-31-2019'!D$6:D$255)</f>
        <v>0</v>
      </c>
      <c r="F69" s="3"/>
      <c r="G69" s="3">
        <f t="shared" si="0"/>
        <v>0</v>
      </c>
      <c r="H69" s="53" t="s">
        <v>177</v>
      </c>
      <c r="J69" s="19"/>
    </row>
    <row r="70" spans="1:10" x14ac:dyDescent="0.75">
      <c r="A70" s="12">
        <v>2020</v>
      </c>
      <c r="B70" s="13" t="s">
        <v>525</v>
      </c>
      <c r="C70" s="3">
        <f>SUMIF('Raw Data 10-31-2019'!$A$6:$A$255,'Q4 TB-19'!A70,'Raw Data 10-31-2019'!C$6:C$255)</f>
        <v>0</v>
      </c>
      <c r="D70" s="4"/>
      <c r="E70" s="3">
        <f>SUMIF('Raw Data 10-31-2019'!$A$6:$A$255,'Q4 TB-19'!A70,'Raw Data 10-31-2019'!D$6:D$255)</f>
        <v>0</v>
      </c>
      <c r="F70" s="3"/>
      <c r="G70" s="3">
        <f t="shared" si="0"/>
        <v>0</v>
      </c>
      <c r="H70" s="53" t="s">
        <v>177</v>
      </c>
      <c r="J70" s="19"/>
    </row>
    <row r="71" spans="1:10" x14ac:dyDescent="0.75">
      <c r="A71" s="12">
        <v>2101</v>
      </c>
      <c r="B71" s="13" t="s">
        <v>518</v>
      </c>
      <c r="C71" s="3">
        <f>SUMIF('Raw Data 10-31-2019'!$A$6:$A$255,'Q4 TB-19'!A71,'Raw Data 10-31-2019'!C$6:C$255)</f>
        <v>0</v>
      </c>
      <c r="D71" s="4"/>
      <c r="E71" s="3">
        <f>SUMIF('Raw Data 10-31-2019'!$A$6:$A$255,'Q4 TB-19'!A71,'Raw Data 10-31-2019'!D$6:D$255)</f>
        <v>1219.6400000000001</v>
      </c>
      <c r="F71" s="3"/>
      <c r="G71" s="3">
        <f t="shared" si="0"/>
        <v>-1219.6400000000001</v>
      </c>
      <c r="H71" t="s">
        <v>178</v>
      </c>
      <c r="J71" s="19"/>
    </row>
    <row r="72" spans="1:10" x14ac:dyDescent="0.75">
      <c r="A72" s="12">
        <v>2102</v>
      </c>
      <c r="B72" s="13" t="s">
        <v>519</v>
      </c>
      <c r="C72" s="3">
        <f>SUMIF('Raw Data 10-31-2019'!$A$6:$A$255,'Q4 TB-19'!A72,'Raw Data 10-31-2019'!C$6:C$255)</f>
        <v>0</v>
      </c>
      <c r="D72" s="4"/>
      <c r="E72" s="3">
        <f>SUMIF('Raw Data 10-31-2019'!$A$6:$A$255,'Q4 TB-19'!A72,'Raw Data 10-31-2019'!D$6:D$255)</f>
        <v>12899.14</v>
      </c>
      <c r="F72" s="3"/>
      <c r="G72" s="3">
        <f t="shared" si="0"/>
        <v>-12899.14</v>
      </c>
      <c r="H72" t="s">
        <v>178</v>
      </c>
      <c r="J72" s="19"/>
    </row>
    <row r="73" spans="1:10" x14ac:dyDescent="0.75">
      <c r="A73" s="12">
        <v>2103</v>
      </c>
      <c r="B73" s="13" t="s">
        <v>520</v>
      </c>
      <c r="C73" s="3">
        <f>SUMIF('Raw Data 10-31-2019'!$A$6:$A$255,'Q4 TB-19'!A73,'Raw Data 10-31-2019'!C$6:C$255)</f>
        <v>0</v>
      </c>
      <c r="D73" s="4"/>
      <c r="E73" s="3">
        <f>SUMIF('Raw Data 10-31-2019'!$A$6:$A$255,'Q4 TB-19'!A73,'Raw Data 10-31-2019'!D$6:D$255)</f>
        <v>8469.4</v>
      </c>
      <c r="F73" s="3"/>
      <c r="G73" s="3">
        <f t="shared" ref="G73:G141" si="3">C73-E73</f>
        <v>-8469.4</v>
      </c>
      <c r="H73" t="s">
        <v>178</v>
      </c>
      <c r="J73" s="19"/>
    </row>
    <row r="74" spans="1:10" x14ac:dyDescent="0.75">
      <c r="A74" s="12">
        <v>2104</v>
      </c>
      <c r="B74" s="13" t="s">
        <v>521</v>
      </c>
      <c r="C74" s="3">
        <f>SUMIF('Raw Data 10-31-2019'!$A$6:$A$255,'Q4 TB-19'!A74,'Raw Data 10-31-2019'!C$6:C$255)</f>
        <v>0</v>
      </c>
      <c r="D74" s="4"/>
      <c r="E74" s="3">
        <f>SUMIF('Raw Data 10-31-2019'!$A$6:$A$255,'Q4 TB-19'!A74,'Raw Data 10-31-2019'!D$6:D$255)</f>
        <v>8560.91</v>
      </c>
      <c r="F74" s="3"/>
      <c r="G74" s="3">
        <f t="shared" si="3"/>
        <v>-8560.91</v>
      </c>
      <c r="H74" t="s">
        <v>178</v>
      </c>
      <c r="J74" s="19"/>
    </row>
    <row r="75" spans="1:10" x14ac:dyDescent="0.75">
      <c r="A75" s="12">
        <v>2105</v>
      </c>
      <c r="B75" s="13" t="s">
        <v>522</v>
      </c>
      <c r="C75" s="3">
        <f>SUMIF('Raw Data 10-31-2019'!$A$6:$A$255,'Q4 TB-19'!A75,'Raw Data 10-31-2019'!C$6:C$255)</f>
        <v>0</v>
      </c>
      <c r="D75" s="4"/>
      <c r="E75" s="3">
        <f>SUMIF('Raw Data 10-31-2019'!$A$6:$A$255,'Q4 TB-19'!A75,'Raw Data 10-31-2019'!D$6:D$255)</f>
        <v>0</v>
      </c>
      <c r="F75" s="3"/>
      <c r="G75" s="3">
        <f t="shared" si="3"/>
        <v>0</v>
      </c>
      <c r="H75" s="53" t="s">
        <v>178</v>
      </c>
      <c r="J75" s="19"/>
    </row>
    <row r="76" spans="1:10" x14ac:dyDescent="0.75">
      <c r="A76" s="12">
        <v>2106</v>
      </c>
      <c r="B76" s="13" t="s">
        <v>546</v>
      </c>
      <c r="C76" s="3">
        <f>SUMIF('Raw Data 10-31-2019'!$A$6:$A$255,'Q4 TB-19'!A76,'Raw Data 10-31-2019'!C$6:C$255)</f>
        <v>0</v>
      </c>
      <c r="D76" s="4"/>
      <c r="E76" s="3">
        <f>SUMIF('Raw Data 10-31-2019'!$A$6:$A$255,'Q4 TB-19'!A76,'Raw Data 10-31-2019'!D$6:D$255)</f>
        <v>7191.75</v>
      </c>
      <c r="F76" s="3"/>
      <c r="G76" s="3">
        <f t="shared" si="3"/>
        <v>-7191.75</v>
      </c>
      <c r="H76" s="53" t="s">
        <v>178</v>
      </c>
      <c r="J76" s="19"/>
    </row>
    <row r="77" spans="1:10" x14ac:dyDescent="0.75">
      <c r="A77" s="12">
        <v>2210</v>
      </c>
      <c r="B77" s="13" t="s">
        <v>526</v>
      </c>
      <c r="C77" s="3">
        <f>SUMIF('Raw Data 10-31-2019'!$A$6:$A$255,'Q4 TB-19'!A77,'Raw Data 10-31-2019'!C$6:C$255)</f>
        <v>0</v>
      </c>
      <c r="D77" s="4"/>
      <c r="E77" s="3">
        <f>SUMIF('Raw Data 10-31-2019'!$A$6:$A$255,'Q4 TB-19'!A77,'Raw Data 10-31-2019'!D$6:D$255)</f>
        <v>730110.45000000007</v>
      </c>
      <c r="F77" s="3"/>
      <c r="G77" s="3">
        <f t="shared" si="3"/>
        <v>-730110.45000000007</v>
      </c>
      <c r="H77" t="s">
        <v>446</v>
      </c>
      <c r="J77" s="19"/>
    </row>
    <row r="78" spans="1:10" s="89" customFormat="1" x14ac:dyDescent="0.75">
      <c r="A78" s="12" t="s">
        <v>93</v>
      </c>
      <c r="B78" s="13" t="s">
        <v>1005</v>
      </c>
      <c r="C78" s="3">
        <f>SUMIF('Raw Data 10-31-2019'!$A$6:$A$255,'Q4 TB-19'!A78,'Raw Data 10-31-2019'!C$6:C$255)</f>
        <v>0</v>
      </c>
      <c r="D78" s="4"/>
      <c r="E78" s="3">
        <f>SUMIF('Raw Data 10-31-2019'!$A$6:$A$255,'Q4 TB-19'!A78,'Raw Data 10-31-2019'!D$6:D$255)</f>
        <v>0</v>
      </c>
      <c r="F78" s="3"/>
      <c r="G78" s="3">
        <f t="shared" ref="G78" si="4">C78-E78</f>
        <v>0</v>
      </c>
      <c r="H78" s="89" t="s">
        <v>178</v>
      </c>
      <c r="J78" s="19"/>
    </row>
    <row r="79" spans="1:10" x14ac:dyDescent="0.75">
      <c r="A79" s="12">
        <v>2231</v>
      </c>
      <c r="B79" s="13" t="s">
        <v>534</v>
      </c>
      <c r="C79" s="3">
        <f>SUMIF('Raw Data 10-31-2019'!$A$6:$A$255,'Q4 TB-19'!A79,'Raw Data 10-31-2019'!C$6:C$255)</f>
        <v>0</v>
      </c>
      <c r="D79" s="4"/>
      <c r="E79" s="3">
        <f>SUMIF('Raw Data 10-31-2019'!$A$6:$A$255,'Q4 TB-19'!A79,'Raw Data 10-31-2019'!D$6:D$255)</f>
        <v>0</v>
      </c>
      <c r="F79" s="3"/>
      <c r="G79" s="3">
        <f t="shared" si="3"/>
        <v>0</v>
      </c>
      <c r="H79" s="53" t="s">
        <v>178</v>
      </c>
      <c r="J79" s="19"/>
    </row>
    <row r="80" spans="1:10" x14ac:dyDescent="0.75">
      <c r="A80" s="12">
        <v>2232</v>
      </c>
      <c r="B80" s="13" t="s">
        <v>535</v>
      </c>
      <c r="C80" s="3">
        <f>SUMIF('Raw Data 10-31-2019'!$A$6:$A$255,'Q4 TB-19'!A80,'Raw Data 10-31-2019'!C$6:C$255)</f>
        <v>0</v>
      </c>
      <c r="D80" s="4"/>
      <c r="E80" s="3">
        <f>SUMIF('Raw Data 10-31-2019'!$A$6:$A$255,'Q4 TB-19'!A80,'Raw Data 10-31-2019'!D$6:D$255)</f>
        <v>0</v>
      </c>
      <c r="F80" s="3"/>
      <c r="G80" s="3">
        <f t="shared" si="3"/>
        <v>0</v>
      </c>
      <c r="H80" s="53" t="s">
        <v>178</v>
      </c>
      <c r="J80" s="19"/>
    </row>
    <row r="81" spans="1:10" x14ac:dyDescent="0.75">
      <c r="A81" s="12">
        <v>2233</v>
      </c>
      <c r="B81" s="13" t="s">
        <v>537</v>
      </c>
      <c r="C81" s="3">
        <f>SUMIF('Raw Data 10-31-2019'!$A$6:$A$255,'Q4 TB-19'!A81,'Raw Data 10-31-2019'!C$6:C$255)</f>
        <v>0</v>
      </c>
      <c r="D81" s="4"/>
      <c r="E81" s="3">
        <f>SUMIF('Raw Data 10-31-2019'!$A$6:$A$255,'Q4 TB-19'!A81,'Raw Data 10-31-2019'!D$6:D$255)</f>
        <v>0</v>
      </c>
      <c r="F81" s="3"/>
      <c r="G81" s="3">
        <f t="shared" si="3"/>
        <v>0</v>
      </c>
      <c r="H81" s="53" t="s">
        <v>178</v>
      </c>
      <c r="J81" s="19"/>
    </row>
    <row r="82" spans="1:10" x14ac:dyDescent="0.75">
      <c r="A82" s="12">
        <v>2235</v>
      </c>
      <c r="B82" s="13" t="s">
        <v>543</v>
      </c>
      <c r="C82" s="3">
        <f>SUMIF('Raw Data 10-31-2019'!$A$6:$A$255,'Q4 TB-19'!A82,'Raw Data 10-31-2019'!C$6:C$255)</f>
        <v>0</v>
      </c>
      <c r="D82" s="4"/>
      <c r="E82" s="3">
        <f>SUMIF('Raw Data 10-31-2019'!$A$6:$A$255,'Q4 TB-19'!A82,'Raw Data 10-31-2019'!D$6:D$255)</f>
        <v>0</v>
      </c>
      <c r="F82" s="3"/>
      <c r="G82" s="3">
        <f t="shared" si="3"/>
        <v>0</v>
      </c>
      <c r="H82" s="53" t="s">
        <v>178</v>
      </c>
      <c r="J82" s="19"/>
    </row>
    <row r="83" spans="1:10" x14ac:dyDescent="0.75">
      <c r="A83" s="12">
        <v>2236</v>
      </c>
      <c r="B83" s="13" t="s">
        <v>523</v>
      </c>
      <c r="C83" s="3">
        <f>SUMIF('Raw Data 10-31-2019'!$A$6:$A$255,'Q4 TB-19'!A83,'Raw Data 10-31-2019'!C$6:C$255)</f>
        <v>0</v>
      </c>
      <c r="D83" s="4"/>
      <c r="E83" s="3">
        <f>SUMIF('Raw Data 10-31-2019'!$A$6:$A$255,'Q4 TB-19'!A83,'Raw Data 10-31-2019'!D$6:D$255)</f>
        <v>0</v>
      </c>
      <c r="F83" s="3"/>
      <c r="G83" s="3">
        <f t="shared" si="3"/>
        <v>0</v>
      </c>
      <c r="H83" s="53" t="s">
        <v>178</v>
      </c>
      <c r="J83" s="19"/>
    </row>
    <row r="84" spans="1:10" x14ac:dyDescent="0.75">
      <c r="A84" s="12">
        <v>2250</v>
      </c>
      <c r="B84" s="13" t="s">
        <v>536</v>
      </c>
      <c r="C84" s="3">
        <f>SUMIF('Raw Data 10-31-2019'!$A$6:$A$255,'Q4 TB-19'!A84,'Raw Data 10-31-2019'!C$6:C$255)</f>
        <v>0</v>
      </c>
      <c r="D84" s="4"/>
      <c r="E84" s="3">
        <f>SUMIF('Raw Data 10-31-2019'!$A$6:$A$255,'Q4 TB-19'!A84,'Raw Data 10-31-2019'!D$6:D$255)</f>
        <v>0</v>
      </c>
      <c r="F84" s="3"/>
      <c r="G84" s="3">
        <f t="shared" si="3"/>
        <v>0</v>
      </c>
      <c r="H84" s="53" t="s">
        <v>178</v>
      </c>
      <c r="J84" s="19"/>
    </row>
    <row r="85" spans="1:10" x14ac:dyDescent="0.75">
      <c r="A85" s="12">
        <v>2270</v>
      </c>
      <c r="B85" s="13" t="s">
        <v>544</v>
      </c>
      <c r="C85" s="3">
        <f>SUMIF('Raw Data 10-31-2019'!$A$6:$A$255,'Q4 TB-19'!A85,'Raw Data 10-31-2019'!C$6:C$255)</f>
        <v>0</v>
      </c>
      <c r="D85" s="4"/>
      <c r="E85" s="3">
        <f>SUMIF('Raw Data 10-31-2019'!$A$6:$A$255,'Q4 TB-19'!A85,'Raw Data 10-31-2019'!D$6:D$255)</f>
        <v>0</v>
      </c>
      <c r="F85" s="3"/>
      <c r="G85" s="3">
        <f t="shared" si="3"/>
        <v>0</v>
      </c>
      <c r="H85" s="53" t="s">
        <v>178</v>
      </c>
      <c r="J85" s="19"/>
    </row>
    <row r="86" spans="1:10" x14ac:dyDescent="0.75">
      <c r="A86" s="12">
        <v>2280</v>
      </c>
      <c r="B86" s="13" t="s">
        <v>541</v>
      </c>
      <c r="C86" s="3">
        <f>SUMIF('Raw Data 10-31-2019'!$A$6:$A$255,'Q4 TB-19'!A86,'Raw Data 10-31-2019'!C$6:C$255)</f>
        <v>0</v>
      </c>
      <c r="D86" s="4"/>
      <c r="E86" s="3">
        <f>SUMIF('Raw Data 10-31-2019'!$A$6:$A$255,'Q4 TB-19'!A86,'Raw Data 10-31-2019'!D$6:D$255)</f>
        <v>0</v>
      </c>
      <c r="F86" s="3"/>
      <c r="G86" s="3">
        <f t="shared" si="3"/>
        <v>0</v>
      </c>
      <c r="H86" s="53" t="s">
        <v>178</v>
      </c>
      <c r="J86" s="19"/>
    </row>
    <row r="87" spans="1:10" x14ac:dyDescent="0.75">
      <c r="A87" s="12">
        <v>2285</v>
      </c>
      <c r="B87" s="13" t="s">
        <v>545</v>
      </c>
      <c r="C87" s="3">
        <f>SUMIF('Raw Data 10-31-2019'!$A$6:$A$255,'Q4 TB-19'!A87,'Raw Data 10-31-2019'!C$6:C$255)</f>
        <v>0</v>
      </c>
      <c r="D87" s="4"/>
      <c r="E87" s="3">
        <f>SUMIF('Raw Data 10-31-2019'!$A$6:$A$255,'Q4 TB-19'!A87,'Raw Data 10-31-2019'!D$6:D$255)</f>
        <v>0</v>
      </c>
      <c r="F87" s="3"/>
      <c r="G87" s="3">
        <f t="shared" si="3"/>
        <v>0</v>
      </c>
      <c r="H87" s="53" t="s">
        <v>178</v>
      </c>
      <c r="J87" s="19"/>
    </row>
    <row r="88" spans="1:10" x14ac:dyDescent="0.75">
      <c r="A88" s="12">
        <v>2290</v>
      </c>
      <c r="B88" s="13" t="s">
        <v>540</v>
      </c>
      <c r="C88" s="3">
        <f>SUMIF('Raw Data 10-31-2019'!$A$6:$A$255,'Q4 TB-19'!A88,'Raw Data 10-31-2019'!C$6:C$255)</f>
        <v>0</v>
      </c>
      <c r="D88" s="4"/>
      <c r="E88" s="3">
        <f>SUMIF('Raw Data 10-31-2019'!$A$6:$A$255,'Q4 TB-19'!A88,'Raw Data 10-31-2019'!D$6:D$255)</f>
        <v>40000</v>
      </c>
      <c r="F88" s="3"/>
      <c r="G88" s="3">
        <f t="shared" si="3"/>
        <v>-40000</v>
      </c>
      <c r="H88" s="53" t="s">
        <v>178</v>
      </c>
      <c r="J88" s="19"/>
    </row>
    <row r="89" spans="1:10" x14ac:dyDescent="0.75">
      <c r="A89" s="12">
        <v>2305</v>
      </c>
      <c r="B89" s="13" t="s">
        <v>542</v>
      </c>
      <c r="C89" s="3">
        <f>SUMIF('Raw Data 10-31-2019'!$A$6:$A$255,'Q4 TB-19'!A89,'Raw Data 10-31-2019'!C$6:C$255)</f>
        <v>0</v>
      </c>
      <c r="D89" s="4"/>
      <c r="E89" s="3">
        <f>SUMIF('Raw Data 10-31-2019'!$A$6:$A$255,'Q4 TB-19'!A89,'Raw Data 10-31-2019'!D$6:D$255)</f>
        <v>1221957.72</v>
      </c>
      <c r="F89" s="3"/>
      <c r="G89" s="3">
        <f t="shared" si="3"/>
        <v>-1221957.72</v>
      </c>
      <c r="H89" t="s">
        <v>181</v>
      </c>
      <c r="J89" s="19"/>
    </row>
    <row r="90" spans="1:10" x14ac:dyDescent="0.75">
      <c r="A90" s="12">
        <v>2310</v>
      </c>
      <c r="B90" s="13" t="s">
        <v>538</v>
      </c>
      <c r="C90" s="3">
        <f>SUMIF('Raw Data 10-31-2019'!$A$6:$A$255,'Q4 TB-19'!A90,'Raw Data 10-31-2019'!C$6:C$255)</f>
        <v>0</v>
      </c>
      <c r="D90" s="4"/>
      <c r="E90" s="3">
        <f>SUMIF('Raw Data 10-31-2019'!$A$6:$A$255,'Q4 TB-19'!A90,'Raw Data 10-31-2019'!D$6:D$255)</f>
        <v>0</v>
      </c>
      <c r="F90" s="3"/>
      <c r="G90" s="3">
        <f t="shared" si="3"/>
        <v>0</v>
      </c>
      <c r="H90" s="53" t="s">
        <v>446</v>
      </c>
      <c r="J90" s="19"/>
    </row>
    <row r="91" spans="1:10" x14ac:dyDescent="0.75">
      <c r="A91" s="12">
        <v>2320</v>
      </c>
      <c r="B91" s="13" t="s">
        <v>539</v>
      </c>
      <c r="C91" s="3">
        <f>SUMIF('Raw Data 10-31-2019'!$A$6:$A$255,'Q4 TB-19'!A91,'Raw Data 10-31-2019'!C$6:C$255)</f>
        <v>0</v>
      </c>
      <c r="D91" s="4"/>
      <c r="E91" s="3">
        <f>SUMIF('Raw Data 10-31-2019'!$A$6:$A$255,'Q4 TB-19'!A91,'Raw Data 10-31-2019'!D$6:D$255)</f>
        <v>0</v>
      </c>
      <c r="F91" s="3"/>
      <c r="G91" s="3">
        <f t="shared" si="3"/>
        <v>0</v>
      </c>
      <c r="H91" s="53" t="s">
        <v>178</v>
      </c>
      <c r="J91" s="19"/>
    </row>
    <row r="92" spans="1:10" x14ac:dyDescent="0.75">
      <c r="A92" s="12">
        <v>2400</v>
      </c>
      <c r="B92" s="13" t="s">
        <v>527</v>
      </c>
      <c r="C92" s="3">
        <f>SUMIF('Raw Data 10-31-2019'!$A$6:$A$255,'Q4 TB-19'!A92,'Raw Data 10-31-2019'!C$6:C$255)</f>
        <v>0</v>
      </c>
      <c r="D92" s="4"/>
      <c r="E92" s="3">
        <f>SUMIF('Raw Data 10-31-2019'!$A$6:$A$255,'Q4 TB-19'!A92,'Raw Data 10-31-2019'!D$6:D$255)</f>
        <v>128516.29</v>
      </c>
      <c r="F92" s="3"/>
      <c r="G92" s="3">
        <f t="shared" si="3"/>
        <v>-128516.29</v>
      </c>
      <c r="H92" t="s">
        <v>180</v>
      </c>
      <c r="J92" s="19"/>
    </row>
    <row r="93" spans="1:10" x14ac:dyDescent="0.75">
      <c r="A93" s="12">
        <v>2405</v>
      </c>
      <c r="B93" s="13" t="s">
        <v>528</v>
      </c>
      <c r="C93" s="3">
        <f>SUMIF('Raw Data 10-31-2019'!$A$6:$A$255,'Q4 TB-19'!A93,'Raw Data 10-31-2019'!C$6:C$255)</f>
        <v>0</v>
      </c>
      <c r="D93" s="4"/>
      <c r="E93" s="3">
        <f>SUMIF('Raw Data 10-31-2019'!$A$6:$A$255,'Q4 TB-19'!A93,'Raw Data 10-31-2019'!D$6:D$255)</f>
        <v>55875.53</v>
      </c>
      <c r="F93" s="3"/>
      <c r="G93" s="3">
        <f t="shared" si="3"/>
        <v>-55875.53</v>
      </c>
      <c r="H93" s="53" t="s">
        <v>180</v>
      </c>
      <c r="J93" s="19"/>
    </row>
    <row r="94" spans="1:10" x14ac:dyDescent="0.75">
      <c r="A94" s="12">
        <v>2410</v>
      </c>
      <c r="B94" s="13" t="s">
        <v>529</v>
      </c>
      <c r="C94" s="3">
        <f>SUMIF('Raw Data 10-31-2019'!$A$6:$A$255,'Q4 TB-19'!A94,'Raw Data 10-31-2019'!C$6:C$255)</f>
        <v>0</v>
      </c>
      <c r="D94" s="4"/>
      <c r="E94" s="3">
        <f>SUMIF('Raw Data 10-31-2019'!$A$6:$A$255,'Q4 TB-19'!A94,'Raw Data 10-31-2019'!D$6:D$255)</f>
        <v>0</v>
      </c>
      <c r="F94" s="3"/>
      <c r="G94" s="3">
        <f t="shared" si="3"/>
        <v>0</v>
      </c>
      <c r="H94" s="53" t="s">
        <v>180</v>
      </c>
      <c r="J94" s="19"/>
    </row>
    <row r="95" spans="1:10" x14ac:dyDescent="0.75">
      <c r="A95" s="12">
        <v>2415</v>
      </c>
      <c r="B95" s="13" t="s">
        <v>530</v>
      </c>
      <c r="C95" s="3">
        <f>SUMIF('Raw Data 10-31-2019'!$A$6:$A$255,'Q4 TB-19'!A95,'Raw Data 10-31-2019'!C$6:C$255)</f>
        <v>0</v>
      </c>
      <c r="D95" s="4"/>
      <c r="E95" s="3">
        <f>SUMIF('Raw Data 10-31-2019'!$A$6:$A$255,'Q4 TB-19'!A95,'Raw Data 10-31-2019'!D$6:D$255)</f>
        <v>0</v>
      </c>
      <c r="F95" s="3"/>
      <c r="G95" s="3">
        <f t="shared" si="3"/>
        <v>0</v>
      </c>
      <c r="H95" s="53" t="s">
        <v>180</v>
      </c>
      <c r="J95" s="19"/>
    </row>
    <row r="96" spans="1:10" x14ac:dyDescent="0.75">
      <c r="A96" s="12">
        <v>2420</v>
      </c>
      <c r="B96" s="13" t="s">
        <v>531</v>
      </c>
      <c r="C96" s="3">
        <f>SUMIF('Raw Data 10-31-2019'!$A$6:$A$255,'Q4 TB-19'!A96,'Raw Data 10-31-2019'!C$6:C$255)</f>
        <v>0</v>
      </c>
      <c r="D96" s="4"/>
      <c r="E96" s="3">
        <f>SUMIF('Raw Data 10-31-2019'!$A$6:$A$255,'Q4 TB-19'!A96,'Raw Data 10-31-2019'!D$6:D$255)</f>
        <v>0</v>
      </c>
      <c r="F96" s="3"/>
      <c r="G96" s="3">
        <f t="shared" si="3"/>
        <v>0</v>
      </c>
      <c r="H96" s="53" t="s">
        <v>180</v>
      </c>
      <c r="J96" s="19"/>
    </row>
    <row r="97" spans="1:10" x14ac:dyDescent="0.75">
      <c r="A97" s="12">
        <v>2425</v>
      </c>
      <c r="B97" s="13" t="s">
        <v>532</v>
      </c>
      <c r="C97" s="3">
        <f>SUMIF('Raw Data 10-31-2019'!$A$6:$A$255,'Q4 TB-19'!A97,'Raw Data 10-31-2019'!C$6:C$255)</f>
        <v>0</v>
      </c>
      <c r="D97" s="4"/>
      <c r="E97" s="3">
        <f>SUMIF('Raw Data 10-31-2019'!$A$6:$A$255,'Q4 TB-19'!A97,'Raw Data 10-31-2019'!D$6:D$255)</f>
        <v>0</v>
      </c>
      <c r="F97" s="3"/>
      <c r="G97" s="3">
        <f t="shared" si="3"/>
        <v>0</v>
      </c>
      <c r="H97" s="53" t="s">
        <v>180</v>
      </c>
      <c r="J97" s="19"/>
    </row>
    <row r="98" spans="1:10" x14ac:dyDescent="0.75">
      <c r="A98" s="12">
        <v>2430</v>
      </c>
      <c r="B98" s="13" t="s">
        <v>533</v>
      </c>
      <c r="C98" s="3">
        <f>SUMIF('Raw Data 10-31-2019'!$A$6:$A$255,'Q4 TB-19'!A98,'Raw Data 10-31-2019'!C$6:C$255)</f>
        <v>0</v>
      </c>
      <c r="D98" s="4"/>
      <c r="E98" s="3">
        <f>SUMIF('Raw Data 10-31-2019'!$A$6:$A$255,'Q4 TB-19'!A98,'Raw Data 10-31-2019'!D$6:D$255)</f>
        <v>0</v>
      </c>
      <c r="F98" s="3"/>
      <c r="G98" s="3">
        <f t="shared" si="3"/>
        <v>0</v>
      </c>
      <c r="H98" s="53" t="s">
        <v>180</v>
      </c>
      <c r="J98" s="19"/>
    </row>
    <row r="99" spans="1:10" s="85" customFormat="1" x14ac:dyDescent="0.75">
      <c r="A99" s="12" t="s">
        <v>952</v>
      </c>
      <c r="B99" s="13" t="s">
        <v>953</v>
      </c>
      <c r="C99" s="3">
        <f>SUMIF('Raw Data 10-31-2019'!$A$6:$A$255,'Q4 TB-19'!A99,'Raw Data 10-31-2019'!C$6:C$255)</f>
        <v>0</v>
      </c>
      <c r="D99" s="4"/>
      <c r="E99" s="3">
        <f>SUMIF('Raw Data 10-31-2019'!$A$6:$A$255,'Q4 TB-19'!A99,'Raw Data 10-31-2019'!D$6:D$255)</f>
        <v>62155</v>
      </c>
      <c r="F99" s="3"/>
      <c r="G99" s="3">
        <f t="shared" ref="G99" si="5">C99-E99</f>
        <v>-62155</v>
      </c>
      <c r="H99" s="85" t="s">
        <v>954</v>
      </c>
      <c r="J99" s="19"/>
    </row>
    <row r="100" spans="1:10" x14ac:dyDescent="0.75">
      <c r="A100" s="12">
        <v>2705</v>
      </c>
      <c r="B100" s="13" t="s">
        <v>547</v>
      </c>
      <c r="C100" s="3">
        <f>SUMIF('Raw Data 10-31-2019'!$A$6:$A$255,'Q4 TB-19'!A100,'Raw Data 10-31-2019'!C$6:C$255)</f>
        <v>0</v>
      </c>
      <c r="D100" s="4"/>
      <c r="E100" s="3">
        <f>SUMIF('Raw Data 10-31-2019'!$A$6:$A$255,'Q4 TB-19'!A100,'Raw Data 10-31-2019'!D$6:D$255)</f>
        <v>50000</v>
      </c>
      <c r="F100" s="3"/>
      <c r="G100" s="3">
        <f t="shared" si="3"/>
        <v>-50000</v>
      </c>
      <c r="H100" t="s">
        <v>800</v>
      </c>
      <c r="I100">
        <v>-50000</v>
      </c>
      <c r="J100" s="19">
        <f>G100-I100</f>
        <v>0</v>
      </c>
    </row>
    <row r="101" spans="1:10" x14ac:dyDescent="0.75">
      <c r="A101" s="12">
        <v>2710</v>
      </c>
      <c r="B101" s="13" t="s">
        <v>548</v>
      </c>
      <c r="C101" s="3">
        <f>SUMIF('Raw Data 10-31-2019'!$A$6:$A$255,'Q4 TB-19'!A101,'Raw Data 10-31-2019'!C$6:C$255)</f>
        <v>0</v>
      </c>
      <c r="D101" s="4"/>
      <c r="E101" s="3">
        <f>SUMIF('Raw Data 10-31-2019'!$A$6:$A$255,'Q4 TB-19'!A101,'Raw Data 10-31-2019'!D$6:D$255)</f>
        <v>15000</v>
      </c>
      <c r="F101" s="3"/>
      <c r="G101" s="3">
        <f t="shared" si="3"/>
        <v>-15000</v>
      </c>
      <c r="H101" s="53" t="s">
        <v>800</v>
      </c>
      <c r="I101">
        <v>-15000</v>
      </c>
      <c r="J101" s="19">
        <f t="shared" ref="J101:J115" si="6">G101-I101</f>
        <v>0</v>
      </c>
    </row>
    <row r="102" spans="1:10" x14ac:dyDescent="0.75">
      <c r="A102" s="12">
        <v>2715</v>
      </c>
      <c r="B102" s="13" t="s">
        <v>549</v>
      </c>
      <c r="C102" s="3">
        <f>SUMIF('Raw Data 10-31-2019'!$A$6:$A$255,'Q4 TB-19'!A102,'Raw Data 10-31-2019'!C$6:C$255)</f>
        <v>0</v>
      </c>
      <c r="D102" s="4"/>
      <c r="E102" s="3">
        <f>SUMIF('Raw Data 10-31-2019'!$A$6:$A$255,'Q4 TB-19'!A102,'Raw Data 10-31-2019'!D$6:D$255)</f>
        <v>25000</v>
      </c>
      <c r="F102" s="3"/>
      <c r="G102" s="3">
        <f t="shared" si="3"/>
        <v>-25000</v>
      </c>
      <c r="H102" s="53" t="s">
        <v>800</v>
      </c>
      <c r="I102">
        <v>-25000</v>
      </c>
      <c r="J102" s="19">
        <f t="shared" si="6"/>
        <v>0</v>
      </c>
    </row>
    <row r="103" spans="1:10" x14ac:dyDescent="0.75">
      <c r="A103" s="12">
        <v>2720</v>
      </c>
      <c r="B103" s="13" t="s">
        <v>550</v>
      </c>
      <c r="C103" s="3">
        <f>SUMIF('Raw Data 10-31-2019'!$A$6:$A$255,'Q4 TB-19'!A103,'Raw Data 10-31-2019'!C$6:C$255)</f>
        <v>0</v>
      </c>
      <c r="D103" s="4"/>
      <c r="E103" s="3">
        <f>SUMIF('Raw Data 10-31-2019'!$A$6:$A$255,'Q4 TB-19'!A103,'Raw Data 10-31-2019'!D$6:D$255)</f>
        <v>50000</v>
      </c>
      <c r="F103" s="3"/>
      <c r="G103" s="3">
        <f t="shared" si="3"/>
        <v>-50000</v>
      </c>
      <c r="H103" s="53" t="s">
        <v>800</v>
      </c>
      <c r="I103">
        <v>-50000</v>
      </c>
      <c r="J103" s="19">
        <f t="shared" si="6"/>
        <v>0</v>
      </c>
    </row>
    <row r="104" spans="1:10" x14ac:dyDescent="0.75">
      <c r="A104" s="12">
        <v>2725</v>
      </c>
      <c r="B104" s="13" t="s">
        <v>551</v>
      </c>
      <c r="C104" s="3">
        <f>SUMIF('Raw Data 10-31-2019'!$A$6:$A$255,'Q4 TB-19'!A104,'Raw Data 10-31-2019'!C$6:C$255)</f>
        <v>0</v>
      </c>
      <c r="D104" s="4"/>
      <c r="E104" s="3">
        <f>SUMIF('Raw Data 10-31-2019'!$A$6:$A$255,'Q4 TB-19'!A104,'Raw Data 10-31-2019'!D$6:D$255)</f>
        <v>60000</v>
      </c>
      <c r="F104" s="3"/>
      <c r="G104" s="3">
        <f t="shared" si="3"/>
        <v>-60000</v>
      </c>
      <c r="H104" s="53" t="s">
        <v>800</v>
      </c>
      <c r="I104">
        <v>-40000</v>
      </c>
      <c r="J104" s="19">
        <f t="shared" si="6"/>
        <v>-20000</v>
      </c>
    </row>
    <row r="105" spans="1:10" x14ac:dyDescent="0.75">
      <c r="A105" s="12">
        <v>2730</v>
      </c>
      <c r="B105" s="13" t="s">
        <v>552</v>
      </c>
      <c r="C105" s="3">
        <f>SUMIF('Raw Data 10-31-2019'!$A$6:$A$255,'Q4 TB-19'!A105,'Raw Data 10-31-2019'!C$6:C$255)</f>
        <v>0</v>
      </c>
      <c r="D105" s="4"/>
      <c r="E105" s="3">
        <f>SUMIF('Raw Data 10-31-2019'!$A$6:$A$255,'Q4 TB-19'!A105,'Raw Data 10-31-2019'!D$6:D$255)</f>
        <v>108527</v>
      </c>
      <c r="F105" s="3"/>
      <c r="G105" s="3">
        <f t="shared" si="3"/>
        <v>-108527</v>
      </c>
      <c r="H105" s="53" t="s">
        <v>800</v>
      </c>
      <c r="I105">
        <v>-100000</v>
      </c>
      <c r="J105" s="19">
        <f t="shared" si="6"/>
        <v>-8527</v>
      </c>
    </row>
    <row r="106" spans="1:10" x14ac:dyDescent="0.75">
      <c r="A106" s="12">
        <v>2735</v>
      </c>
      <c r="B106" s="13" t="s">
        <v>553</v>
      </c>
      <c r="C106" s="3">
        <f>SUMIF('Raw Data 10-31-2019'!$A$6:$A$255,'Q4 TB-19'!A106,'Raw Data 10-31-2019'!C$6:C$255)</f>
        <v>0</v>
      </c>
      <c r="D106" s="4"/>
      <c r="E106" s="3">
        <f>SUMIF('Raw Data 10-31-2019'!$A$6:$A$255,'Q4 TB-19'!A106,'Raw Data 10-31-2019'!D$6:D$255)</f>
        <v>150000</v>
      </c>
      <c r="F106" s="3"/>
      <c r="G106" s="3">
        <f t="shared" si="3"/>
        <v>-150000</v>
      </c>
      <c r="H106" s="53" t="s">
        <v>800</v>
      </c>
      <c r="I106">
        <v>-150000</v>
      </c>
      <c r="J106" s="19">
        <f t="shared" si="6"/>
        <v>0</v>
      </c>
    </row>
    <row r="107" spans="1:10" x14ac:dyDescent="0.75">
      <c r="A107" s="12">
        <v>2740</v>
      </c>
      <c r="B107" s="13" t="s">
        <v>554</v>
      </c>
      <c r="C107" s="3">
        <f>SUMIF('Raw Data 10-31-2019'!$A$6:$A$255,'Q4 TB-19'!A107,'Raw Data 10-31-2019'!C$6:C$255)</f>
        <v>0</v>
      </c>
      <c r="D107" s="4"/>
      <c r="E107" s="3">
        <f>SUMIF('Raw Data 10-31-2019'!$A$6:$A$255,'Q4 TB-19'!A107,'Raw Data 10-31-2019'!D$6:D$255)</f>
        <v>40000</v>
      </c>
      <c r="F107" s="3"/>
      <c r="G107" s="3">
        <f t="shared" si="3"/>
        <v>-40000</v>
      </c>
      <c r="H107" s="53" t="s">
        <v>800</v>
      </c>
      <c r="I107">
        <v>-30000</v>
      </c>
      <c r="J107" s="19">
        <f t="shared" si="6"/>
        <v>-10000</v>
      </c>
    </row>
    <row r="108" spans="1:10" x14ac:dyDescent="0.75">
      <c r="A108" s="12">
        <v>2745</v>
      </c>
      <c r="B108" s="13" t="s">
        <v>939</v>
      </c>
      <c r="C108" s="3">
        <f>SUMIF('Raw Data 10-31-2019'!$A$6:$A$255,'Q4 TB-19'!A108,'Raw Data 10-31-2019'!C$6:C$255)</f>
        <v>0</v>
      </c>
      <c r="D108" s="4"/>
      <c r="E108" s="3">
        <f>SUMIF('Raw Data 10-31-2019'!$A$6:$A$255,'Q4 TB-19'!A108,'Raw Data 10-31-2019'!D$6:D$255)</f>
        <v>114799.65000000001</v>
      </c>
      <c r="F108" s="3"/>
      <c r="G108" s="3">
        <f t="shared" si="3"/>
        <v>-114799.65000000001</v>
      </c>
      <c r="H108" s="56" t="s">
        <v>182</v>
      </c>
      <c r="I108">
        <v>-32710.28</v>
      </c>
      <c r="J108" s="19">
        <v>0</v>
      </c>
    </row>
    <row r="109" spans="1:10" x14ac:dyDescent="0.75">
      <c r="A109" s="12">
        <v>2750</v>
      </c>
      <c r="B109" s="13" t="s">
        <v>555</v>
      </c>
      <c r="C109" s="3">
        <f>SUMIF('Raw Data 10-31-2019'!$A$6:$A$255,'Q4 TB-19'!A109,'Raw Data 10-31-2019'!C$6:C$255)</f>
        <v>0</v>
      </c>
      <c r="D109" s="4"/>
      <c r="E109" s="3">
        <f>SUMIF('Raw Data 10-31-2019'!$A$6:$A$255,'Q4 TB-19'!A109,'Raw Data 10-31-2019'!D$6:D$255)</f>
        <v>50000</v>
      </c>
      <c r="F109" s="3"/>
      <c r="G109" s="3">
        <f t="shared" si="3"/>
        <v>-50000</v>
      </c>
      <c r="H109" s="53" t="s">
        <v>800</v>
      </c>
      <c r="I109">
        <v>-50000</v>
      </c>
      <c r="J109" s="19">
        <f t="shared" si="6"/>
        <v>0</v>
      </c>
    </row>
    <row r="110" spans="1:10" x14ac:dyDescent="0.75">
      <c r="A110" s="12">
        <v>2755</v>
      </c>
      <c r="B110" s="13" t="s">
        <v>556</v>
      </c>
      <c r="C110" s="3">
        <f>SUMIF('Raw Data 10-31-2019'!$A$6:$A$255,'Q4 TB-19'!A110,'Raw Data 10-31-2019'!C$6:C$255)</f>
        <v>0</v>
      </c>
      <c r="D110" s="4"/>
      <c r="E110" s="3">
        <f>SUMIF('Raw Data 10-31-2019'!$A$6:$A$255,'Q4 TB-19'!A110,'Raw Data 10-31-2019'!D$6:D$255)</f>
        <v>25000</v>
      </c>
      <c r="F110" s="3"/>
      <c r="G110" s="3">
        <f t="shared" si="3"/>
        <v>-25000</v>
      </c>
      <c r="H110" s="53" t="s">
        <v>800</v>
      </c>
      <c r="I110">
        <v>-25000</v>
      </c>
      <c r="J110" s="19">
        <f t="shared" si="6"/>
        <v>0</v>
      </c>
    </row>
    <row r="111" spans="1:10" x14ac:dyDescent="0.75">
      <c r="A111" s="12">
        <v>2760</v>
      </c>
      <c r="B111" s="13" t="s">
        <v>557</v>
      </c>
      <c r="C111" s="3">
        <f>SUMIF('Raw Data 10-31-2019'!$A$6:$A$255,'Q4 TB-19'!A111,'Raw Data 10-31-2019'!C$6:C$255)</f>
        <v>0</v>
      </c>
      <c r="D111" s="4"/>
      <c r="E111" s="3">
        <f>SUMIF('Raw Data 10-31-2019'!$A$6:$A$255,'Q4 TB-19'!A111,'Raw Data 10-31-2019'!D$6:D$255)</f>
        <v>170000</v>
      </c>
      <c r="F111" s="3"/>
      <c r="G111" s="3">
        <f t="shared" si="3"/>
        <v>-170000</v>
      </c>
      <c r="H111" s="53" t="s">
        <v>800</v>
      </c>
      <c r="I111">
        <v>-100000</v>
      </c>
      <c r="J111" s="19">
        <f t="shared" si="6"/>
        <v>-70000</v>
      </c>
    </row>
    <row r="112" spans="1:10" x14ac:dyDescent="0.75">
      <c r="A112" s="12">
        <v>2765</v>
      </c>
      <c r="B112" s="13" t="s">
        <v>558</v>
      </c>
      <c r="C112" s="3">
        <f>SUMIF('Raw Data 10-31-2019'!$A$6:$A$255,'Q4 TB-19'!A112,'Raw Data 10-31-2019'!C$6:C$255)</f>
        <v>0</v>
      </c>
      <c r="D112" s="4"/>
      <c r="E112" s="3">
        <f>SUMIF('Raw Data 10-31-2019'!$A$6:$A$255,'Q4 TB-19'!A112,'Raw Data 10-31-2019'!D$6:D$255)</f>
        <v>50000</v>
      </c>
      <c r="F112" s="3"/>
      <c r="G112" s="3">
        <f t="shared" si="3"/>
        <v>-50000</v>
      </c>
      <c r="H112" s="53" t="s">
        <v>800</v>
      </c>
      <c r="I112">
        <v>-50000</v>
      </c>
      <c r="J112" s="19">
        <f t="shared" si="6"/>
        <v>0</v>
      </c>
    </row>
    <row r="113" spans="1:10" x14ac:dyDescent="0.75">
      <c r="A113" s="12">
        <v>2770</v>
      </c>
      <c r="B113" s="13" t="s">
        <v>559</v>
      </c>
      <c r="C113" s="3">
        <f>SUMIF('Raw Data 10-31-2019'!$A$6:$A$255,'Q4 TB-19'!A113,'Raw Data 10-31-2019'!C$6:C$255)</f>
        <v>0</v>
      </c>
      <c r="D113" s="4"/>
      <c r="E113" s="3">
        <f>SUMIF('Raw Data 10-31-2019'!$A$6:$A$255,'Q4 TB-19'!A113,'Raw Data 10-31-2019'!D$6:D$255)</f>
        <v>2500</v>
      </c>
      <c r="F113" s="3"/>
      <c r="G113" s="3">
        <f t="shared" si="3"/>
        <v>-2500</v>
      </c>
      <c r="H113" s="53" t="s">
        <v>800</v>
      </c>
      <c r="I113">
        <v>-2500</v>
      </c>
      <c r="J113" s="19">
        <f t="shared" si="6"/>
        <v>0</v>
      </c>
    </row>
    <row r="114" spans="1:10" x14ac:dyDescent="0.75">
      <c r="A114" s="12">
        <v>2775</v>
      </c>
      <c r="B114" s="13" t="s">
        <v>560</v>
      </c>
      <c r="C114" s="3">
        <f>SUMIF('Raw Data 10-31-2019'!$A$6:$A$255,'Q4 TB-19'!A114,'Raw Data 10-31-2019'!C$6:C$255)</f>
        <v>0</v>
      </c>
      <c r="D114" s="4"/>
      <c r="E114" s="3">
        <f>SUMIF('Raw Data 10-31-2019'!$A$6:$A$255,'Q4 TB-19'!A114,'Raw Data 10-31-2019'!D$6:D$255)</f>
        <v>50000</v>
      </c>
      <c r="F114" s="3"/>
      <c r="G114" s="3">
        <f t="shared" si="3"/>
        <v>-50000</v>
      </c>
      <c r="H114" s="53" t="s">
        <v>800</v>
      </c>
      <c r="I114">
        <v>-50000</v>
      </c>
      <c r="J114" s="19">
        <f t="shared" si="6"/>
        <v>0</v>
      </c>
    </row>
    <row r="115" spans="1:10" x14ac:dyDescent="0.75">
      <c r="A115" s="12">
        <v>2780</v>
      </c>
      <c r="B115" s="13" t="s">
        <v>561</v>
      </c>
      <c r="C115" s="3">
        <f>SUMIF('Raw Data 10-31-2019'!$A$6:$A$255,'Q4 TB-19'!A115,'Raw Data 10-31-2019'!C$6:C$255)</f>
        <v>0</v>
      </c>
      <c r="D115" s="4"/>
      <c r="E115" s="3">
        <f>SUMIF('Raw Data 10-31-2019'!$A$6:$A$255,'Q4 TB-19'!A115,'Raw Data 10-31-2019'!D$6:D$255)</f>
        <v>25000</v>
      </c>
      <c r="F115" s="3"/>
      <c r="G115" s="3">
        <f t="shared" si="3"/>
        <v>-25000</v>
      </c>
      <c r="H115" s="53" t="s">
        <v>800</v>
      </c>
      <c r="I115">
        <v>-25000</v>
      </c>
      <c r="J115" s="19">
        <f t="shared" si="6"/>
        <v>0</v>
      </c>
    </row>
    <row r="116" spans="1:10" s="67" customFormat="1" x14ac:dyDescent="0.75">
      <c r="A116" s="12" t="s">
        <v>941</v>
      </c>
      <c r="B116" s="13" t="s">
        <v>942</v>
      </c>
      <c r="C116" s="3">
        <f>SUMIF('Raw Data 10-31-2019'!$A$6:$A$255,'Q4 TB-19'!A116,'Raw Data 10-31-2019'!C$6:C$255)</f>
        <v>344839</v>
      </c>
      <c r="D116" s="4"/>
      <c r="E116" s="3">
        <f>SUMIF('Raw Data 10-31-2019'!$A$6:$A$255,'Q4 TB-19'!A116,'Raw Data 10-31-2019'!D$6:D$255)</f>
        <v>0</v>
      </c>
      <c r="F116" s="3"/>
      <c r="G116" s="3">
        <f t="shared" ref="G116" si="7">C116-E116</f>
        <v>344839</v>
      </c>
      <c r="H116" s="67" t="s">
        <v>800</v>
      </c>
      <c r="J116" s="19"/>
    </row>
    <row r="117" spans="1:10" x14ac:dyDescent="0.75">
      <c r="A117" s="12">
        <v>3000</v>
      </c>
      <c r="B117" s="13" t="s">
        <v>563</v>
      </c>
      <c r="C117" s="3">
        <f>SUMIF('Raw Data 10-31-2019'!$A$6:$A$255,'Q4 TB-19'!A117,'Raw Data 10-31-2019'!C$6:C$255)</f>
        <v>0</v>
      </c>
      <c r="D117" s="4"/>
      <c r="E117" s="3">
        <f>SUMIF('Raw Data 10-31-2019'!$A$6:$A$255,'Q4 TB-19'!A117,'Raw Data 10-31-2019'!D$6:D$255)</f>
        <v>46290.14</v>
      </c>
      <c r="F117" s="3"/>
      <c r="G117" s="3">
        <f t="shared" si="3"/>
        <v>-46290.14</v>
      </c>
      <c r="H117" t="s">
        <v>183</v>
      </c>
      <c r="J117" s="19"/>
    </row>
    <row r="118" spans="1:10" x14ac:dyDescent="0.75">
      <c r="A118" s="12">
        <v>3050</v>
      </c>
      <c r="B118" s="13" t="s">
        <v>569</v>
      </c>
      <c r="C118" s="3">
        <f>SUMIF('Raw Data 10-31-2019'!$A$6:$A$255,'Q4 TB-19'!A118,'Raw Data 10-31-2019'!C$6:C$255)</f>
        <v>0</v>
      </c>
      <c r="D118" s="4"/>
      <c r="E118" s="3">
        <f>SUMIF('Raw Data 10-31-2019'!$A$6:$A$255,'Q4 TB-19'!A118,'Raw Data 10-31-2019'!D$6:D$255)</f>
        <v>0</v>
      </c>
      <c r="F118" s="3"/>
      <c r="G118" s="3">
        <f t="shared" si="3"/>
        <v>0</v>
      </c>
      <c r="H118" t="s">
        <v>802</v>
      </c>
      <c r="J118" s="19"/>
    </row>
    <row r="119" spans="1:10" x14ac:dyDescent="0.75">
      <c r="A119" s="12">
        <v>3100</v>
      </c>
      <c r="B119" s="13" t="s">
        <v>567</v>
      </c>
      <c r="C119" s="3">
        <f>SUMIF('Raw Data 10-31-2019'!$A$6:$A$255,'Q4 TB-19'!A119,'Raw Data 10-31-2019'!C$6:C$255)</f>
        <v>0</v>
      </c>
      <c r="D119" s="4"/>
      <c r="E119" s="3">
        <f>SUMIF('Raw Data 10-31-2019'!$A$6:$A$255,'Q4 TB-19'!A119,'Raw Data 10-31-2019'!D$6:D$255)</f>
        <v>7407220.46</v>
      </c>
      <c r="F119" s="3"/>
      <c r="G119" s="3">
        <f t="shared" si="3"/>
        <v>-7407220.46</v>
      </c>
      <c r="H119" t="s">
        <v>184</v>
      </c>
      <c r="J119" s="19"/>
    </row>
    <row r="120" spans="1:10" s="89" customFormat="1" x14ac:dyDescent="0.75">
      <c r="A120" s="12" t="s">
        <v>1003</v>
      </c>
      <c r="B120" s="13" t="s">
        <v>1004</v>
      </c>
      <c r="C120" s="3">
        <f>SUMIF('Raw Data 10-31-2019'!$A$6:$A$255,'Q4 TB-19'!A120,'Raw Data 10-31-2019'!C$6:C$255)</f>
        <v>0</v>
      </c>
      <c r="D120" s="4"/>
      <c r="E120" s="3">
        <f>SUMIF('Raw Data 10-31-2019'!$A$6:$A$255,'Q4 TB-19'!A120,'Raw Data 10-31-2019'!D$6:D$255)</f>
        <v>0</v>
      </c>
      <c r="F120" s="3"/>
      <c r="G120" s="3">
        <f t="shared" ref="G120" si="8">C120-E120</f>
        <v>0</v>
      </c>
      <c r="H120" s="89" t="s">
        <v>184</v>
      </c>
      <c r="J120" s="19"/>
    </row>
    <row r="121" spans="1:10" x14ac:dyDescent="0.75">
      <c r="A121" s="12">
        <v>3200</v>
      </c>
      <c r="B121" s="13" t="s">
        <v>562</v>
      </c>
      <c r="C121" s="3">
        <f>SUMIF('Raw Data 10-31-2019'!$A$6:$A$255,'Q4 TB-19'!A121,'Raw Data 10-31-2019'!C$6:C$255)</f>
        <v>0</v>
      </c>
      <c r="D121" s="4"/>
      <c r="E121" s="3">
        <f>SUMIF('Raw Data 10-31-2019'!$A$6:$A$255,'Q4 TB-19'!A121,'Raw Data 10-31-2019'!D$6:D$255)</f>
        <v>0</v>
      </c>
      <c r="F121" s="3"/>
      <c r="G121" s="3">
        <f t="shared" si="3"/>
        <v>0</v>
      </c>
      <c r="H121" t="s">
        <v>184</v>
      </c>
      <c r="J121" s="19"/>
    </row>
    <row r="122" spans="1:10" x14ac:dyDescent="0.75">
      <c r="A122" s="12">
        <v>3300</v>
      </c>
      <c r="B122" s="13" t="s">
        <v>564</v>
      </c>
      <c r="C122" s="3">
        <f>SUMIF('Raw Data 10-31-2019'!$A$6:$A$255,'Q4 TB-19'!A122,'Raw Data 10-31-2019'!C$6:C$255)</f>
        <v>0</v>
      </c>
      <c r="D122" s="4"/>
      <c r="E122" s="3">
        <f>SUMIF('Raw Data 10-31-2019'!$A$6:$A$255,'Q4 TB-19'!A122,'Raw Data 10-31-2019'!D$6:D$255)</f>
        <v>0</v>
      </c>
      <c r="F122" s="3"/>
      <c r="G122" s="3">
        <f t="shared" si="3"/>
        <v>0</v>
      </c>
      <c r="H122" t="s">
        <v>184</v>
      </c>
      <c r="J122" s="19"/>
    </row>
    <row r="123" spans="1:10" x14ac:dyDescent="0.75">
      <c r="A123" s="12">
        <v>3400</v>
      </c>
      <c r="B123" s="13" t="s">
        <v>565</v>
      </c>
      <c r="C123" s="3">
        <f>SUMIF('Raw Data 10-31-2019'!$A$6:$A$255,'Q4 TB-19'!A123,'Raw Data 10-31-2019'!C$6:C$255)</f>
        <v>0</v>
      </c>
      <c r="D123" s="4"/>
      <c r="E123" s="3">
        <f>SUMIF('Raw Data 10-31-2019'!$A$6:$A$255,'Q4 TB-19'!A123,'Raw Data 10-31-2019'!D$6:D$255)</f>
        <v>0</v>
      </c>
      <c r="F123" s="3"/>
      <c r="G123" s="3">
        <f t="shared" si="3"/>
        <v>0</v>
      </c>
      <c r="H123" t="s">
        <v>184</v>
      </c>
      <c r="J123" s="19"/>
    </row>
    <row r="124" spans="1:10" x14ac:dyDescent="0.75">
      <c r="A124" s="12">
        <v>3500</v>
      </c>
      <c r="B124" s="13" t="s">
        <v>566</v>
      </c>
      <c r="C124" s="3">
        <f>SUMIF('Raw Data 10-31-2019'!$A$6:$A$255,'Q4 TB-19'!A124,'Raw Data 10-31-2019'!C$6:C$255)</f>
        <v>0</v>
      </c>
      <c r="D124" s="4"/>
      <c r="E124" s="3">
        <f>SUMIF('Raw Data 10-31-2019'!$A$6:$A$255,'Q4 TB-19'!A124,'Raw Data 10-31-2019'!D$6:D$255)</f>
        <v>0</v>
      </c>
      <c r="F124" s="3"/>
      <c r="G124" s="3">
        <f t="shared" si="3"/>
        <v>0</v>
      </c>
      <c r="H124" t="s">
        <v>184</v>
      </c>
      <c r="J124" s="19"/>
    </row>
    <row r="125" spans="1:10" s="56" customFormat="1" x14ac:dyDescent="0.75">
      <c r="A125" s="12" t="s">
        <v>382</v>
      </c>
      <c r="B125" s="13" t="s">
        <v>933</v>
      </c>
      <c r="C125" s="3">
        <f>SUMIF('Raw Data 10-31-2019'!$A$6:$A$255,'Q4 TB-19'!A125,'Raw Data 10-31-2019'!C$6:C$255)</f>
        <v>84000</v>
      </c>
      <c r="D125" s="4"/>
      <c r="E125" s="3">
        <f>SUMIF('Raw Data 10-31-2019'!$A$6:$A$255,'Q4 TB-19'!A125,'Raw Data 10-31-2019'!D$6:D$255)</f>
        <v>0</v>
      </c>
      <c r="F125" s="3"/>
      <c r="G125" s="3">
        <f t="shared" ref="G125" si="9">C125-E125</f>
        <v>84000</v>
      </c>
      <c r="H125" s="56" t="s">
        <v>934</v>
      </c>
      <c r="J125" s="19"/>
    </row>
    <row r="126" spans="1:10" x14ac:dyDescent="0.75">
      <c r="A126" s="12">
        <v>3800</v>
      </c>
      <c r="B126" s="13" t="s">
        <v>568</v>
      </c>
      <c r="C126" s="3">
        <f>SUMIF('Raw Data 10-31-2019'!$A$6:$A$255,'Q4 TB-19'!A126,'Raw Data 10-31-2019'!C$6:C$255)</f>
        <v>0</v>
      </c>
      <c r="D126" s="4"/>
      <c r="E126" s="3">
        <f>SUMIF('Raw Data 10-31-2019'!$A$6:$A$255,'Q4 TB-19'!A126,'Raw Data 10-31-2019'!D$6:D$255)</f>
        <v>0</v>
      </c>
      <c r="F126" s="3"/>
      <c r="G126" s="3">
        <f t="shared" si="3"/>
        <v>0</v>
      </c>
      <c r="H126" t="s">
        <v>185</v>
      </c>
      <c r="J126" s="19"/>
    </row>
    <row r="127" spans="1:10" x14ac:dyDescent="0.75">
      <c r="A127" s="12">
        <v>3900</v>
      </c>
      <c r="B127" s="13" t="s">
        <v>400</v>
      </c>
      <c r="C127" s="3">
        <f>SUMIF('Raw Data 10-31-2019'!$A$6:$A$255,'Q4 TB-19'!A127,'Raw Data 10-31-2019'!C$6:C$255)</f>
        <v>9165351.9899999984</v>
      </c>
      <c r="D127" s="4"/>
      <c r="E127" s="3">
        <f>SUMIF('Raw Data 10-31-2019'!$A$6:$A$255,'Q4 TB-19'!A127,'Raw Data 10-31-2019'!D$6:D$255)</f>
        <v>0</v>
      </c>
      <c r="F127" s="3"/>
      <c r="G127" s="3">
        <f t="shared" si="3"/>
        <v>9165351.9899999984</v>
      </c>
      <c r="H127" s="53" t="s">
        <v>185</v>
      </c>
      <c r="J127" s="19"/>
    </row>
    <row r="128" spans="1:10" x14ac:dyDescent="0.75">
      <c r="A128" s="12">
        <v>4100</v>
      </c>
      <c r="B128" s="13" t="s">
        <v>576</v>
      </c>
      <c r="C128" s="3">
        <f>SUMIF('Raw Data 10-31-2019'!$A$6:$A$255,'Q4 TB-19'!A128,'Raw Data 10-31-2019'!C$6:C$255)</f>
        <v>0</v>
      </c>
      <c r="D128" s="4"/>
      <c r="E128" s="3">
        <f>SUMIF('Raw Data 10-31-2019'!$A$6:$A$255,'Q4 TB-19'!A128,'Raw Data 10-31-2019'!D$6:D$255)</f>
        <v>842380.76</v>
      </c>
      <c r="F128" s="3"/>
      <c r="G128" s="3">
        <f t="shared" si="3"/>
        <v>-842380.76</v>
      </c>
      <c r="H128" s="53" t="s">
        <v>437</v>
      </c>
      <c r="J128" s="19"/>
    </row>
    <row r="129" spans="1:10" x14ac:dyDescent="0.75">
      <c r="A129" s="12">
        <v>4110</v>
      </c>
      <c r="B129" s="13" t="s">
        <v>577</v>
      </c>
      <c r="C129" s="3">
        <f>SUMIF('Raw Data 10-31-2019'!$A$6:$A$255,'Q4 TB-19'!A129,'Raw Data 10-31-2019'!C$6:C$255)</f>
        <v>0</v>
      </c>
      <c r="D129" s="4"/>
      <c r="E129" s="3">
        <f>SUMIF('Raw Data 10-31-2019'!$A$6:$A$255,'Q4 TB-19'!A129,'Raw Data 10-31-2019'!D$6:D$255)</f>
        <v>0</v>
      </c>
      <c r="F129" s="3"/>
      <c r="G129" s="3">
        <f t="shared" si="3"/>
        <v>0</v>
      </c>
      <c r="H129" s="53" t="s">
        <v>437</v>
      </c>
      <c r="J129" s="19"/>
    </row>
    <row r="130" spans="1:10" x14ac:dyDescent="0.75">
      <c r="A130" s="12">
        <v>4200</v>
      </c>
      <c r="B130" s="13" t="s">
        <v>573</v>
      </c>
      <c r="C130" s="3">
        <f>SUMIF('Raw Data 10-31-2019'!$A$6:$A$255,'Q4 TB-19'!A130,'Raw Data 10-31-2019'!C$6:C$255)</f>
        <v>0</v>
      </c>
      <c r="D130" s="4"/>
      <c r="E130" s="3">
        <f>SUMIF('Raw Data 10-31-2019'!$A$6:$A$255,'Q4 TB-19'!A130,'Raw Data 10-31-2019'!D$6:D$255)</f>
        <v>0</v>
      </c>
      <c r="F130" s="3"/>
      <c r="G130" s="3">
        <f t="shared" si="3"/>
        <v>0</v>
      </c>
      <c r="H130" t="s">
        <v>437</v>
      </c>
      <c r="J130" s="19"/>
    </row>
    <row r="131" spans="1:10" x14ac:dyDescent="0.75">
      <c r="A131" s="12">
        <v>4300</v>
      </c>
      <c r="B131" s="13" t="s">
        <v>571</v>
      </c>
      <c r="C131" s="3">
        <f>SUMIF('Raw Data 10-31-2019'!$A$6:$A$255,'Q4 TB-19'!A131,'Raw Data 10-31-2019'!C$6:C$255)</f>
        <v>0</v>
      </c>
      <c r="D131" s="4"/>
      <c r="E131" s="3">
        <f>SUMIF('Raw Data 10-31-2019'!$A$6:$A$255,'Q4 TB-19'!A131,'Raw Data 10-31-2019'!D$6:D$255)</f>
        <v>0</v>
      </c>
      <c r="F131" s="3"/>
      <c r="G131" s="3">
        <f t="shared" si="3"/>
        <v>0</v>
      </c>
      <c r="H131" t="s">
        <v>437</v>
      </c>
      <c r="J131" s="19"/>
    </row>
    <row r="132" spans="1:10" x14ac:dyDescent="0.75">
      <c r="A132" s="12">
        <v>4400</v>
      </c>
      <c r="B132" s="13" t="s">
        <v>570</v>
      </c>
      <c r="C132" s="3">
        <f>SUMIF('Raw Data 10-31-2019'!$A$6:$A$255,'Q4 TB-19'!A132,'Raw Data 10-31-2019'!C$6:C$255)</f>
        <v>0</v>
      </c>
      <c r="D132" s="4"/>
      <c r="E132" s="3">
        <f>SUMIF('Raw Data 10-31-2019'!$A$6:$A$255,'Q4 TB-19'!A132,'Raw Data 10-31-2019'!D$6:D$255)</f>
        <v>0</v>
      </c>
      <c r="F132" s="3"/>
      <c r="G132" s="3">
        <f t="shared" si="3"/>
        <v>0</v>
      </c>
      <c r="H132" t="s">
        <v>437</v>
      </c>
      <c r="J132" s="19"/>
    </row>
    <row r="133" spans="1:10" x14ac:dyDescent="0.75">
      <c r="A133" s="12">
        <v>4420</v>
      </c>
      <c r="B133" s="13" t="s">
        <v>574</v>
      </c>
      <c r="C133" s="3">
        <f>SUMIF('Raw Data 10-31-2019'!$A$6:$A$255,'Q4 TB-19'!A133,'Raw Data 10-31-2019'!C$6:C$255)</f>
        <v>0</v>
      </c>
      <c r="D133" s="4"/>
      <c r="E133" s="3">
        <f>SUMIF('Raw Data 10-31-2019'!$A$6:$A$255,'Q4 TB-19'!A133,'Raw Data 10-31-2019'!D$6:D$255)</f>
        <v>0</v>
      </c>
      <c r="F133" s="3"/>
      <c r="G133" s="3">
        <f t="shared" si="3"/>
        <v>0</v>
      </c>
      <c r="H133" t="s">
        <v>437</v>
      </c>
      <c r="J133" s="19"/>
    </row>
    <row r="134" spans="1:10" x14ac:dyDescent="0.75">
      <c r="A134" s="12">
        <v>4440</v>
      </c>
      <c r="B134" s="13" t="s">
        <v>575</v>
      </c>
      <c r="C134" s="3">
        <f>SUMIF('Raw Data 10-31-2019'!$A$6:$A$255,'Q4 TB-19'!A134,'Raw Data 10-31-2019'!C$6:C$255)</f>
        <v>0</v>
      </c>
      <c r="D134" s="4"/>
      <c r="E134" s="3">
        <f>SUMIF('Raw Data 10-31-2019'!$A$6:$A$255,'Q4 TB-19'!A134,'Raw Data 10-31-2019'!D$6:D$255)</f>
        <v>0</v>
      </c>
      <c r="F134" s="3"/>
      <c r="G134" s="3">
        <f t="shared" si="3"/>
        <v>0</v>
      </c>
      <c r="H134" t="s">
        <v>437</v>
      </c>
      <c r="J134" s="19"/>
    </row>
    <row r="135" spans="1:10" x14ac:dyDescent="0.75">
      <c r="A135" s="12">
        <v>4500</v>
      </c>
      <c r="B135" s="13" t="s">
        <v>578</v>
      </c>
      <c r="C135" s="3">
        <f>SUMIF('Raw Data 10-31-2019'!$A$6:$A$255,'Q4 TB-19'!A135,'Raw Data 10-31-2019'!C$6:C$255)</f>
        <v>0</v>
      </c>
      <c r="D135" s="4"/>
      <c r="E135" s="3">
        <f>SUMIF('Raw Data 10-31-2019'!$A$6:$A$255,'Q4 TB-19'!A135,'Raw Data 10-31-2019'!D$6:D$255)</f>
        <v>33201.4</v>
      </c>
      <c r="F135" s="3"/>
      <c r="G135" s="3">
        <f t="shared" si="3"/>
        <v>-33201.4</v>
      </c>
      <c r="H135" t="s">
        <v>437</v>
      </c>
      <c r="J135" s="19"/>
    </row>
    <row r="136" spans="1:10" x14ac:dyDescent="0.75">
      <c r="A136" s="12">
        <v>4550</v>
      </c>
      <c r="B136" s="13" t="s">
        <v>579</v>
      </c>
      <c r="C136" s="3">
        <f>SUMIF('Raw Data 10-31-2019'!$A$6:$A$255,'Q4 TB-19'!A136,'Raw Data 10-31-2019'!C$6:C$255)</f>
        <v>0</v>
      </c>
      <c r="D136" s="4"/>
      <c r="E136" s="3">
        <f>SUMIF('Raw Data 10-31-2019'!$A$6:$A$255,'Q4 TB-19'!A136,'Raw Data 10-31-2019'!D$6:D$255)</f>
        <v>0</v>
      </c>
      <c r="F136" s="3"/>
      <c r="G136" s="3">
        <f t="shared" si="3"/>
        <v>0</v>
      </c>
      <c r="H136" t="s">
        <v>437</v>
      </c>
      <c r="J136" s="19"/>
    </row>
    <row r="137" spans="1:10" x14ac:dyDescent="0.75">
      <c r="A137" s="12">
        <v>4900</v>
      </c>
      <c r="B137" s="13" t="s">
        <v>572</v>
      </c>
      <c r="C137" s="3">
        <f>SUMIF('Raw Data 10-31-2019'!$A$6:$A$255,'Q4 TB-19'!A137,'Raw Data 10-31-2019'!C$6:C$255)</f>
        <v>0</v>
      </c>
      <c r="D137" s="4"/>
      <c r="E137" s="3">
        <f>SUMIF('Raw Data 10-31-2019'!$A$6:$A$255,'Q4 TB-19'!A137,'Raw Data 10-31-2019'!D$6:D$255)</f>
        <v>6455</v>
      </c>
      <c r="F137" s="3"/>
      <c r="G137" s="3">
        <f t="shared" si="3"/>
        <v>-6455</v>
      </c>
      <c r="H137" s="120" t="s">
        <v>437</v>
      </c>
      <c r="J137" s="19"/>
    </row>
    <row r="138" spans="1:10" x14ac:dyDescent="0.75">
      <c r="A138" s="12">
        <v>4950</v>
      </c>
      <c r="B138" s="13" t="s">
        <v>580</v>
      </c>
      <c r="C138" s="3">
        <f>SUMIF('Raw Data 10-31-2019'!$A$6:$A$255,'Q4 TB-19'!A138,'Raw Data 10-31-2019'!C$6:C$255)</f>
        <v>0</v>
      </c>
      <c r="D138" s="4"/>
      <c r="E138" s="3">
        <f>SUMIF('Raw Data 10-31-2019'!$A$6:$A$255,'Q4 TB-19'!A138,'Raw Data 10-31-2019'!D$6:D$255)</f>
        <v>0</v>
      </c>
      <c r="F138" s="3"/>
      <c r="G138" s="3">
        <f t="shared" si="3"/>
        <v>0</v>
      </c>
      <c r="H138" t="s">
        <v>437</v>
      </c>
      <c r="J138" s="19"/>
    </row>
    <row r="139" spans="1:10" x14ac:dyDescent="0.75">
      <c r="A139" s="12">
        <v>4980</v>
      </c>
      <c r="B139" s="13" t="s">
        <v>581</v>
      </c>
      <c r="C139" s="3">
        <f>SUMIF('Raw Data 10-31-2019'!$A$6:$A$255,'Q4 TB-19'!A139,'Raw Data 10-31-2019'!C$6:C$255)</f>
        <v>0</v>
      </c>
      <c r="D139" s="4"/>
      <c r="E139" s="3">
        <f>SUMIF('Raw Data 10-31-2019'!$A$6:$A$255,'Q4 TB-19'!A139,'Raw Data 10-31-2019'!D$6:D$255)</f>
        <v>0</v>
      </c>
      <c r="F139" s="3"/>
      <c r="G139" s="3">
        <f t="shared" si="3"/>
        <v>0</v>
      </c>
      <c r="H139" t="s">
        <v>437</v>
      </c>
      <c r="J139" s="19"/>
    </row>
    <row r="140" spans="1:10" x14ac:dyDescent="0.75">
      <c r="A140" s="12">
        <v>5000</v>
      </c>
      <c r="B140" s="13" t="s">
        <v>582</v>
      </c>
      <c r="C140" s="3">
        <f>SUMIF('Raw Data 10-31-2019'!$A$6:$A$255,'Q4 TB-19'!A140,'Raw Data 10-31-2019'!C$6:C$255)</f>
        <v>76212.86</v>
      </c>
      <c r="D140" s="4"/>
      <c r="E140" s="3">
        <f>SUMIF('Raw Data 10-31-2019'!$A$6:$A$255,'Q4 TB-19'!A140,'Raw Data 10-31-2019'!D$6:D$255)</f>
        <v>0</v>
      </c>
      <c r="F140" s="3"/>
      <c r="G140" s="3">
        <f t="shared" si="3"/>
        <v>76212.86</v>
      </c>
      <c r="H140" t="s">
        <v>438</v>
      </c>
      <c r="J140" s="19"/>
    </row>
    <row r="141" spans="1:10" x14ac:dyDescent="0.75">
      <c r="A141" s="12">
        <v>5010</v>
      </c>
      <c r="B141" s="13" t="s">
        <v>583</v>
      </c>
      <c r="C141" s="3">
        <f>SUMIF('Raw Data 10-31-2019'!$A$6:$A$255,'Q4 TB-19'!A141,'Raw Data 10-31-2019'!C$6:C$255)</f>
        <v>34328.9</v>
      </c>
      <c r="D141" s="4"/>
      <c r="E141" s="3">
        <f>SUMIF('Raw Data 10-31-2019'!$A$6:$A$255,'Q4 TB-19'!A141,'Raw Data 10-31-2019'!D$6:D$255)</f>
        <v>0</v>
      </c>
      <c r="F141" s="3"/>
      <c r="G141" s="3">
        <f t="shared" si="3"/>
        <v>34328.9</v>
      </c>
      <c r="H141" s="53" t="s">
        <v>438</v>
      </c>
      <c r="J141" s="19"/>
    </row>
    <row r="142" spans="1:10" x14ac:dyDescent="0.75">
      <c r="A142" s="12">
        <v>5020</v>
      </c>
      <c r="B142" s="13" t="s">
        <v>584</v>
      </c>
      <c r="C142" s="3">
        <f>SUMIF('Raw Data 10-31-2019'!$A$6:$A$255,'Q4 TB-19'!A142,'Raw Data 10-31-2019'!C$6:C$255)</f>
        <v>0</v>
      </c>
      <c r="D142" s="4"/>
      <c r="E142" s="3">
        <f>SUMIF('Raw Data 10-31-2019'!$A$6:$A$255,'Q4 TB-19'!A142,'Raw Data 10-31-2019'!D$6:D$255)</f>
        <v>0</v>
      </c>
      <c r="F142" s="3"/>
      <c r="G142" s="3">
        <f t="shared" ref="G142:G205" si="10">C142-E142</f>
        <v>0</v>
      </c>
      <c r="H142" s="53" t="s">
        <v>438</v>
      </c>
      <c r="J142" s="19"/>
    </row>
    <row r="143" spans="1:10" x14ac:dyDescent="0.75">
      <c r="A143" s="12">
        <v>5030</v>
      </c>
      <c r="B143" s="13" t="s">
        <v>585</v>
      </c>
      <c r="C143" s="3">
        <f>SUMIF('Raw Data 10-31-2019'!$A$6:$A$255,'Q4 TB-19'!A143,'Raw Data 10-31-2019'!C$6:C$255)</f>
        <v>28219.9</v>
      </c>
      <c r="D143" s="4"/>
      <c r="E143" s="3">
        <f>SUMIF('Raw Data 10-31-2019'!$A$6:$A$255,'Q4 TB-19'!A143,'Raw Data 10-31-2019'!D$6:D$255)</f>
        <v>0</v>
      </c>
      <c r="F143" s="3"/>
      <c r="G143" s="3">
        <f t="shared" si="10"/>
        <v>28219.9</v>
      </c>
      <c r="H143" s="53" t="s">
        <v>438</v>
      </c>
      <c r="J143" s="19"/>
    </row>
    <row r="144" spans="1:10" x14ac:dyDescent="0.75">
      <c r="A144" s="12">
        <v>5040</v>
      </c>
      <c r="B144" s="13" t="s">
        <v>586</v>
      </c>
      <c r="C144" s="3">
        <f>SUMIF('Raw Data 10-31-2019'!$A$6:$A$255,'Q4 TB-19'!A144,'Raw Data 10-31-2019'!C$6:C$255)</f>
        <v>0</v>
      </c>
      <c r="D144" s="4"/>
      <c r="E144" s="3">
        <f>SUMIF('Raw Data 10-31-2019'!$A$6:$A$255,'Q4 TB-19'!A144,'Raw Data 10-31-2019'!D$6:D$255)</f>
        <v>0</v>
      </c>
      <c r="F144" s="3"/>
      <c r="G144" s="3">
        <f t="shared" si="10"/>
        <v>0</v>
      </c>
      <c r="H144" s="53" t="s">
        <v>438</v>
      </c>
      <c r="J144" s="19"/>
    </row>
    <row r="145" spans="1:10" x14ac:dyDescent="0.75">
      <c r="A145" s="12">
        <v>5050</v>
      </c>
      <c r="B145" s="13" t="s">
        <v>587</v>
      </c>
      <c r="C145" s="3">
        <f>SUMIF('Raw Data 10-31-2019'!$A$6:$A$255,'Q4 TB-19'!A145,'Raw Data 10-31-2019'!C$6:C$255)</f>
        <v>142911.47</v>
      </c>
      <c r="D145" s="4"/>
      <c r="E145" s="3">
        <f>SUMIF('Raw Data 10-31-2019'!$A$6:$A$255,'Q4 TB-19'!A145,'Raw Data 10-31-2019'!D$6:D$255)</f>
        <v>0</v>
      </c>
      <c r="F145" s="3"/>
      <c r="G145" s="3">
        <f t="shared" si="10"/>
        <v>142911.47</v>
      </c>
      <c r="H145" s="53" t="s">
        <v>438</v>
      </c>
      <c r="J145" s="19"/>
    </row>
    <row r="146" spans="1:10" x14ac:dyDescent="0.75">
      <c r="A146" s="12">
        <v>5060</v>
      </c>
      <c r="B146" s="13" t="s">
        <v>588</v>
      </c>
      <c r="C146" s="3">
        <f>SUMIF('Raw Data 10-31-2019'!$A$6:$A$255,'Q4 TB-19'!A146,'Raw Data 10-31-2019'!C$6:C$255)</f>
        <v>0</v>
      </c>
      <c r="D146" s="4"/>
      <c r="E146" s="3">
        <f>SUMIF('Raw Data 10-31-2019'!$A$6:$A$255,'Q4 TB-19'!A146,'Raw Data 10-31-2019'!D$6:D$255)</f>
        <v>0</v>
      </c>
      <c r="F146" s="3"/>
      <c r="G146" s="3">
        <f t="shared" si="10"/>
        <v>0</v>
      </c>
      <c r="H146" s="53" t="s">
        <v>438</v>
      </c>
      <c r="J146" s="19"/>
    </row>
    <row r="147" spans="1:10" x14ac:dyDescent="0.75">
      <c r="A147" s="12">
        <v>5070</v>
      </c>
      <c r="B147" s="13" t="s">
        <v>589</v>
      </c>
      <c r="C147" s="3">
        <f>SUMIF('Raw Data 10-31-2019'!$A$6:$A$255,'Q4 TB-19'!A147,'Raw Data 10-31-2019'!C$6:C$255)</f>
        <v>0</v>
      </c>
      <c r="D147" s="4"/>
      <c r="E147" s="3">
        <f>SUMIF('Raw Data 10-31-2019'!$A$6:$A$255,'Q4 TB-19'!A147,'Raw Data 10-31-2019'!D$6:D$255)</f>
        <v>0</v>
      </c>
      <c r="F147" s="3"/>
      <c r="G147" s="3">
        <f t="shared" si="10"/>
        <v>0</v>
      </c>
      <c r="H147" s="53" t="s">
        <v>438</v>
      </c>
      <c r="J147" s="19"/>
    </row>
    <row r="148" spans="1:10" x14ac:dyDescent="0.75">
      <c r="A148" s="12">
        <v>5080</v>
      </c>
      <c r="B148" s="13" t="s">
        <v>597</v>
      </c>
      <c r="C148" s="3">
        <f>SUMIF('Raw Data 10-31-2019'!$A$6:$A$255,'Q4 TB-19'!A148,'Raw Data 10-31-2019'!C$6:C$255)</f>
        <v>0</v>
      </c>
      <c r="D148" s="4"/>
      <c r="E148" s="3">
        <f>SUMIF('Raw Data 10-31-2019'!$A$6:$A$255,'Q4 TB-19'!A148,'Raw Data 10-31-2019'!D$6:D$255)</f>
        <v>0</v>
      </c>
      <c r="F148" s="3"/>
      <c r="G148" s="3">
        <f t="shared" si="10"/>
        <v>0</v>
      </c>
      <c r="H148" s="53" t="s">
        <v>438</v>
      </c>
      <c r="J148" s="19"/>
    </row>
    <row r="149" spans="1:10" x14ac:dyDescent="0.75">
      <c r="A149" s="12">
        <v>5085</v>
      </c>
      <c r="B149" s="13" t="s">
        <v>598</v>
      </c>
      <c r="C149" s="3">
        <f>SUMIF('Raw Data 10-31-2019'!$A$6:$A$255,'Q4 TB-19'!A149,'Raw Data 10-31-2019'!C$6:C$255)</f>
        <v>0</v>
      </c>
      <c r="D149" s="4"/>
      <c r="E149" s="3">
        <f>SUMIF('Raw Data 10-31-2019'!$A$6:$A$255,'Q4 TB-19'!A149,'Raw Data 10-31-2019'!D$6:D$255)</f>
        <v>0</v>
      </c>
      <c r="F149" s="3"/>
      <c r="G149" s="3">
        <f t="shared" si="10"/>
        <v>0</v>
      </c>
      <c r="H149" s="53" t="s">
        <v>438</v>
      </c>
      <c r="J149" s="19"/>
    </row>
    <row r="150" spans="1:10" x14ac:dyDescent="0.75">
      <c r="A150" s="12">
        <v>6010</v>
      </c>
      <c r="B150" s="13" t="s">
        <v>590</v>
      </c>
      <c r="C150" s="3">
        <f>SUMIF('Raw Data 10-31-2019'!$A$6:$A$255,'Q4 TB-19'!A150,'Raw Data 10-31-2019'!C$6:C$255)</f>
        <v>9754.42</v>
      </c>
      <c r="D150" s="4"/>
      <c r="E150" s="3">
        <f>SUMIF('Raw Data 10-31-2019'!$A$6:$A$255,'Q4 TB-19'!A150,'Raw Data 10-31-2019'!D$6:D$255)</f>
        <v>0</v>
      </c>
      <c r="F150" s="3"/>
      <c r="G150" s="3">
        <f t="shared" si="10"/>
        <v>9754.42</v>
      </c>
      <c r="H150" t="s">
        <v>439</v>
      </c>
      <c r="J150" s="19"/>
    </row>
    <row r="151" spans="1:10" x14ac:dyDescent="0.75">
      <c r="A151" s="12">
        <v>6015</v>
      </c>
      <c r="B151" s="13" t="s">
        <v>591</v>
      </c>
      <c r="C151" s="3">
        <f>SUMIF('Raw Data 10-31-2019'!$A$6:$A$255,'Q4 TB-19'!A151,'Raw Data 10-31-2019'!C$6:C$255)</f>
        <v>0</v>
      </c>
      <c r="D151" s="4"/>
      <c r="E151" s="3">
        <f>SUMIF('Raw Data 10-31-2019'!$A$6:$A$255,'Q4 TB-19'!A151,'Raw Data 10-31-2019'!D$6:D$255)</f>
        <v>0</v>
      </c>
      <c r="F151" s="3"/>
      <c r="G151" s="3">
        <f t="shared" si="10"/>
        <v>0</v>
      </c>
      <c r="H151" t="s">
        <v>439</v>
      </c>
      <c r="J151" s="19"/>
    </row>
    <row r="152" spans="1:10" x14ac:dyDescent="0.75">
      <c r="A152" s="12">
        <v>6020</v>
      </c>
      <c r="B152" s="13" t="s">
        <v>592</v>
      </c>
      <c r="C152" s="3">
        <f>SUMIF('Raw Data 10-31-2019'!$A$6:$A$255,'Q4 TB-19'!A152,'Raw Data 10-31-2019'!C$6:C$255)</f>
        <v>1746</v>
      </c>
      <c r="D152" s="4"/>
      <c r="E152" s="3">
        <f>SUMIF('Raw Data 10-31-2019'!$A$6:$A$255,'Q4 TB-19'!A152,'Raw Data 10-31-2019'!D$6:D$255)</f>
        <v>0</v>
      </c>
      <c r="F152" s="3"/>
      <c r="G152" s="3">
        <f t="shared" si="10"/>
        <v>1746</v>
      </c>
      <c r="H152" t="s">
        <v>439</v>
      </c>
      <c r="J152" s="19"/>
    </row>
    <row r="153" spans="1:10" x14ac:dyDescent="0.75">
      <c r="A153" s="12">
        <v>6025</v>
      </c>
      <c r="B153" s="13" t="s">
        <v>593</v>
      </c>
      <c r="C153" s="3">
        <f>SUMIF('Raw Data 10-31-2019'!$A$6:$A$255,'Q4 TB-19'!A153,'Raw Data 10-31-2019'!C$6:C$255)</f>
        <v>1266.49</v>
      </c>
      <c r="D153" s="4"/>
      <c r="E153" s="3">
        <f>SUMIF('Raw Data 10-31-2019'!$A$6:$A$255,'Q4 TB-19'!A153,'Raw Data 10-31-2019'!D$6:D$255)</f>
        <v>0</v>
      </c>
      <c r="F153" s="3"/>
      <c r="G153" s="3">
        <f t="shared" si="10"/>
        <v>1266.49</v>
      </c>
      <c r="H153" t="s">
        <v>439</v>
      </c>
      <c r="J153" s="19"/>
    </row>
    <row r="154" spans="1:10" x14ac:dyDescent="0.75">
      <c r="A154" s="12">
        <v>6030</v>
      </c>
      <c r="B154" s="13" t="s">
        <v>594</v>
      </c>
      <c r="C154" s="3">
        <f>SUMIF('Raw Data 10-31-2019'!$A$6:$A$255,'Q4 TB-19'!A154,'Raw Data 10-31-2019'!C$6:C$255)</f>
        <v>2663.15</v>
      </c>
      <c r="D154" s="4"/>
      <c r="E154" s="3">
        <f>SUMIF('Raw Data 10-31-2019'!$A$6:$A$255,'Q4 TB-19'!A154,'Raw Data 10-31-2019'!D$6:D$255)</f>
        <v>0</v>
      </c>
      <c r="F154" s="3"/>
      <c r="G154" s="3">
        <f t="shared" si="10"/>
        <v>2663.15</v>
      </c>
      <c r="H154" t="s">
        <v>439</v>
      </c>
      <c r="J154" s="19"/>
    </row>
    <row r="155" spans="1:10" x14ac:dyDescent="0.75">
      <c r="A155" s="12">
        <v>6035</v>
      </c>
      <c r="B155" s="13" t="s">
        <v>595</v>
      </c>
      <c r="C155" s="3">
        <f>SUMIF('Raw Data 10-31-2019'!$A$6:$A$255,'Q4 TB-19'!A155,'Raw Data 10-31-2019'!C$6:C$255)</f>
        <v>0</v>
      </c>
      <c r="D155" s="4"/>
      <c r="E155" s="3">
        <f>SUMIF('Raw Data 10-31-2019'!$A$6:$A$255,'Q4 TB-19'!A155,'Raw Data 10-31-2019'!D$6:D$255)</f>
        <v>0</v>
      </c>
      <c r="F155" s="3"/>
      <c r="G155" s="3">
        <f t="shared" si="10"/>
        <v>0</v>
      </c>
      <c r="H155" t="s">
        <v>439</v>
      </c>
      <c r="J155" s="19"/>
    </row>
    <row r="156" spans="1:10" x14ac:dyDescent="0.75">
      <c r="A156" s="12">
        <v>6040</v>
      </c>
      <c r="B156" s="13" t="s">
        <v>596</v>
      </c>
      <c r="C156" s="3">
        <f>SUMIF('Raw Data 10-31-2019'!$A$6:$A$255,'Q4 TB-19'!A156,'Raw Data 10-31-2019'!C$6:C$255)</f>
        <v>0</v>
      </c>
      <c r="D156" s="4"/>
      <c r="E156" s="3">
        <f>SUMIF('Raw Data 10-31-2019'!$A$6:$A$255,'Q4 TB-19'!A156,'Raw Data 10-31-2019'!D$6:D$255)</f>
        <v>0</v>
      </c>
      <c r="F156" s="3"/>
      <c r="G156" s="3">
        <f t="shared" si="10"/>
        <v>0</v>
      </c>
      <c r="H156" t="s">
        <v>439</v>
      </c>
      <c r="J156" s="19"/>
    </row>
    <row r="157" spans="1:10" x14ac:dyDescent="0.75">
      <c r="A157" s="12">
        <v>6055</v>
      </c>
      <c r="B157" s="13" t="s">
        <v>599</v>
      </c>
      <c r="C157" s="3">
        <f>SUMIF('Raw Data 10-31-2019'!$A$6:$A$255,'Q4 TB-19'!A157,'Raw Data 10-31-2019'!C$6:C$255)</f>
        <v>598</v>
      </c>
      <c r="D157" s="4"/>
      <c r="E157" s="3">
        <f>SUMIF('Raw Data 10-31-2019'!$A$6:$A$255,'Q4 TB-19'!A157,'Raw Data 10-31-2019'!D$6:D$255)</f>
        <v>0</v>
      </c>
      <c r="F157" s="3"/>
      <c r="G157" s="3">
        <f t="shared" si="10"/>
        <v>598</v>
      </c>
      <c r="H157" t="s">
        <v>439</v>
      </c>
      <c r="J157" s="19"/>
    </row>
    <row r="158" spans="1:10" x14ac:dyDescent="0.75">
      <c r="A158" s="12">
        <v>6060</v>
      </c>
      <c r="B158" s="13" t="s">
        <v>600</v>
      </c>
      <c r="C158" s="3">
        <f>SUMIF('Raw Data 10-31-2019'!$A$6:$A$255,'Q4 TB-19'!A158,'Raw Data 10-31-2019'!C$6:C$255)</f>
        <v>3912.25</v>
      </c>
      <c r="D158" s="4"/>
      <c r="E158" s="3">
        <f>SUMIF('Raw Data 10-31-2019'!$A$6:$A$255,'Q4 TB-19'!A158,'Raw Data 10-31-2019'!D$6:D$255)</f>
        <v>0</v>
      </c>
      <c r="F158" s="3"/>
      <c r="G158" s="3">
        <f t="shared" si="10"/>
        <v>3912.25</v>
      </c>
      <c r="H158" t="s">
        <v>439</v>
      </c>
      <c r="J158" s="19"/>
    </row>
    <row r="159" spans="1:10" x14ac:dyDescent="0.75">
      <c r="A159" s="12">
        <v>6065</v>
      </c>
      <c r="B159" s="13" t="s">
        <v>601</v>
      </c>
      <c r="C159" s="3">
        <f>SUMIF('Raw Data 10-31-2019'!$A$6:$A$255,'Q4 TB-19'!A159,'Raw Data 10-31-2019'!C$6:C$255)</f>
        <v>2500</v>
      </c>
      <c r="D159" s="4"/>
      <c r="E159" s="3">
        <f>SUMIF('Raw Data 10-31-2019'!$A$6:$A$255,'Q4 TB-19'!A159,'Raw Data 10-31-2019'!D$6:D$255)</f>
        <v>0</v>
      </c>
      <c r="F159" s="3"/>
      <c r="G159" s="3">
        <f t="shared" si="10"/>
        <v>2500</v>
      </c>
      <c r="H159" t="s">
        <v>439</v>
      </c>
      <c r="J159" s="19"/>
    </row>
    <row r="160" spans="1:10" x14ac:dyDescent="0.75">
      <c r="A160" s="12">
        <v>6070</v>
      </c>
      <c r="B160" s="13" t="s">
        <v>602</v>
      </c>
      <c r="C160" s="3">
        <f>SUMIF('Raw Data 10-31-2019'!$A$6:$A$255,'Q4 TB-19'!A160,'Raw Data 10-31-2019'!C$6:C$255)</f>
        <v>0</v>
      </c>
      <c r="D160" s="4"/>
      <c r="E160" s="3">
        <f>SUMIF('Raw Data 10-31-2019'!$A$6:$A$255,'Q4 TB-19'!A160,'Raw Data 10-31-2019'!D$6:D$255)</f>
        <v>0</v>
      </c>
      <c r="F160" s="3"/>
      <c r="G160" s="3">
        <f t="shared" si="10"/>
        <v>0</v>
      </c>
      <c r="H160" t="s">
        <v>439</v>
      </c>
      <c r="J160" s="19"/>
    </row>
    <row r="161" spans="1:10" x14ac:dyDescent="0.75">
      <c r="A161" s="12">
        <v>6075</v>
      </c>
      <c r="B161" s="13" t="s">
        <v>603</v>
      </c>
      <c r="C161" s="3">
        <f>SUMIF('Raw Data 10-31-2019'!$A$6:$A$255,'Q4 TB-19'!A161,'Raw Data 10-31-2019'!C$6:C$255)</f>
        <v>43599.73</v>
      </c>
      <c r="D161" s="4"/>
      <c r="E161" s="3">
        <f>SUMIF('Raw Data 10-31-2019'!$A$6:$A$255,'Q4 TB-19'!A161,'Raw Data 10-31-2019'!D$6:D$255)</f>
        <v>0</v>
      </c>
      <c r="F161" s="3"/>
      <c r="G161" s="3">
        <f t="shared" si="10"/>
        <v>43599.73</v>
      </c>
      <c r="H161" t="s">
        <v>439</v>
      </c>
      <c r="J161" s="19"/>
    </row>
    <row r="162" spans="1:10" x14ac:dyDescent="0.75">
      <c r="A162" s="12">
        <v>6080</v>
      </c>
      <c r="B162" s="13" t="s">
        <v>604</v>
      </c>
      <c r="C162" s="3">
        <f>SUMIF('Raw Data 10-31-2019'!$A$6:$A$255,'Q4 TB-19'!A162,'Raw Data 10-31-2019'!C$6:C$255)</f>
        <v>0</v>
      </c>
      <c r="D162" s="4"/>
      <c r="E162" s="3">
        <f>SUMIF('Raw Data 10-31-2019'!$A$6:$A$255,'Q4 TB-19'!A162,'Raw Data 10-31-2019'!D$6:D$255)</f>
        <v>0</v>
      </c>
      <c r="F162" s="3"/>
      <c r="G162" s="3">
        <f t="shared" si="10"/>
        <v>0</v>
      </c>
      <c r="H162" t="s">
        <v>439</v>
      </c>
      <c r="J162" s="19"/>
    </row>
    <row r="163" spans="1:10" x14ac:dyDescent="0.75">
      <c r="A163" s="12">
        <v>6085</v>
      </c>
      <c r="B163" s="13" t="s">
        <v>605</v>
      </c>
      <c r="C163" s="3">
        <f>SUMIF('Raw Data 10-31-2019'!$A$6:$A$255,'Q4 TB-19'!A163,'Raw Data 10-31-2019'!C$6:C$255)</f>
        <v>2267.85</v>
      </c>
      <c r="D163" s="4"/>
      <c r="E163" s="3">
        <f>SUMIF('Raw Data 10-31-2019'!$A$6:$A$255,'Q4 TB-19'!A163,'Raw Data 10-31-2019'!D$6:D$255)</f>
        <v>0</v>
      </c>
      <c r="F163" s="3"/>
      <c r="G163" s="3">
        <f t="shared" si="10"/>
        <v>2267.85</v>
      </c>
      <c r="H163" t="s">
        <v>439</v>
      </c>
      <c r="J163" s="19"/>
    </row>
    <row r="164" spans="1:10" x14ac:dyDescent="0.75">
      <c r="A164" s="12">
        <v>6090</v>
      </c>
      <c r="B164" s="13" t="s">
        <v>606</v>
      </c>
      <c r="C164" s="3">
        <f>SUMIF('Raw Data 10-31-2019'!$A$6:$A$255,'Q4 TB-19'!A164,'Raw Data 10-31-2019'!C$6:C$255)</f>
        <v>0</v>
      </c>
      <c r="D164" s="4"/>
      <c r="E164" s="3">
        <f>SUMIF('Raw Data 10-31-2019'!$A$6:$A$255,'Q4 TB-19'!A164,'Raw Data 10-31-2019'!D$6:D$255)</f>
        <v>0</v>
      </c>
      <c r="F164" s="3"/>
      <c r="G164" s="3">
        <f t="shared" si="10"/>
        <v>0</v>
      </c>
      <c r="H164" t="s">
        <v>439</v>
      </c>
      <c r="J164" s="19"/>
    </row>
    <row r="165" spans="1:10" x14ac:dyDescent="0.75">
      <c r="A165" s="12">
        <v>6095</v>
      </c>
      <c r="B165" s="13" t="s">
        <v>607</v>
      </c>
      <c r="C165" s="3">
        <f>SUMIF('Raw Data 10-31-2019'!$A$6:$A$255,'Q4 TB-19'!A165,'Raw Data 10-31-2019'!C$6:C$255)</f>
        <v>0</v>
      </c>
      <c r="D165" s="4"/>
      <c r="E165" s="3">
        <f>SUMIF('Raw Data 10-31-2019'!$A$6:$A$255,'Q4 TB-19'!A165,'Raw Data 10-31-2019'!D$6:D$255)</f>
        <v>0</v>
      </c>
      <c r="F165" s="3"/>
      <c r="G165" s="3">
        <f t="shared" si="10"/>
        <v>0</v>
      </c>
      <c r="H165" t="s">
        <v>439</v>
      </c>
      <c r="J165" s="19"/>
    </row>
    <row r="166" spans="1:10" x14ac:dyDescent="0.75">
      <c r="A166" s="12">
        <v>6100</v>
      </c>
      <c r="B166" s="13" t="s">
        <v>608</v>
      </c>
      <c r="C166" s="3">
        <f>SUMIF('Raw Data 10-31-2019'!$A$6:$A$255,'Q4 TB-19'!A166,'Raw Data 10-31-2019'!C$6:C$255)</f>
        <v>1494</v>
      </c>
      <c r="D166" s="4"/>
      <c r="E166" s="3">
        <f>SUMIF('Raw Data 10-31-2019'!$A$6:$A$255,'Q4 TB-19'!A166,'Raw Data 10-31-2019'!D$6:D$255)</f>
        <v>0</v>
      </c>
      <c r="F166" s="3"/>
      <c r="G166" s="3">
        <f t="shared" si="10"/>
        <v>1494</v>
      </c>
      <c r="H166" t="s">
        <v>439</v>
      </c>
      <c r="J166" s="19"/>
    </row>
    <row r="167" spans="1:10" x14ac:dyDescent="0.75">
      <c r="A167" s="12">
        <v>6105</v>
      </c>
      <c r="B167" s="13" t="s">
        <v>609</v>
      </c>
      <c r="C167" s="3">
        <f>SUMIF('Raw Data 10-31-2019'!$A$6:$A$255,'Q4 TB-19'!A167,'Raw Data 10-31-2019'!C$6:C$255)</f>
        <v>3764.8599999999997</v>
      </c>
      <c r="D167" s="4"/>
      <c r="E167" s="3">
        <f>SUMIF('Raw Data 10-31-2019'!$A$6:$A$255,'Q4 TB-19'!A167,'Raw Data 10-31-2019'!D$6:D$255)</f>
        <v>0</v>
      </c>
      <c r="F167" s="3"/>
      <c r="G167" s="3">
        <f t="shared" si="10"/>
        <v>3764.8599999999997</v>
      </c>
      <c r="H167" t="s">
        <v>439</v>
      </c>
      <c r="J167" s="19"/>
    </row>
    <row r="168" spans="1:10" x14ac:dyDescent="0.75">
      <c r="A168" s="12">
        <v>6110</v>
      </c>
      <c r="B168" s="13" t="s">
        <v>610</v>
      </c>
      <c r="C168" s="3">
        <f>SUMIF('Raw Data 10-31-2019'!$A$6:$A$255,'Q4 TB-19'!A168,'Raw Data 10-31-2019'!C$6:C$255)</f>
        <v>0</v>
      </c>
      <c r="D168" s="4"/>
      <c r="E168" s="3">
        <f>SUMIF('Raw Data 10-31-2019'!$A$6:$A$255,'Q4 TB-19'!A168,'Raw Data 10-31-2019'!D$6:D$255)</f>
        <v>0</v>
      </c>
      <c r="F168" s="3"/>
      <c r="G168" s="3">
        <f t="shared" si="10"/>
        <v>0</v>
      </c>
      <c r="H168" t="s">
        <v>439</v>
      </c>
      <c r="J168" s="19"/>
    </row>
    <row r="169" spans="1:10" x14ac:dyDescent="0.75">
      <c r="A169" s="12">
        <v>6115</v>
      </c>
      <c r="B169" s="13" t="s">
        <v>611</v>
      </c>
      <c r="C169" s="3">
        <f>SUMIF('Raw Data 10-31-2019'!$A$6:$A$255,'Q4 TB-19'!A169,'Raw Data 10-31-2019'!C$6:C$255)</f>
        <v>3111.42</v>
      </c>
      <c r="D169" s="4"/>
      <c r="E169" s="3">
        <f>SUMIF('Raw Data 10-31-2019'!$A$6:$A$255,'Q4 TB-19'!A169,'Raw Data 10-31-2019'!D$6:D$255)</f>
        <v>0</v>
      </c>
      <c r="F169" s="3"/>
      <c r="G169" s="3">
        <f t="shared" si="10"/>
        <v>3111.42</v>
      </c>
      <c r="H169" t="s">
        <v>439</v>
      </c>
      <c r="J169" s="19"/>
    </row>
    <row r="170" spans="1:10" x14ac:dyDescent="0.75">
      <c r="A170" s="12">
        <v>6120</v>
      </c>
      <c r="B170" s="13" t="s">
        <v>612</v>
      </c>
      <c r="C170" s="3">
        <f>SUMIF('Raw Data 10-31-2019'!$A$6:$A$255,'Q4 TB-19'!A170,'Raw Data 10-31-2019'!C$6:C$255)</f>
        <v>676.13</v>
      </c>
      <c r="D170" s="4"/>
      <c r="E170" s="3">
        <f>SUMIF('Raw Data 10-31-2019'!$A$6:$A$255,'Q4 TB-19'!A170,'Raw Data 10-31-2019'!D$6:D$255)</f>
        <v>0</v>
      </c>
      <c r="F170" s="3"/>
      <c r="G170" s="3">
        <f t="shared" si="10"/>
        <v>676.13</v>
      </c>
      <c r="H170" t="s">
        <v>439</v>
      </c>
      <c r="J170" s="19"/>
    </row>
    <row r="171" spans="1:10" x14ac:dyDescent="0.75">
      <c r="A171" s="12">
        <v>6125</v>
      </c>
      <c r="B171" s="13" t="s">
        <v>613</v>
      </c>
      <c r="C171" s="3">
        <f>SUMIF('Raw Data 10-31-2019'!$A$6:$A$255,'Q4 TB-19'!A171,'Raw Data 10-31-2019'!C$6:C$255)</f>
        <v>0</v>
      </c>
      <c r="D171" s="4"/>
      <c r="E171" s="3">
        <f>SUMIF('Raw Data 10-31-2019'!$A$6:$A$255,'Q4 TB-19'!A171,'Raw Data 10-31-2019'!D$6:D$255)</f>
        <v>0</v>
      </c>
      <c r="F171" s="3"/>
      <c r="G171" s="3">
        <f t="shared" si="10"/>
        <v>0</v>
      </c>
      <c r="H171" t="s">
        <v>439</v>
      </c>
      <c r="J171" s="19"/>
    </row>
    <row r="172" spans="1:10" x14ac:dyDescent="0.75">
      <c r="A172" s="12">
        <v>6130</v>
      </c>
      <c r="B172" s="13" t="s">
        <v>614</v>
      </c>
      <c r="C172" s="3">
        <f>SUMIF('Raw Data 10-31-2019'!$A$6:$A$255,'Q4 TB-19'!A172,'Raw Data 10-31-2019'!C$6:C$255)</f>
        <v>0</v>
      </c>
      <c r="D172" s="4"/>
      <c r="E172" s="3">
        <f>SUMIF('Raw Data 10-31-2019'!$A$6:$A$255,'Q4 TB-19'!A172,'Raw Data 10-31-2019'!D$6:D$255)</f>
        <v>0</v>
      </c>
      <c r="F172" s="3"/>
      <c r="G172" s="3">
        <f t="shared" si="10"/>
        <v>0</v>
      </c>
      <c r="H172" t="s">
        <v>439</v>
      </c>
      <c r="J172" s="19"/>
    </row>
    <row r="173" spans="1:10" x14ac:dyDescent="0.75">
      <c r="A173" s="12">
        <v>6135</v>
      </c>
      <c r="B173" s="13" t="s">
        <v>615</v>
      </c>
      <c r="C173" s="3">
        <f>SUMIF('Raw Data 10-31-2019'!$A$6:$A$255,'Q4 TB-19'!A173,'Raw Data 10-31-2019'!C$6:C$255)</f>
        <v>12004.22</v>
      </c>
      <c r="D173" s="4"/>
      <c r="E173" s="3">
        <f>SUMIF('Raw Data 10-31-2019'!$A$6:$A$255,'Q4 TB-19'!A173,'Raw Data 10-31-2019'!D$6:D$255)</f>
        <v>0</v>
      </c>
      <c r="F173" s="3"/>
      <c r="G173" s="3">
        <f t="shared" si="10"/>
        <v>12004.22</v>
      </c>
      <c r="H173" t="s">
        <v>439</v>
      </c>
      <c r="J173" s="19"/>
    </row>
    <row r="174" spans="1:10" x14ac:dyDescent="0.75">
      <c r="A174" s="12">
        <v>6140</v>
      </c>
      <c r="B174" s="13" t="s">
        <v>616</v>
      </c>
      <c r="C174" s="3">
        <f>SUMIF('Raw Data 10-31-2019'!$A$6:$A$255,'Q4 TB-19'!A174,'Raw Data 10-31-2019'!C$6:C$255)</f>
        <v>0</v>
      </c>
      <c r="D174" s="4"/>
      <c r="E174" s="3">
        <f>SUMIF('Raw Data 10-31-2019'!$A$6:$A$255,'Q4 TB-19'!A174,'Raw Data 10-31-2019'!D$6:D$255)</f>
        <v>0</v>
      </c>
      <c r="F174" s="3"/>
      <c r="G174" s="3">
        <f t="shared" si="10"/>
        <v>0</v>
      </c>
      <c r="H174" t="s">
        <v>439</v>
      </c>
      <c r="J174" s="19"/>
    </row>
    <row r="175" spans="1:10" x14ac:dyDescent="0.75">
      <c r="A175" s="12">
        <v>6145</v>
      </c>
      <c r="B175" s="13" t="s">
        <v>617</v>
      </c>
      <c r="C175" s="3">
        <f>SUMIF('Raw Data 10-31-2019'!$A$6:$A$255,'Q4 TB-19'!A175,'Raw Data 10-31-2019'!C$6:C$255)</f>
        <v>0</v>
      </c>
      <c r="D175" s="4"/>
      <c r="E175" s="3">
        <f>SUMIF('Raw Data 10-31-2019'!$A$6:$A$255,'Q4 TB-19'!A175,'Raw Data 10-31-2019'!D$6:D$255)</f>
        <v>0</v>
      </c>
      <c r="F175" s="3"/>
      <c r="G175" s="3">
        <f t="shared" si="10"/>
        <v>0</v>
      </c>
      <c r="H175" t="s">
        <v>439</v>
      </c>
      <c r="J175" s="19"/>
    </row>
    <row r="176" spans="1:10" x14ac:dyDescent="0.75">
      <c r="A176" s="12">
        <v>6150</v>
      </c>
      <c r="B176" s="13" t="s">
        <v>618</v>
      </c>
      <c r="C176" s="3">
        <f>SUMIF('Raw Data 10-31-2019'!$A$6:$A$255,'Q4 TB-19'!A176,'Raw Data 10-31-2019'!C$6:C$255)</f>
        <v>3187</v>
      </c>
      <c r="D176" s="4"/>
      <c r="E176" s="3">
        <f>SUMIF('Raw Data 10-31-2019'!$A$6:$A$255,'Q4 TB-19'!A176,'Raw Data 10-31-2019'!D$6:D$255)</f>
        <v>0</v>
      </c>
      <c r="F176" s="3"/>
      <c r="G176" s="3">
        <f t="shared" si="10"/>
        <v>3187</v>
      </c>
      <c r="H176" t="s">
        <v>439</v>
      </c>
      <c r="J176" s="19"/>
    </row>
    <row r="177" spans="1:10" x14ac:dyDescent="0.75">
      <c r="A177" s="12">
        <v>6155</v>
      </c>
      <c r="B177" s="13" t="s">
        <v>619</v>
      </c>
      <c r="C177" s="3">
        <f>SUMIF('Raw Data 10-31-2019'!$A$6:$A$255,'Q4 TB-19'!A177,'Raw Data 10-31-2019'!C$6:C$255)</f>
        <v>11252.11</v>
      </c>
      <c r="D177" s="4"/>
      <c r="E177" s="3">
        <f>SUMIF('Raw Data 10-31-2019'!$A$6:$A$255,'Q4 TB-19'!A177,'Raw Data 10-31-2019'!D$6:D$255)</f>
        <v>0</v>
      </c>
      <c r="F177" s="3"/>
      <c r="G177" s="3">
        <f t="shared" si="10"/>
        <v>11252.11</v>
      </c>
      <c r="H177" t="s">
        <v>439</v>
      </c>
      <c r="J177" s="19"/>
    </row>
    <row r="178" spans="1:10" x14ac:dyDescent="0.75">
      <c r="A178" s="12">
        <v>6200</v>
      </c>
      <c r="B178" s="13" t="s">
        <v>625</v>
      </c>
      <c r="C178" s="3">
        <f>SUMIF('Raw Data 10-31-2019'!$A$6:$A$255,'Q4 TB-19'!A178,'Raw Data 10-31-2019'!C$6:C$255)</f>
        <v>0</v>
      </c>
      <c r="D178" s="4"/>
      <c r="E178" s="3">
        <f>SUMIF('Raw Data 10-31-2019'!$A$6:$A$255,'Q4 TB-19'!A178,'Raw Data 10-31-2019'!D$6:D$255)</f>
        <v>0</v>
      </c>
      <c r="F178" s="3"/>
      <c r="G178" s="3">
        <f t="shared" si="10"/>
        <v>0</v>
      </c>
      <c r="H178" s="53" t="s">
        <v>439</v>
      </c>
      <c r="J178" s="19"/>
    </row>
    <row r="179" spans="1:10" x14ac:dyDescent="0.75">
      <c r="A179" s="12">
        <v>6205</v>
      </c>
      <c r="B179" s="13" t="s">
        <v>626</v>
      </c>
      <c r="C179" s="3">
        <f>SUMIF('Raw Data 10-31-2019'!$A$6:$A$255,'Q4 TB-19'!A179,'Raw Data 10-31-2019'!C$6:C$255)</f>
        <v>0</v>
      </c>
      <c r="D179" s="4"/>
      <c r="E179" s="3">
        <f>SUMIF('Raw Data 10-31-2019'!$A$6:$A$255,'Q4 TB-19'!A179,'Raw Data 10-31-2019'!D$6:D$255)</f>
        <v>0</v>
      </c>
      <c r="F179" s="3"/>
      <c r="G179" s="3">
        <f t="shared" si="10"/>
        <v>0</v>
      </c>
      <c r="H179" s="53" t="s">
        <v>439</v>
      </c>
      <c r="J179" s="19"/>
    </row>
    <row r="180" spans="1:10" x14ac:dyDescent="0.75">
      <c r="A180" s="12">
        <v>6210</v>
      </c>
      <c r="B180" s="13" t="s">
        <v>627</v>
      </c>
      <c r="C180" s="3">
        <f>SUMIF('Raw Data 10-31-2019'!$A$6:$A$255,'Q4 TB-19'!A180,'Raw Data 10-31-2019'!C$6:C$255)</f>
        <v>895</v>
      </c>
      <c r="D180" s="4"/>
      <c r="E180" s="3">
        <f>SUMIF('Raw Data 10-31-2019'!$A$6:$A$255,'Q4 TB-19'!A180,'Raw Data 10-31-2019'!D$6:D$255)</f>
        <v>0</v>
      </c>
      <c r="F180" s="3"/>
      <c r="G180" s="3">
        <f t="shared" si="10"/>
        <v>895</v>
      </c>
      <c r="H180" s="53" t="s">
        <v>439</v>
      </c>
      <c r="J180" s="19"/>
    </row>
    <row r="181" spans="1:10" x14ac:dyDescent="0.75">
      <c r="A181" s="12">
        <v>6215</v>
      </c>
      <c r="B181" s="13" t="s">
        <v>628</v>
      </c>
      <c r="C181" s="3">
        <f>SUMIF('Raw Data 10-31-2019'!$A$6:$A$255,'Q4 TB-19'!A181,'Raw Data 10-31-2019'!C$6:C$255)</f>
        <v>0</v>
      </c>
      <c r="D181" s="4"/>
      <c r="E181" s="3">
        <f>SUMIF('Raw Data 10-31-2019'!$A$6:$A$255,'Q4 TB-19'!A181,'Raw Data 10-31-2019'!D$6:D$255)</f>
        <v>2784.25</v>
      </c>
      <c r="F181" s="3"/>
      <c r="G181" s="3">
        <f t="shared" si="10"/>
        <v>-2784.25</v>
      </c>
      <c r="H181" s="53" t="s">
        <v>439</v>
      </c>
      <c r="J181" s="19"/>
    </row>
    <row r="182" spans="1:10" x14ac:dyDescent="0.75">
      <c r="A182" s="12">
        <v>6220</v>
      </c>
      <c r="B182" s="13" t="s">
        <v>629</v>
      </c>
      <c r="C182" s="3">
        <f>SUMIF('Raw Data 10-31-2019'!$A$6:$A$255,'Q4 TB-19'!A182,'Raw Data 10-31-2019'!C$6:C$255)</f>
        <v>5203.76</v>
      </c>
      <c r="D182" s="4"/>
      <c r="E182" s="3">
        <f>SUMIF('Raw Data 10-31-2019'!$A$6:$A$255,'Q4 TB-19'!A182,'Raw Data 10-31-2019'!D$6:D$255)</f>
        <v>0</v>
      </c>
      <c r="F182" s="3"/>
      <c r="G182" s="3">
        <f t="shared" si="10"/>
        <v>5203.76</v>
      </c>
      <c r="H182" s="53" t="s">
        <v>439</v>
      </c>
      <c r="J182" s="19"/>
    </row>
    <row r="183" spans="1:10" x14ac:dyDescent="0.75">
      <c r="A183" s="12">
        <v>6225</v>
      </c>
      <c r="B183" s="13" t="s">
        <v>630</v>
      </c>
      <c r="C183" s="3">
        <f>SUMIF('Raw Data 10-31-2019'!$A$6:$A$255,'Q4 TB-19'!A183,'Raw Data 10-31-2019'!C$6:C$255)</f>
        <v>0</v>
      </c>
      <c r="D183" s="4"/>
      <c r="E183" s="3">
        <f>SUMIF('Raw Data 10-31-2019'!$A$6:$A$255,'Q4 TB-19'!A183,'Raw Data 10-31-2019'!D$6:D$255)</f>
        <v>0</v>
      </c>
      <c r="F183" s="3"/>
      <c r="G183" s="3">
        <f t="shared" si="10"/>
        <v>0</v>
      </c>
      <c r="H183" s="53" t="s">
        <v>439</v>
      </c>
      <c r="J183" s="19"/>
    </row>
    <row r="184" spans="1:10" x14ac:dyDescent="0.75">
      <c r="A184" s="12">
        <v>6230</v>
      </c>
      <c r="B184" s="13" t="s">
        <v>631</v>
      </c>
      <c r="C184" s="3">
        <f>SUMIF('Raw Data 10-31-2019'!$A$6:$A$255,'Q4 TB-19'!A184,'Raw Data 10-31-2019'!C$6:C$255)</f>
        <v>0</v>
      </c>
      <c r="D184" s="4"/>
      <c r="E184" s="3">
        <f>SUMIF('Raw Data 10-31-2019'!$A$6:$A$255,'Q4 TB-19'!A184,'Raw Data 10-31-2019'!D$6:D$255)</f>
        <v>0</v>
      </c>
      <c r="F184" s="3"/>
      <c r="G184" s="3">
        <f t="shared" si="10"/>
        <v>0</v>
      </c>
      <c r="H184" s="53" t="s">
        <v>439</v>
      </c>
      <c r="J184" s="19"/>
    </row>
    <row r="185" spans="1:10" x14ac:dyDescent="0.75">
      <c r="A185" s="12">
        <v>6235</v>
      </c>
      <c r="B185" s="13" t="s">
        <v>632</v>
      </c>
      <c r="C185" s="3">
        <f>SUMIF('Raw Data 10-31-2019'!$A$6:$A$255,'Q4 TB-19'!A185,'Raw Data 10-31-2019'!C$6:C$255)</f>
        <v>0</v>
      </c>
      <c r="D185" s="4"/>
      <c r="E185" s="3">
        <f>SUMIF('Raw Data 10-31-2019'!$A$6:$A$255,'Q4 TB-19'!A185,'Raw Data 10-31-2019'!D$6:D$255)</f>
        <v>0</v>
      </c>
      <c r="F185" s="3"/>
      <c r="G185" s="3">
        <f t="shared" si="10"/>
        <v>0</v>
      </c>
      <c r="H185" t="s">
        <v>439</v>
      </c>
      <c r="J185" s="19"/>
    </row>
    <row r="186" spans="1:10" x14ac:dyDescent="0.75">
      <c r="A186" s="12">
        <v>6240</v>
      </c>
      <c r="B186" s="13" t="s">
        <v>633</v>
      </c>
      <c r="C186" s="3">
        <f>SUMIF('Raw Data 10-31-2019'!$A$6:$A$255,'Q4 TB-19'!A186,'Raw Data 10-31-2019'!C$6:C$255)</f>
        <v>0</v>
      </c>
      <c r="D186" s="4"/>
      <c r="E186" s="3">
        <f>SUMIF('Raw Data 10-31-2019'!$A$6:$A$255,'Q4 TB-19'!A186,'Raw Data 10-31-2019'!D$6:D$255)</f>
        <v>0</v>
      </c>
      <c r="F186" s="3"/>
      <c r="G186" s="3">
        <f t="shared" si="10"/>
        <v>0</v>
      </c>
      <c r="H186" t="s">
        <v>439</v>
      </c>
      <c r="J186" s="19"/>
    </row>
    <row r="187" spans="1:10" x14ac:dyDescent="0.75">
      <c r="A187" s="12">
        <v>6245</v>
      </c>
      <c r="B187" s="13" t="s">
        <v>634</v>
      </c>
      <c r="C187" s="3">
        <f>SUMIF('Raw Data 10-31-2019'!$A$6:$A$255,'Q4 TB-19'!A187,'Raw Data 10-31-2019'!C$6:C$255)</f>
        <v>2061.5700000000002</v>
      </c>
      <c r="D187" s="4"/>
      <c r="E187" s="3">
        <f>SUMIF('Raw Data 10-31-2019'!$A$6:$A$255,'Q4 TB-19'!A187,'Raw Data 10-31-2019'!D$6:D$255)</f>
        <v>0</v>
      </c>
      <c r="F187" s="3"/>
      <c r="G187" s="3">
        <f t="shared" si="10"/>
        <v>2061.5700000000002</v>
      </c>
      <c r="H187" t="s">
        <v>439</v>
      </c>
      <c r="J187" s="19"/>
    </row>
    <row r="188" spans="1:10" x14ac:dyDescent="0.75">
      <c r="A188" s="12">
        <v>6250</v>
      </c>
      <c r="B188" s="13" t="s">
        <v>635</v>
      </c>
      <c r="C188" s="3">
        <f>SUMIF('Raw Data 10-31-2019'!$A$6:$A$255,'Q4 TB-19'!A188,'Raw Data 10-31-2019'!C$6:C$255)</f>
        <v>0</v>
      </c>
      <c r="D188" s="4"/>
      <c r="E188" s="3">
        <f>SUMIF('Raw Data 10-31-2019'!$A$6:$A$255,'Q4 TB-19'!A188,'Raw Data 10-31-2019'!D$6:D$255)</f>
        <v>0</v>
      </c>
      <c r="F188" s="3"/>
      <c r="G188" s="3">
        <f t="shared" si="10"/>
        <v>0</v>
      </c>
      <c r="H188" t="s">
        <v>439</v>
      </c>
      <c r="J188" s="19"/>
    </row>
    <row r="189" spans="1:10" x14ac:dyDescent="0.75">
      <c r="A189" s="14">
        <v>6255</v>
      </c>
      <c r="B189" s="13" t="s">
        <v>636</v>
      </c>
      <c r="C189" s="3">
        <f>SUMIF('Raw Data 10-31-2019'!$A$6:$A$255,'Q4 TB-19'!A189,'Raw Data 10-31-2019'!C$6:C$255)</f>
        <v>58.68</v>
      </c>
      <c r="D189" s="4"/>
      <c r="E189" s="3">
        <f>SUMIF('Raw Data 10-31-2019'!$A$6:$A$255,'Q4 TB-19'!A189,'Raw Data 10-31-2019'!D$6:D$255)</f>
        <v>0</v>
      </c>
      <c r="F189" s="3"/>
      <c r="G189" s="3">
        <f t="shared" si="10"/>
        <v>58.68</v>
      </c>
      <c r="H189" t="s">
        <v>439</v>
      </c>
      <c r="J189" s="19"/>
    </row>
    <row r="190" spans="1:10" x14ac:dyDescent="0.75">
      <c r="A190" s="14">
        <v>6260</v>
      </c>
      <c r="B190" s="13" t="s">
        <v>637</v>
      </c>
      <c r="C190" s="3">
        <f>SUMIF('Raw Data 10-31-2019'!$A$6:$A$255,'Q4 TB-19'!A190,'Raw Data 10-31-2019'!C$6:C$255)</f>
        <v>261.17</v>
      </c>
      <c r="D190" s="4"/>
      <c r="E190" s="3">
        <f>SUMIF('Raw Data 10-31-2019'!$A$6:$A$255,'Q4 TB-19'!A190,'Raw Data 10-31-2019'!D$6:D$255)</f>
        <v>0</v>
      </c>
      <c r="F190" s="3"/>
      <c r="G190" s="3">
        <f t="shared" si="10"/>
        <v>261.17</v>
      </c>
      <c r="H190" t="s">
        <v>439</v>
      </c>
      <c r="J190" s="19"/>
    </row>
    <row r="191" spans="1:10" x14ac:dyDescent="0.75">
      <c r="A191" s="14">
        <v>6265</v>
      </c>
      <c r="B191" s="13" t="s">
        <v>638</v>
      </c>
      <c r="C191" s="3">
        <f>SUMIF('Raw Data 10-31-2019'!$A$6:$A$255,'Q4 TB-19'!A191,'Raw Data 10-31-2019'!C$6:C$255)</f>
        <v>14.5</v>
      </c>
      <c r="D191" s="4"/>
      <c r="E191" s="3">
        <f>SUMIF('Raw Data 10-31-2019'!$A$6:$A$255,'Q4 TB-19'!A191,'Raw Data 10-31-2019'!D$6:D$255)</f>
        <v>0</v>
      </c>
      <c r="F191" s="3"/>
      <c r="G191" s="3">
        <f t="shared" si="10"/>
        <v>14.5</v>
      </c>
      <c r="H191" t="s">
        <v>439</v>
      </c>
      <c r="J191" s="19"/>
    </row>
    <row r="192" spans="1:10" x14ac:dyDescent="0.75">
      <c r="A192" s="14">
        <v>6270</v>
      </c>
      <c r="B192" s="13" t="s">
        <v>639</v>
      </c>
      <c r="C192" s="3">
        <f>SUMIF('Raw Data 10-31-2019'!$A$6:$A$255,'Q4 TB-19'!A192,'Raw Data 10-31-2019'!C$6:C$255)</f>
        <v>105785</v>
      </c>
      <c r="D192" s="4"/>
      <c r="E192" s="3">
        <f>SUMIF('Raw Data 10-31-2019'!$A$6:$A$255,'Q4 TB-19'!A192,'Raw Data 10-31-2019'!D$6:D$255)</f>
        <v>0</v>
      </c>
      <c r="F192" s="3"/>
      <c r="G192" s="3">
        <f t="shared" si="10"/>
        <v>105785</v>
      </c>
      <c r="H192" t="s">
        <v>439</v>
      </c>
      <c r="J192" s="19"/>
    </row>
    <row r="193" spans="1:10" s="6" customFormat="1" x14ac:dyDescent="0.75">
      <c r="A193" s="12">
        <v>6275</v>
      </c>
      <c r="B193" s="13" t="s">
        <v>640</v>
      </c>
      <c r="C193" s="3">
        <f>SUMIF('Raw Data 10-31-2019'!$A$6:$A$255,'Q4 TB-19'!A193,'Raw Data 10-31-2019'!C$6:C$255)</f>
        <v>105204.17</v>
      </c>
      <c r="D193" s="4"/>
      <c r="E193" s="3">
        <f>SUMIF('Raw Data 10-31-2019'!$A$6:$A$255,'Q4 TB-19'!A193,'Raw Data 10-31-2019'!D$6:D$255)</f>
        <v>0</v>
      </c>
      <c r="F193" s="3"/>
      <c r="G193" s="3">
        <f t="shared" si="10"/>
        <v>105204.17</v>
      </c>
      <c r="H193" t="s">
        <v>439</v>
      </c>
      <c r="I193"/>
      <c r="J193" s="19"/>
    </row>
    <row r="194" spans="1:10" x14ac:dyDescent="0.75">
      <c r="A194" s="14">
        <v>6280</v>
      </c>
      <c r="B194" s="13" t="s">
        <v>641</v>
      </c>
      <c r="C194" s="3">
        <f>SUMIF('Raw Data 10-31-2019'!$A$6:$A$255,'Q4 TB-19'!A194,'Raw Data 10-31-2019'!C$6:C$255)</f>
        <v>21320</v>
      </c>
      <c r="D194" s="4"/>
      <c r="E194" s="3">
        <f>SUMIF('Raw Data 10-31-2019'!$A$6:$A$255,'Q4 TB-19'!A194,'Raw Data 10-31-2019'!D$6:D$255)</f>
        <v>0</v>
      </c>
      <c r="F194" s="3"/>
      <c r="G194" s="3">
        <f t="shared" si="10"/>
        <v>21320</v>
      </c>
      <c r="H194" t="s">
        <v>439</v>
      </c>
      <c r="J194" s="19"/>
    </row>
    <row r="195" spans="1:10" x14ac:dyDescent="0.75">
      <c r="A195" s="12">
        <v>6285</v>
      </c>
      <c r="B195" s="13" t="s">
        <v>642</v>
      </c>
      <c r="C195" s="3">
        <f>SUMIF('Raw Data 10-31-2019'!$A$6:$A$255,'Q4 TB-19'!A195,'Raw Data 10-31-2019'!C$6:C$255)</f>
        <v>0</v>
      </c>
      <c r="D195" s="4"/>
      <c r="E195" s="3">
        <f>SUMIF('Raw Data 10-31-2019'!$A$6:$A$255,'Q4 TB-19'!A195,'Raw Data 10-31-2019'!D$6:D$255)</f>
        <v>0</v>
      </c>
      <c r="F195" s="3"/>
      <c r="G195" s="3">
        <f t="shared" si="10"/>
        <v>0</v>
      </c>
      <c r="H195" t="s">
        <v>439</v>
      </c>
      <c r="J195" s="19"/>
    </row>
    <row r="196" spans="1:10" x14ac:dyDescent="0.75">
      <c r="A196" s="14">
        <v>6290</v>
      </c>
      <c r="B196" s="13" t="s">
        <v>643</v>
      </c>
      <c r="C196" s="3">
        <f>SUMIF('Raw Data 10-31-2019'!$A$6:$A$255,'Q4 TB-19'!A196,'Raw Data 10-31-2019'!C$6:C$255)</f>
        <v>0</v>
      </c>
      <c r="D196" s="4"/>
      <c r="E196" s="3">
        <f>SUMIF('Raw Data 10-31-2019'!$A$6:$A$255,'Q4 TB-19'!A196,'Raw Data 10-31-2019'!D$6:D$255)</f>
        <v>0</v>
      </c>
      <c r="F196" s="3"/>
      <c r="G196" s="3">
        <f t="shared" si="10"/>
        <v>0</v>
      </c>
      <c r="H196" t="s">
        <v>439</v>
      </c>
      <c r="J196" s="19"/>
    </row>
    <row r="197" spans="1:10" x14ac:dyDescent="0.75">
      <c r="A197" s="14">
        <v>6295</v>
      </c>
      <c r="B197" s="13" t="s">
        <v>644</v>
      </c>
      <c r="C197" s="3">
        <f>SUMIF('Raw Data 10-31-2019'!$A$6:$A$255,'Q4 TB-19'!A197,'Raw Data 10-31-2019'!C$6:C$255)</f>
        <v>8885</v>
      </c>
      <c r="D197" s="4"/>
      <c r="E197" s="3">
        <f>SUMIF('Raw Data 10-31-2019'!$A$6:$A$255,'Q4 TB-19'!A197,'Raw Data 10-31-2019'!D$6:D$255)</f>
        <v>0</v>
      </c>
      <c r="F197" s="3"/>
      <c r="G197" s="3">
        <f t="shared" si="10"/>
        <v>8885</v>
      </c>
      <c r="H197" t="s">
        <v>439</v>
      </c>
      <c r="I197" s="6"/>
      <c r="J197" s="19"/>
    </row>
    <row r="198" spans="1:10" x14ac:dyDescent="0.75">
      <c r="A198" s="14">
        <v>6300</v>
      </c>
      <c r="B198" s="13" t="s">
        <v>645</v>
      </c>
      <c r="C198" s="3">
        <f>SUMIF('Raw Data 10-31-2019'!$A$6:$A$255,'Q4 TB-19'!A198,'Raw Data 10-31-2019'!C$6:C$255)</f>
        <v>8199</v>
      </c>
      <c r="D198" s="4"/>
      <c r="E198" s="3">
        <f>SUMIF('Raw Data 10-31-2019'!$A$6:$A$255,'Q4 TB-19'!A198,'Raw Data 10-31-2019'!D$6:D$255)</f>
        <v>0</v>
      </c>
      <c r="F198" s="3"/>
      <c r="G198" s="3">
        <f t="shared" si="10"/>
        <v>8199</v>
      </c>
      <c r="H198" t="s">
        <v>439</v>
      </c>
      <c r="J198" s="19"/>
    </row>
    <row r="199" spans="1:10" x14ac:dyDescent="0.75">
      <c r="A199" s="14">
        <v>6305</v>
      </c>
      <c r="B199" s="13" t="s">
        <v>646</v>
      </c>
      <c r="C199" s="3">
        <f>SUMIF('Raw Data 10-31-2019'!$A$6:$A$255,'Q4 TB-19'!A199,'Raw Data 10-31-2019'!C$6:C$255)</f>
        <v>0</v>
      </c>
      <c r="D199" s="4"/>
      <c r="E199" s="3">
        <f>SUMIF('Raw Data 10-31-2019'!$A$6:$A$255,'Q4 TB-19'!A199,'Raw Data 10-31-2019'!D$6:D$255)</f>
        <v>0</v>
      </c>
      <c r="F199" s="3"/>
      <c r="G199" s="3">
        <f t="shared" si="10"/>
        <v>0</v>
      </c>
      <c r="H199" t="s">
        <v>439</v>
      </c>
      <c r="J199" s="19"/>
    </row>
    <row r="200" spans="1:10" x14ac:dyDescent="0.75">
      <c r="A200" s="12">
        <v>6310</v>
      </c>
      <c r="B200" s="13" t="s">
        <v>647</v>
      </c>
      <c r="C200" s="3">
        <f>SUMIF('Raw Data 10-31-2019'!$A$6:$A$255,'Q4 TB-19'!A200,'Raw Data 10-31-2019'!C$6:C$255)</f>
        <v>0</v>
      </c>
      <c r="D200" s="4"/>
      <c r="E200" s="3">
        <f>SUMIF('Raw Data 10-31-2019'!$A$6:$A$255,'Q4 TB-19'!A200,'Raw Data 10-31-2019'!D$6:D$255)</f>
        <v>0</v>
      </c>
      <c r="F200" s="3"/>
      <c r="G200" s="3">
        <f t="shared" si="10"/>
        <v>0</v>
      </c>
      <c r="H200" t="s">
        <v>439</v>
      </c>
      <c r="J200" s="19">
        <f>22577.84+9634.11</f>
        <v>32211.95</v>
      </c>
    </row>
    <row r="201" spans="1:10" x14ac:dyDescent="0.75">
      <c r="A201" s="14">
        <v>6315</v>
      </c>
      <c r="B201" s="13" t="s">
        <v>648</v>
      </c>
      <c r="C201" s="3">
        <f>SUMIF('Raw Data 10-31-2019'!$A$6:$A$255,'Q4 TB-19'!A201,'Raw Data 10-31-2019'!C$6:C$255)</f>
        <v>34751.440000000002</v>
      </c>
      <c r="D201" s="4"/>
      <c r="E201" s="3">
        <f>SUMIF('Raw Data 10-31-2019'!$A$6:$A$255,'Q4 TB-19'!A201,'Raw Data 10-31-2019'!D$6:D$255)</f>
        <v>0</v>
      </c>
      <c r="F201" s="3"/>
      <c r="G201" s="3">
        <f t="shared" si="10"/>
        <v>34751.440000000002</v>
      </c>
      <c r="H201" t="s">
        <v>439</v>
      </c>
      <c r="J201" s="19"/>
    </row>
    <row r="202" spans="1:10" x14ac:dyDescent="0.75">
      <c r="A202" s="12">
        <v>6320</v>
      </c>
      <c r="B202" s="13" t="s">
        <v>649</v>
      </c>
      <c r="C202" s="3">
        <f>SUMIF('Raw Data 10-31-2019'!$A$6:$A$255,'Q4 TB-19'!A202,'Raw Data 10-31-2019'!C$6:C$255)</f>
        <v>0</v>
      </c>
      <c r="D202" s="4"/>
      <c r="E202" s="3">
        <f>SUMIF('Raw Data 10-31-2019'!$A$6:$A$255,'Q4 TB-19'!A202,'Raw Data 10-31-2019'!D$6:D$255)</f>
        <v>0</v>
      </c>
      <c r="F202" s="3"/>
      <c r="G202" s="3">
        <f t="shared" si="10"/>
        <v>0</v>
      </c>
      <c r="H202" t="s">
        <v>439</v>
      </c>
      <c r="J202" s="19"/>
    </row>
    <row r="203" spans="1:10" x14ac:dyDescent="0.75">
      <c r="A203" s="12">
        <v>6325</v>
      </c>
      <c r="B203" s="13" t="s">
        <v>650</v>
      </c>
      <c r="C203" s="3">
        <f>SUMIF('Raw Data 10-31-2019'!$A$6:$A$255,'Q4 TB-19'!A203,'Raw Data 10-31-2019'!C$6:C$255)</f>
        <v>0</v>
      </c>
      <c r="D203" s="4"/>
      <c r="E203" s="3">
        <f>SUMIF('Raw Data 10-31-2019'!$A$6:$A$255,'Q4 TB-19'!A203,'Raw Data 10-31-2019'!D$6:D$255)</f>
        <v>0</v>
      </c>
      <c r="F203" s="3"/>
      <c r="G203" s="3">
        <f t="shared" si="10"/>
        <v>0</v>
      </c>
      <c r="H203" t="s">
        <v>439</v>
      </c>
      <c r="J203" s="19"/>
    </row>
    <row r="204" spans="1:10" x14ac:dyDescent="0.75">
      <c r="A204" s="12">
        <v>6330</v>
      </c>
      <c r="B204" s="13" t="s">
        <v>651</v>
      </c>
      <c r="C204" s="3">
        <f>SUMIF('Raw Data 10-31-2019'!$A$6:$A$255,'Q4 TB-19'!A204,'Raw Data 10-31-2019'!C$6:C$255)</f>
        <v>0</v>
      </c>
      <c r="D204" s="4"/>
      <c r="E204" s="3">
        <f>SUMIF('Raw Data 10-31-2019'!$A$6:$A$255,'Q4 TB-19'!A204,'Raw Data 10-31-2019'!D$6:D$255)</f>
        <v>0</v>
      </c>
      <c r="F204" s="3"/>
      <c r="G204" s="3">
        <f t="shared" si="10"/>
        <v>0</v>
      </c>
      <c r="H204" t="s">
        <v>439</v>
      </c>
      <c r="J204" s="19"/>
    </row>
    <row r="205" spans="1:10" x14ac:dyDescent="0.75">
      <c r="A205" s="14">
        <v>6335</v>
      </c>
      <c r="B205" s="18" t="s">
        <v>652</v>
      </c>
      <c r="C205" s="3">
        <f>SUMIF('Raw Data 10-31-2019'!$A$6:$A$255,'Q4 TB-19'!A205,'Raw Data 10-31-2019'!C$6:C$255)</f>
        <v>178.37</v>
      </c>
      <c r="D205" s="4"/>
      <c r="E205" s="3">
        <f>SUMIF('Raw Data 10-31-2019'!$A$6:$A$255,'Q4 TB-19'!A205,'Raw Data 10-31-2019'!D$6:D$255)</f>
        <v>0</v>
      </c>
      <c r="F205" s="3"/>
      <c r="G205" s="3">
        <f t="shared" si="10"/>
        <v>178.37</v>
      </c>
      <c r="H205" t="s">
        <v>439</v>
      </c>
      <c r="J205" s="19"/>
    </row>
    <row r="206" spans="1:10" x14ac:dyDescent="0.75">
      <c r="A206" s="14">
        <v>6340</v>
      </c>
      <c r="B206" s="18" t="s">
        <v>653</v>
      </c>
      <c r="C206" s="3">
        <f>SUMIF('Raw Data 10-31-2019'!$A$6:$A$255,'Q4 TB-19'!A206,'Raw Data 10-31-2019'!C$6:C$255)</f>
        <v>0</v>
      </c>
      <c r="D206" s="4"/>
      <c r="E206" s="3">
        <f>SUMIF('Raw Data 10-31-2019'!$A$6:$A$255,'Q4 TB-19'!A206,'Raw Data 10-31-2019'!D$6:D$255)</f>
        <v>0</v>
      </c>
      <c r="F206" s="5"/>
      <c r="G206" s="3">
        <f>C206-E206</f>
        <v>0</v>
      </c>
      <c r="H206" t="s">
        <v>439</v>
      </c>
      <c r="J206" s="19"/>
    </row>
    <row r="207" spans="1:10" x14ac:dyDescent="0.75">
      <c r="A207" s="14">
        <v>6345</v>
      </c>
      <c r="B207" s="18" t="s">
        <v>654</v>
      </c>
      <c r="C207" s="3">
        <f>SUMIF('Raw Data 10-31-2019'!$A$6:$A$255,'Q4 TB-19'!A207,'Raw Data 10-31-2019'!C$6:C$255)</f>
        <v>4911.42</v>
      </c>
      <c r="D207" s="4"/>
      <c r="E207" s="3">
        <f>SUMIF('Raw Data 10-31-2019'!$A$6:$A$255,'Q4 TB-19'!A207,'Raw Data 10-31-2019'!D$6:D$255)</f>
        <v>0</v>
      </c>
      <c r="F207" s="5"/>
      <c r="G207" s="3">
        <f>C207-E207</f>
        <v>4911.42</v>
      </c>
      <c r="H207" t="s">
        <v>439</v>
      </c>
      <c r="J207" s="19"/>
    </row>
    <row r="208" spans="1:10" x14ac:dyDescent="0.75">
      <c r="A208" s="14">
        <v>6350</v>
      </c>
      <c r="B208" s="18" t="s">
        <v>655</v>
      </c>
      <c r="C208" s="3">
        <f>SUMIF('Raw Data 10-31-2019'!$A$6:$A$255,'Q4 TB-19'!A208,'Raw Data 10-31-2019'!C$6:C$255)</f>
        <v>4741.63</v>
      </c>
      <c r="D208" s="4"/>
      <c r="E208" s="3">
        <f>SUMIF('Raw Data 10-31-2019'!$A$6:$A$255,'Q4 TB-19'!A208,'Raw Data 10-31-2019'!D$6:D$255)</f>
        <v>0</v>
      </c>
      <c r="F208" s="5"/>
      <c r="G208" s="3">
        <f>C208-E208</f>
        <v>4741.63</v>
      </c>
      <c r="H208" t="s">
        <v>439</v>
      </c>
      <c r="J208" s="19"/>
    </row>
    <row r="209" spans="1:8" x14ac:dyDescent="0.75">
      <c r="A209" s="14">
        <v>6355</v>
      </c>
      <c r="B209" s="18" t="s">
        <v>656</v>
      </c>
      <c r="C209" s="3">
        <f>SUMIF('Raw Data 10-31-2019'!$A$6:$A$255,'Q4 TB-19'!A209,'Raw Data 10-31-2019'!C$6:C$255)</f>
        <v>0</v>
      </c>
      <c r="D209" s="4"/>
      <c r="E209" s="3">
        <f>SUMIF('Raw Data 10-31-2019'!$A$6:$A$255,'Q4 TB-19'!A209,'Raw Data 10-31-2019'!D$6:D$255)</f>
        <v>0</v>
      </c>
      <c r="F209" s="5"/>
      <c r="G209" s="3">
        <f t="shared" ref="G209:G254" si="11">C209-E209</f>
        <v>0</v>
      </c>
      <c r="H209" t="s">
        <v>439</v>
      </c>
    </row>
    <row r="210" spans="1:8" x14ac:dyDescent="0.75">
      <c r="A210" s="14">
        <v>6400</v>
      </c>
      <c r="B210" s="18" t="s">
        <v>657</v>
      </c>
      <c r="C210" s="3">
        <f>SUMIF('Raw Data 10-31-2019'!$A$6:$A$255,'Q4 TB-19'!A210,'Raw Data 10-31-2019'!C$6:C$255)</f>
        <v>231986.7</v>
      </c>
      <c r="D210" s="4"/>
      <c r="E210" s="3">
        <f>SUMIF('Raw Data 10-31-2019'!$A$6:$A$255,'Q4 TB-19'!A210,'Raw Data 10-31-2019'!D$6:D$255)</f>
        <v>0</v>
      </c>
      <c r="F210" s="5"/>
      <c r="G210" s="3">
        <f t="shared" si="11"/>
        <v>231986.7</v>
      </c>
      <c r="H210" t="s">
        <v>439</v>
      </c>
    </row>
    <row r="211" spans="1:8" x14ac:dyDescent="0.75">
      <c r="A211" s="14">
        <v>6405</v>
      </c>
      <c r="B211" s="18" t="s">
        <v>658</v>
      </c>
      <c r="C211" s="3">
        <f>SUMIF('Raw Data 10-31-2019'!$A$6:$A$255,'Q4 TB-19'!A211,'Raw Data 10-31-2019'!C$6:C$255)</f>
        <v>0</v>
      </c>
      <c r="D211" s="4"/>
      <c r="E211" s="3">
        <f>SUMIF('Raw Data 10-31-2019'!$A$6:$A$255,'Q4 TB-19'!A211,'Raw Data 10-31-2019'!D$6:D$255)</f>
        <v>0</v>
      </c>
      <c r="F211" s="5"/>
      <c r="G211" s="3">
        <f t="shared" si="11"/>
        <v>0</v>
      </c>
      <c r="H211" t="s">
        <v>439</v>
      </c>
    </row>
    <row r="212" spans="1:8" x14ac:dyDescent="0.75">
      <c r="A212" s="14">
        <v>6410</v>
      </c>
      <c r="B212" s="18" t="s">
        <v>659</v>
      </c>
      <c r="C212" s="3">
        <f>SUMIF('Raw Data 10-31-2019'!$A$6:$A$255,'Q4 TB-19'!A212,'Raw Data 10-31-2019'!C$6:C$255)</f>
        <v>0</v>
      </c>
      <c r="D212" s="4"/>
      <c r="E212" s="3">
        <f>SUMIF('Raw Data 10-31-2019'!$A$6:$A$255,'Q4 TB-19'!A212,'Raw Data 10-31-2019'!D$6:D$255)</f>
        <v>0</v>
      </c>
      <c r="F212" s="5"/>
      <c r="G212" s="3">
        <f t="shared" si="11"/>
        <v>0</v>
      </c>
      <c r="H212" t="s">
        <v>439</v>
      </c>
    </row>
    <row r="213" spans="1:8" x14ac:dyDescent="0.75">
      <c r="A213" s="14">
        <v>6415</v>
      </c>
      <c r="B213" s="18" t="s">
        <v>660</v>
      </c>
      <c r="C213" s="3">
        <f>SUMIF('Raw Data 10-31-2019'!$A$6:$A$255,'Q4 TB-19'!A213,'Raw Data 10-31-2019'!C$6:C$255)</f>
        <v>0</v>
      </c>
      <c r="D213" s="4"/>
      <c r="E213" s="3">
        <f>SUMIF('Raw Data 10-31-2019'!$A$6:$A$255,'Q4 TB-19'!A213,'Raw Data 10-31-2019'!D$6:D$255)</f>
        <v>0</v>
      </c>
      <c r="F213" s="5"/>
      <c r="G213" s="3">
        <f t="shared" si="11"/>
        <v>0</v>
      </c>
      <c r="H213" t="s">
        <v>439</v>
      </c>
    </row>
    <row r="214" spans="1:8" x14ac:dyDescent="0.75">
      <c r="A214" s="14">
        <v>6420</v>
      </c>
      <c r="B214" s="18" t="s">
        <v>661</v>
      </c>
      <c r="C214" s="3">
        <f>SUMIF('Raw Data 10-31-2019'!$A$6:$A$255,'Q4 TB-19'!A214,'Raw Data 10-31-2019'!C$6:C$255)</f>
        <v>0</v>
      </c>
      <c r="D214" s="4"/>
      <c r="E214" s="3">
        <f>SUMIF('Raw Data 10-31-2019'!$A$6:$A$255,'Q4 TB-19'!A214,'Raw Data 10-31-2019'!D$6:D$255)</f>
        <v>0</v>
      </c>
      <c r="F214" s="5"/>
      <c r="G214" s="3">
        <f t="shared" si="11"/>
        <v>0</v>
      </c>
      <c r="H214" t="s">
        <v>439</v>
      </c>
    </row>
    <row r="215" spans="1:8" x14ac:dyDescent="0.75">
      <c r="A215" s="14">
        <v>6425</v>
      </c>
      <c r="B215" s="18" t="s">
        <v>662</v>
      </c>
      <c r="C215" s="3">
        <f>SUMIF('Raw Data 10-31-2019'!$A$6:$A$255,'Q4 TB-19'!A215,'Raw Data 10-31-2019'!C$6:C$255)</f>
        <v>0</v>
      </c>
      <c r="D215" s="4"/>
      <c r="E215" s="3">
        <f>SUMIF('Raw Data 10-31-2019'!$A$6:$A$255,'Q4 TB-19'!A215,'Raw Data 10-31-2019'!D$6:D$255)</f>
        <v>0</v>
      </c>
      <c r="F215" s="5"/>
      <c r="G215" s="3">
        <f t="shared" si="11"/>
        <v>0</v>
      </c>
      <c r="H215" t="s">
        <v>439</v>
      </c>
    </row>
    <row r="216" spans="1:8" x14ac:dyDescent="0.75">
      <c r="A216" s="14">
        <v>6430</v>
      </c>
      <c r="B216" s="18" t="s">
        <v>663</v>
      </c>
      <c r="C216" s="3">
        <f>SUMIF('Raw Data 10-31-2019'!$A$6:$A$255,'Q4 TB-19'!A216,'Raw Data 10-31-2019'!C$6:C$255)</f>
        <v>131008.62</v>
      </c>
      <c r="D216" s="4"/>
      <c r="E216" s="3">
        <f>SUMIF('Raw Data 10-31-2019'!$A$6:$A$255,'Q4 TB-19'!A216,'Raw Data 10-31-2019'!D$6:D$255)</f>
        <v>0</v>
      </c>
      <c r="F216" s="5"/>
      <c r="G216" s="3">
        <f t="shared" si="11"/>
        <v>131008.62</v>
      </c>
      <c r="H216" t="s">
        <v>439</v>
      </c>
    </row>
    <row r="217" spans="1:8" x14ac:dyDescent="0.75">
      <c r="A217" s="14">
        <v>6435</v>
      </c>
      <c r="B217" s="18" t="s">
        <v>664</v>
      </c>
      <c r="C217" s="3">
        <f>SUMIF('Raw Data 10-31-2019'!$A$6:$A$255,'Q4 TB-19'!A217,'Raw Data 10-31-2019'!C$6:C$255)</f>
        <v>7820.51</v>
      </c>
      <c r="D217" s="4"/>
      <c r="E217" s="3">
        <f>SUMIF('Raw Data 10-31-2019'!$A$6:$A$255,'Q4 TB-19'!A217,'Raw Data 10-31-2019'!D$6:D$255)</f>
        <v>0</v>
      </c>
      <c r="F217" s="5"/>
      <c r="G217" s="3">
        <f t="shared" si="11"/>
        <v>7820.51</v>
      </c>
      <c r="H217" t="s">
        <v>439</v>
      </c>
    </row>
    <row r="218" spans="1:8" x14ac:dyDescent="0.75">
      <c r="A218" s="14">
        <v>6440</v>
      </c>
      <c r="B218" s="18" t="s">
        <v>665</v>
      </c>
      <c r="C218" s="3">
        <f>SUMIF('Raw Data 10-31-2019'!$A$6:$A$255,'Q4 TB-19'!A218,'Raw Data 10-31-2019'!C$6:C$255)</f>
        <v>78679.08</v>
      </c>
      <c r="D218" s="4"/>
      <c r="E218" s="3">
        <f>SUMIF('Raw Data 10-31-2019'!$A$6:$A$255,'Q4 TB-19'!A218,'Raw Data 10-31-2019'!D$6:D$255)</f>
        <v>0</v>
      </c>
      <c r="F218" s="5"/>
      <c r="G218" s="3">
        <f t="shared" si="11"/>
        <v>78679.08</v>
      </c>
      <c r="H218" t="s">
        <v>439</v>
      </c>
    </row>
    <row r="219" spans="1:8" x14ac:dyDescent="0.75">
      <c r="A219" s="14">
        <v>6445</v>
      </c>
      <c r="B219" s="18" t="s">
        <v>666</v>
      </c>
      <c r="C219" s="3">
        <f>SUMIF('Raw Data 10-31-2019'!$A$6:$A$255,'Q4 TB-19'!A219,'Raw Data 10-31-2019'!C$6:C$255)</f>
        <v>40127.730000000003</v>
      </c>
      <c r="D219" s="4"/>
      <c r="E219" s="3">
        <f>SUMIF('Raw Data 10-31-2019'!$A$6:$A$255,'Q4 TB-19'!A219,'Raw Data 10-31-2019'!D$6:D$255)</f>
        <v>0</v>
      </c>
      <c r="F219" s="5"/>
      <c r="G219" s="3">
        <f t="shared" si="11"/>
        <v>40127.730000000003</v>
      </c>
      <c r="H219" t="s">
        <v>439</v>
      </c>
    </row>
    <row r="220" spans="1:8" x14ac:dyDescent="0.75">
      <c r="A220" s="14">
        <v>6450</v>
      </c>
      <c r="B220" s="18" t="s">
        <v>667</v>
      </c>
      <c r="C220" s="3">
        <f>SUMIF('Raw Data 10-31-2019'!$A$6:$A$255,'Q4 TB-19'!A220,'Raw Data 10-31-2019'!C$6:C$255)</f>
        <v>0</v>
      </c>
      <c r="D220" s="4"/>
      <c r="E220" s="3">
        <f>SUMIF('Raw Data 10-31-2019'!$A$6:$A$255,'Q4 TB-19'!A220,'Raw Data 10-31-2019'!D$6:D$255)</f>
        <v>0</v>
      </c>
      <c r="F220" s="5"/>
      <c r="G220" s="3">
        <f t="shared" si="11"/>
        <v>0</v>
      </c>
      <c r="H220" t="s">
        <v>439</v>
      </c>
    </row>
    <row r="221" spans="1:8" x14ac:dyDescent="0.75">
      <c r="A221" s="14">
        <v>6455</v>
      </c>
      <c r="B221" s="18" t="s">
        <v>668</v>
      </c>
      <c r="C221" s="3">
        <f>SUMIF('Raw Data 10-31-2019'!$A$6:$A$255,'Q4 TB-19'!A221,'Raw Data 10-31-2019'!C$6:C$255)</f>
        <v>0</v>
      </c>
      <c r="D221" s="4"/>
      <c r="E221" s="3">
        <f>SUMIF('Raw Data 10-31-2019'!$A$6:$A$255,'Q4 TB-19'!A221,'Raw Data 10-31-2019'!D$6:D$255)</f>
        <v>0</v>
      </c>
      <c r="F221" s="5"/>
      <c r="G221" s="3">
        <f t="shared" si="11"/>
        <v>0</v>
      </c>
      <c r="H221" t="s">
        <v>439</v>
      </c>
    </row>
    <row r="222" spans="1:8" x14ac:dyDescent="0.75">
      <c r="A222" s="14">
        <v>6460</v>
      </c>
      <c r="B222" s="18" t="s">
        <v>669</v>
      </c>
      <c r="C222" s="3">
        <f>SUMIF('Raw Data 10-31-2019'!$A$6:$A$255,'Q4 TB-19'!A222,'Raw Data 10-31-2019'!C$6:C$255)</f>
        <v>0</v>
      </c>
      <c r="D222" s="4"/>
      <c r="E222" s="3">
        <f>SUMIF('Raw Data 10-31-2019'!$A$6:$A$255,'Q4 TB-19'!A222,'Raw Data 10-31-2019'!D$6:D$255)</f>
        <v>0</v>
      </c>
      <c r="F222" s="5"/>
      <c r="G222" s="3">
        <f t="shared" si="11"/>
        <v>0</v>
      </c>
      <c r="H222" t="s">
        <v>439</v>
      </c>
    </row>
    <row r="223" spans="1:8" x14ac:dyDescent="0.75">
      <c r="A223" s="14">
        <v>6500</v>
      </c>
      <c r="B223" s="18" t="s">
        <v>670</v>
      </c>
      <c r="C223" s="3">
        <f>SUMIF('Raw Data 10-31-2019'!$A$6:$A$255,'Q4 TB-19'!A223,'Raw Data 10-31-2019'!C$6:C$255)</f>
        <v>0</v>
      </c>
      <c r="D223" s="4"/>
      <c r="E223" s="3">
        <f>SUMIF('Raw Data 10-31-2019'!$A$6:$A$255,'Q4 TB-19'!A223,'Raw Data 10-31-2019'!D$6:D$255)</f>
        <v>0</v>
      </c>
      <c r="F223" s="5"/>
      <c r="G223" s="3">
        <f t="shared" si="11"/>
        <v>0</v>
      </c>
      <c r="H223" t="s">
        <v>439</v>
      </c>
    </row>
    <row r="224" spans="1:8" x14ac:dyDescent="0.75">
      <c r="A224" s="14">
        <v>6505</v>
      </c>
      <c r="B224" s="18" t="s">
        <v>671</v>
      </c>
      <c r="C224" s="3">
        <f>SUMIF('Raw Data 10-31-2019'!$A$6:$A$255,'Q4 TB-19'!A224,'Raw Data 10-31-2019'!C$6:C$255)</f>
        <v>0</v>
      </c>
      <c r="D224" s="4"/>
      <c r="E224" s="3">
        <f>SUMIF('Raw Data 10-31-2019'!$A$6:$A$255,'Q4 TB-19'!A224,'Raw Data 10-31-2019'!D$6:D$255)</f>
        <v>0</v>
      </c>
      <c r="F224" s="5"/>
      <c r="G224" s="3">
        <f t="shared" si="11"/>
        <v>0</v>
      </c>
      <c r="H224" t="s">
        <v>439</v>
      </c>
    </row>
    <row r="225" spans="1:8" x14ac:dyDescent="0.75">
      <c r="A225" s="14">
        <v>6510</v>
      </c>
      <c r="B225" s="18" t="s">
        <v>672</v>
      </c>
      <c r="C225" s="3">
        <f>SUMIF('Raw Data 10-31-2019'!$A$6:$A$255,'Q4 TB-19'!A225,'Raw Data 10-31-2019'!C$6:C$255)</f>
        <v>10546.9</v>
      </c>
      <c r="D225" s="4"/>
      <c r="E225" s="3">
        <f>SUMIF('Raw Data 10-31-2019'!$A$6:$A$255,'Q4 TB-19'!A225,'Raw Data 10-31-2019'!D$6:D$255)</f>
        <v>0</v>
      </c>
      <c r="F225" s="5"/>
      <c r="G225" s="3">
        <f t="shared" si="11"/>
        <v>10546.9</v>
      </c>
      <c r="H225" t="s">
        <v>439</v>
      </c>
    </row>
    <row r="226" spans="1:8" x14ac:dyDescent="0.75">
      <c r="A226" s="14">
        <v>6515</v>
      </c>
      <c r="B226" s="18" t="s">
        <v>673</v>
      </c>
      <c r="C226" s="3">
        <f>SUMIF('Raw Data 10-31-2019'!$A$6:$A$255,'Q4 TB-19'!A226,'Raw Data 10-31-2019'!C$6:C$255)</f>
        <v>0</v>
      </c>
      <c r="D226" s="4"/>
      <c r="E226" s="3">
        <f>SUMIF('Raw Data 10-31-2019'!$A$6:$A$255,'Q4 TB-19'!A226,'Raw Data 10-31-2019'!D$6:D$255)</f>
        <v>0</v>
      </c>
      <c r="F226" s="5"/>
      <c r="G226" s="3">
        <f t="shared" si="11"/>
        <v>0</v>
      </c>
      <c r="H226" t="s">
        <v>439</v>
      </c>
    </row>
    <row r="227" spans="1:8" x14ac:dyDescent="0.75">
      <c r="A227" s="14">
        <v>6520</v>
      </c>
      <c r="B227" s="18" t="s">
        <v>674</v>
      </c>
      <c r="C227" s="3">
        <f>SUMIF('Raw Data 10-31-2019'!$A$6:$A$255,'Q4 TB-19'!A227,'Raw Data 10-31-2019'!C$6:C$255)</f>
        <v>0</v>
      </c>
      <c r="D227" s="4"/>
      <c r="E227" s="3">
        <f>SUMIF('Raw Data 10-31-2019'!$A$6:$A$255,'Q4 TB-19'!A227,'Raw Data 10-31-2019'!D$6:D$255)</f>
        <v>0</v>
      </c>
      <c r="F227" s="5"/>
      <c r="G227" s="3">
        <f t="shared" si="11"/>
        <v>0</v>
      </c>
      <c r="H227" t="s">
        <v>439</v>
      </c>
    </row>
    <row r="228" spans="1:8" x14ac:dyDescent="0.75">
      <c r="A228" s="14">
        <v>6525</v>
      </c>
      <c r="B228" s="18" t="s">
        <v>675</v>
      </c>
      <c r="C228" s="3">
        <f>SUMIF('Raw Data 10-31-2019'!$A$6:$A$255,'Q4 TB-19'!A228,'Raw Data 10-31-2019'!C$6:C$255)</f>
        <v>5380.48</v>
      </c>
      <c r="D228" s="4"/>
      <c r="E228" s="3">
        <f>SUMIF('Raw Data 10-31-2019'!$A$6:$A$255,'Q4 TB-19'!A228,'Raw Data 10-31-2019'!D$6:D$255)</f>
        <v>0</v>
      </c>
      <c r="F228" s="5"/>
      <c r="G228" s="3">
        <f t="shared" si="11"/>
        <v>5380.48</v>
      </c>
      <c r="H228" t="s">
        <v>439</v>
      </c>
    </row>
    <row r="229" spans="1:8" x14ac:dyDescent="0.75">
      <c r="A229" s="14">
        <v>6530</v>
      </c>
      <c r="B229" s="18" t="s">
        <v>676</v>
      </c>
      <c r="C229" s="3">
        <f>SUMIF('Raw Data 10-31-2019'!$A$6:$A$255,'Q4 TB-19'!A229,'Raw Data 10-31-2019'!C$6:C$255)</f>
        <v>0</v>
      </c>
      <c r="D229" s="4"/>
      <c r="E229" s="3">
        <f>SUMIF('Raw Data 10-31-2019'!$A$6:$A$255,'Q4 TB-19'!A229,'Raw Data 10-31-2019'!D$6:D$255)</f>
        <v>0</v>
      </c>
      <c r="F229" s="5"/>
      <c r="G229" s="3">
        <f t="shared" si="11"/>
        <v>0</v>
      </c>
      <c r="H229" t="s">
        <v>439</v>
      </c>
    </row>
    <row r="230" spans="1:8" x14ac:dyDescent="0.75">
      <c r="A230" s="14">
        <v>6535</v>
      </c>
      <c r="B230" s="18" t="s">
        <v>677</v>
      </c>
      <c r="C230" s="3">
        <f>SUMIF('Raw Data 10-31-2019'!$A$6:$A$255,'Q4 TB-19'!A230,'Raw Data 10-31-2019'!C$6:C$255)</f>
        <v>0</v>
      </c>
      <c r="D230" s="4"/>
      <c r="E230" s="3">
        <f>SUMIF('Raw Data 10-31-2019'!$A$6:$A$255,'Q4 TB-19'!A230,'Raw Data 10-31-2019'!D$6:D$255)</f>
        <v>0</v>
      </c>
      <c r="F230" s="5"/>
      <c r="G230" s="3">
        <f t="shared" si="11"/>
        <v>0</v>
      </c>
      <c r="H230" t="s">
        <v>439</v>
      </c>
    </row>
    <row r="231" spans="1:8" x14ac:dyDescent="0.75">
      <c r="A231" s="14">
        <v>6540</v>
      </c>
      <c r="B231" s="18" t="s">
        <v>678</v>
      </c>
      <c r="C231" s="3">
        <f>SUMIF('Raw Data 10-31-2019'!$A$6:$A$255,'Q4 TB-19'!A231,'Raw Data 10-31-2019'!C$6:C$255)</f>
        <v>0</v>
      </c>
      <c r="D231" s="4"/>
      <c r="E231" s="3">
        <f>SUMIF('Raw Data 10-31-2019'!$A$6:$A$255,'Q4 TB-19'!A231,'Raw Data 10-31-2019'!D$6:D$255)</f>
        <v>0</v>
      </c>
      <c r="F231" s="5"/>
      <c r="G231" s="3">
        <f t="shared" si="11"/>
        <v>0</v>
      </c>
      <c r="H231" t="s">
        <v>439</v>
      </c>
    </row>
    <row r="232" spans="1:8" x14ac:dyDescent="0.75">
      <c r="A232" s="14">
        <v>6545</v>
      </c>
      <c r="B232" s="18" t="s">
        <v>679</v>
      </c>
      <c r="C232" s="3">
        <f>SUMIF('Raw Data 10-31-2019'!$A$6:$A$255,'Q4 TB-19'!A232,'Raw Data 10-31-2019'!C$6:C$255)</f>
        <v>48.37</v>
      </c>
      <c r="D232" s="4"/>
      <c r="E232" s="3">
        <f>SUMIF('Raw Data 10-31-2019'!$A$6:$A$255,'Q4 TB-19'!A232,'Raw Data 10-31-2019'!D$6:D$255)</f>
        <v>0</v>
      </c>
      <c r="F232" s="5"/>
      <c r="G232" s="3">
        <f t="shared" si="11"/>
        <v>48.37</v>
      </c>
      <c r="H232" t="s">
        <v>439</v>
      </c>
    </row>
    <row r="233" spans="1:8" x14ac:dyDescent="0.75">
      <c r="A233" s="14">
        <v>6550</v>
      </c>
      <c r="B233" s="18" t="s">
        <v>680</v>
      </c>
      <c r="C233" s="3">
        <f>SUMIF('Raw Data 10-31-2019'!$A$6:$A$255,'Q4 TB-19'!A233,'Raw Data 10-31-2019'!C$6:C$255)</f>
        <v>17369.93</v>
      </c>
      <c r="D233" s="4"/>
      <c r="E233" s="3">
        <f>SUMIF('Raw Data 10-31-2019'!$A$6:$A$255,'Q4 TB-19'!A233,'Raw Data 10-31-2019'!D$6:D$255)</f>
        <v>0</v>
      </c>
      <c r="F233" s="5"/>
      <c r="G233" s="3">
        <f t="shared" si="11"/>
        <v>17369.93</v>
      </c>
      <c r="H233" t="s">
        <v>439</v>
      </c>
    </row>
    <row r="234" spans="1:8" x14ac:dyDescent="0.75">
      <c r="A234" s="14">
        <v>6555</v>
      </c>
      <c r="B234" s="18" t="s">
        <v>681</v>
      </c>
      <c r="C234" s="3">
        <f>SUMIF('Raw Data 10-31-2019'!$A$6:$A$255,'Q4 TB-19'!A234,'Raw Data 10-31-2019'!C$6:C$255)</f>
        <v>7558.91</v>
      </c>
      <c r="D234" s="4"/>
      <c r="E234" s="3">
        <f>SUMIF('Raw Data 10-31-2019'!$A$6:$A$255,'Q4 TB-19'!A234,'Raw Data 10-31-2019'!D$6:D$255)</f>
        <v>0</v>
      </c>
      <c r="F234" s="5"/>
      <c r="G234" s="3">
        <f t="shared" si="11"/>
        <v>7558.91</v>
      </c>
      <c r="H234" t="s">
        <v>439</v>
      </c>
    </row>
    <row r="235" spans="1:8" x14ac:dyDescent="0.75">
      <c r="A235" s="14">
        <v>6560</v>
      </c>
      <c r="B235" s="18" t="s">
        <v>682</v>
      </c>
      <c r="C235" s="3">
        <f>SUMIF('Raw Data 10-31-2019'!$A$6:$A$255,'Q4 TB-19'!A235,'Raw Data 10-31-2019'!C$6:C$255)</f>
        <v>0</v>
      </c>
      <c r="D235" s="4"/>
      <c r="E235" s="3">
        <f>SUMIF('Raw Data 10-31-2019'!$A$6:$A$255,'Q4 TB-19'!A235,'Raw Data 10-31-2019'!D$6:D$255)</f>
        <v>0</v>
      </c>
      <c r="F235" s="5"/>
      <c r="G235" s="3">
        <f t="shared" si="11"/>
        <v>0</v>
      </c>
      <c r="H235" t="s">
        <v>439</v>
      </c>
    </row>
    <row r="236" spans="1:8" x14ac:dyDescent="0.75">
      <c r="A236" s="14">
        <v>6565</v>
      </c>
      <c r="B236" s="18" t="s">
        <v>683</v>
      </c>
      <c r="C236" s="3">
        <f>SUMIF('Raw Data 10-31-2019'!$A$6:$A$255,'Q4 TB-19'!A236,'Raw Data 10-31-2019'!C$6:C$255)</f>
        <v>0</v>
      </c>
      <c r="D236" s="4"/>
      <c r="E236" s="3">
        <f>SUMIF('Raw Data 10-31-2019'!$A$6:$A$255,'Q4 TB-19'!A236,'Raw Data 10-31-2019'!D$6:D$255)</f>
        <v>0</v>
      </c>
      <c r="F236" s="5"/>
      <c r="G236" s="3">
        <f t="shared" si="11"/>
        <v>0</v>
      </c>
      <c r="H236" t="s">
        <v>439</v>
      </c>
    </row>
    <row r="237" spans="1:8" x14ac:dyDescent="0.75">
      <c r="A237" s="14">
        <v>6570</v>
      </c>
      <c r="B237" s="18" t="s">
        <v>684</v>
      </c>
      <c r="C237" s="3">
        <f>SUMIF('Raw Data 10-31-2019'!$A$6:$A$255,'Q4 TB-19'!A237,'Raw Data 10-31-2019'!C$6:C$255)</f>
        <v>0</v>
      </c>
      <c r="D237" s="4"/>
      <c r="E237" s="3">
        <f>SUMIF('Raw Data 10-31-2019'!$A$6:$A$255,'Q4 TB-19'!A237,'Raw Data 10-31-2019'!D$6:D$255)</f>
        <v>0</v>
      </c>
      <c r="F237" s="5"/>
      <c r="G237" s="3">
        <f t="shared" si="11"/>
        <v>0</v>
      </c>
      <c r="H237" t="s">
        <v>439</v>
      </c>
    </row>
    <row r="238" spans="1:8" x14ac:dyDescent="0.75">
      <c r="A238" s="14">
        <v>6575</v>
      </c>
      <c r="B238" s="18" t="s">
        <v>685</v>
      </c>
      <c r="C238" s="3">
        <f>SUMIF('Raw Data 10-31-2019'!$A$6:$A$255,'Q4 TB-19'!A238,'Raw Data 10-31-2019'!C$6:C$255)</f>
        <v>0</v>
      </c>
      <c r="D238" s="4"/>
      <c r="E238" s="3">
        <f>SUMIF('Raw Data 10-31-2019'!$A$6:$A$255,'Q4 TB-19'!A238,'Raw Data 10-31-2019'!D$6:D$255)</f>
        <v>0</v>
      </c>
      <c r="F238" s="5"/>
      <c r="G238" s="3">
        <f t="shared" si="11"/>
        <v>0</v>
      </c>
      <c r="H238" t="s">
        <v>439</v>
      </c>
    </row>
    <row r="239" spans="1:8" x14ac:dyDescent="0.75">
      <c r="A239" s="14">
        <v>6580</v>
      </c>
      <c r="B239" s="18" t="s">
        <v>686</v>
      </c>
      <c r="C239" s="3">
        <f>SUMIF('Raw Data 10-31-2019'!$A$6:$A$255,'Q4 TB-19'!A239,'Raw Data 10-31-2019'!C$6:C$255)</f>
        <v>0</v>
      </c>
      <c r="D239" s="4"/>
      <c r="E239" s="3">
        <f>SUMIF('Raw Data 10-31-2019'!$A$6:$A$255,'Q4 TB-19'!A239,'Raw Data 10-31-2019'!D$6:D$255)</f>
        <v>0</v>
      </c>
      <c r="F239" s="5"/>
      <c r="G239" s="3">
        <f t="shared" si="11"/>
        <v>0</v>
      </c>
      <c r="H239" t="s">
        <v>439</v>
      </c>
    </row>
    <row r="240" spans="1:8" x14ac:dyDescent="0.75">
      <c r="A240" s="14">
        <v>6585</v>
      </c>
      <c r="B240" s="18" t="s">
        <v>687</v>
      </c>
      <c r="C240" s="3">
        <f>SUMIF('Raw Data 10-31-2019'!$A$6:$A$255,'Q4 TB-19'!A240,'Raw Data 10-31-2019'!C$6:C$255)</f>
        <v>0</v>
      </c>
      <c r="D240" s="4"/>
      <c r="E240" s="3">
        <f>SUMIF('Raw Data 10-31-2019'!$A$6:$A$255,'Q4 TB-19'!A240,'Raw Data 10-31-2019'!D$6:D$255)</f>
        <v>0</v>
      </c>
      <c r="F240" s="5"/>
      <c r="G240" s="3">
        <f t="shared" si="11"/>
        <v>0</v>
      </c>
      <c r="H240" t="s">
        <v>439</v>
      </c>
    </row>
    <row r="241" spans="1:8" x14ac:dyDescent="0.75">
      <c r="A241" s="14">
        <v>6590</v>
      </c>
      <c r="B241" s="18" t="s">
        <v>688</v>
      </c>
      <c r="C241" s="3">
        <f>SUMIF('Raw Data 10-31-2019'!$A$6:$A$255,'Q4 TB-19'!A241,'Raw Data 10-31-2019'!C$6:C$255)</f>
        <v>0</v>
      </c>
      <c r="D241" s="4"/>
      <c r="E241" s="3">
        <f>SUMIF('Raw Data 10-31-2019'!$A$6:$A$255,'Q4 TB-19'!A241,'Raw Data 10-31-2019'!D$6:D$255)</f>
        <v>0</v>
      </c>
      <c r="F241" s="5"/>
      <c r="G241" s="3">
        <f t="shared" si="11"/>
        <v>0</v>
      </c>
      <c r="H241" t="s">
        <v>439</v>
      </c>
    </row>
    <row r="242" spans="1:8" x14ac:dyDescent="0.75">
      <c r="A242" s="14">
        <v>7100</v>
      </c>
      <c r="B242" s="18" t="s">
        <v>689</v>
      </c>
      <c r="C242" s="3">
        <f>SUMIF('Raw Data 10-31-2019'!$A$6:$A$255,'Q4 TB-19'!A242,'Raw Data 10-31-2019'!C$6:C$255)</f>
        <v>0</v>
      </c>
      <c r="D242" s="4"/>
      <c r="E242" s="3">
        <f>SUMIF('Raw Data 10-31-2019'!$A$6:$A$255,'Q4 TB-19'!A242,'Raw Data 10-31-2019'!D$6:D$255)</f>
        <v>70.400000000000006</v>
      </c>
      <c r="F242" s="5"/>
      <c r="G242" s="3">
        <f t="shared" si="11"/>
        <v>-70.400000000000006</v>
      </c>
      <c r="H242" t="s">
        <v>439</v>
      </c>
    </row>
    <row r="243" spans="1:8" x14ac:dyDescent="0.75">
      <c r="A243" s="14">
        <v>7200</v>
      </c>
      <c r="B243" s="18" t="s">
        <v>690</v>
      </c>
      <c r="C243" s="3">
        <f>SUMIF('Raw Data 10-31-2019'!$A$6:$A$255,'Q4 TB-19'!A243,'Raw Data 10-31-2019'!C$6:C$255)</f>
        <v>0</v>
      </c>
      <c r="D243" s="4"/>
      <c r="E243" s="3">
        <f>SUMIF('Raw Data 10-31-2019'!$A$6:$A$255,'Q4 TB-19'!A243,'Raw Data 10-31-2019'!D$6:D$255)</f>
        <v>0</v>
      </c>
      <c r="F243" s="5"/>
      <c r="G243" s="3">
        <f t="shared" si="11"/>
        <v>0</v>
      </c>
      <c r="H243" t="s">
        <v>439</v>
      </c>
    </row>
    <row r="244" spans="1:8" x14ac:dyDescent="0.75">
      <c r="A244" s="14">
        <v>7300</v>
      </c>
      <c r="B244" s="18" t="s">
        <v>691</v>
      </c>
      <c r="C244" s="3">
        <f>SUMIF('Raw Data 10-31-2019'!$A$6:$A$255,'Q4 TB-19'!A244,'Raw Data 10-31-2019'!C$6:C$255)</f>
        <v>0</v>
      </c>
      <c r="D244" s="4"/>
      <c r="E244" s="3">
        <f>SUMIF('Raw Data 10-31-2019'!$A$6:$A$255,'Q4 TB-19'!A244,'Raw Data 10-31-2019'!D$6:D$255)</f>
        <v>0</v>
      </c>
      <c r="F244" s="5"/>
      <c r="G244" s="3">
        <f t="shared" si="11"/>
        <v>0</v>
      </c>
      <c r="H244" t="s">
        <v>439</v>
      </c>
    </row>
    <row r="245" spans="1:8" x14ac:dyDescent="0.75">
      <c r="A245" s="14">
        <v>7310</v>
      </c>
      <c r="B245" s="18" t="s">
        <v>692</v>
      </c>
      <c r="C245" s="3">
        <f>SUMIF('Raw Data 10-31-2019'!$A$6:$A$255,'Q4 TB-19'!A245,'Raw Data 10-31-2019'!C$6:C$255)</f>
        <v>0</v>
      </c>
      <c r="D245" s="4"/>
      <c r="E245" s="3">
        <f>SUMIF('Raw Data 10-31-2019'!$A$6:$A$255,'Q4 TB-19'!A245,'Raw Data 10-31-2019'!D$6:D$255)</f>
        <v>0</v>
      </c>
      <c r="F245" s="5"/>
      <c r="G245" s="3">
        <f t="shared" si="11"/>
        <v>0</v>
      </c>
      <c r="H245" t="s">
        <v>439</v>
      </c>
    </row>
    <row r="246" spans="1:8" x14ac:dyDescent="0.75">
      <c r="A246" s="14">
        <v>7400</v>
      </c>
      <c r="B246" s="18" t="s">
        <v>693</v>
      </c>
      <c r="C246" s="3">
        <f>SUMIF('Raw Data 10-31-2019'!$A$6:$A$255,'Q4 TB-19'!A246,'Raw Data 10-31-2019'!C$6:C$255)</f>
        <v>0</v>
      </c>
      <c r="D246" s="4"/>
      <c r="E246" s="3">
        <f>SUMIF('Raw Data 10-31-2019'!$A$6:$A$255,'Q4 TB-19'!A246,'Raw Data 10-31-2019'!D$6:D$255)</f>
        <v>0</v>
      </c>
      <c r="F246" s="5"/>
      <c r="G246" s="3">
        <f t="shared" si="11"/>
        <v>0</v>
      </c>
      <c r="H246" t="s">
        <v>951</v>
      </c>
    </row>
    <row r="247" spans="1:8" x14ac:dyDescent="0.75">
      <c r="A247" s="12">
        <v>7500</v>
      </c>
      <c r="B247" s="13" t="s">
        <v>620</v>
      </c>
      <c r="C247" s="3">
        <f>SUMIF('Raw Data 10-31-2019'!$A$6:$A$255,'Q4 TB-19'!A247,'Raw Data 10-31-2019'!C$6:C$255)</f>
        <v>0</v>
      </c>
      <c r="D247" s="4"/>
      <c r="E247" s="3">
        <f>SUMIF('Raw Data 10-31-2019'!$A$6:$A$255,'Q4 TB-19'!A247,'Raw Data 10-31-2019'!D$6:D$255)</f>
        <v>0</v>
      </c>
      <c r="F247" s="5"/>
      <c r="G247" s="3">
        <f t="shared" si="11"/>
        <v>0</v>
      </c>
      <c r="H247" t="s">
        <v>441</v>
      </c>
    </row>
    <row r="248" spans="1:8" x14ac:dyDescent="0.75">
      <c r="A248" s="12">
        <v>7510</v>
      </c>
      <c r="B248" s="13" t="s">
        <v>621</v>
      </c>
      <c r="C248" s="3">
        <f>SUMIF('Raw Data 10-31-2019'!$A$6:$A$255,'Q4 TB-19'!A248,'Raw Data 10-31-2019'!C$6:C$255)</f>
        <v>7340.52</v>
      </c>
      <c r="D248" s="4"/>
      <c r="E248" s="3">
        <f>SUMIF('Raw Data 10-31-2019'!$A$6:$A$255,'Q4 TB-19'!A248,'Raw Data 10-31-2019'!D$6:D$255)</f>
        <v>0</v>
      </c>
      <c r="F248" s="5"/>
      <c r="G248" s="3">
        <f t="shared" si="11"/>
        <v>7340.52</v>
      </c>
      <c r="H248" s="53" t="s">
        <v>441</v>
      </c>
    </row>
    <row r="249" spans="1:8" x14ac:dyDescent="0.75">
      <c r="A249" s="12">
        <v>7520</v>
      </c>
      <c r="B249" s="13" t="s">
        <v>622</v>
      </c>
      <c r="C249" s="3">
        <f>SUMIF('Raw Data 10-31-2019'!$A$6:$A$255,'Q4 TB-19'!A249,'Raw Data 10-31-2019'!C$6:C$255)</f>
        <v>5576.46</v>
      </c>
      <c r="D249" s="4"/>
      <c r="E249" s="3">
        <f>SUMIF('Raw Data 10-31-2019'!$A$6:$A$255,'Q4 TB-19'!A249,'Raw Data 10-31-2019'!D$6:D$255)</f>
        <v>0</v>
      </c>
      <c r="F249" s="5"/>
      <c r="G249" s="3">
        <f t="shared" si="11"/>
        <v>5576.46</v>
      </c>
      <c r="H249" s="53" t="s">
        <v>441</v>
      </c>
    </row>
    <row r="250" spans="1:8" x14ac:dyDescent="0.75">
      <c r="A250" s="12">
        <v>7530</v>
      </c>
      <c r="B250" s="13" t="s">
        <v>623</v>
      </c>
      <c r="C250" s="3">
        <f>SUMIF('Raw Data 10-31-2019'!$A$6:$A$255,'Q4 TB-19'!A250,'Raw Data 10-31-2019'!C$6:C$255)</f>
        <v>37076.14</v>
      </c>
      <c r="D250" s="4"/>
      <c r="E250" s="3">
        <f>SUMIF('Raw Data 10-31-2019'!$A$6:$A$255,'Q4 TB-19'!A250,'Raw Data 10-31-2019'!D$6:D$255)</f>
        <v>0</v>
      </c>
      <c r="F250" s="5"/>
      <c r="G250" s="3">
        <f t="shared" si="11"/>
        <v>37076.14</v>
      </c>
      <c r="H250" s="53" t="s">
        <v>441</v>
      </c>
    </row>
    <row r="251" spans="1:8" x14ac:dyDescent="0.75">
      <c r="A251" s="12">
        <v>7540</v>
      </c>
      <c r="B251" s="13" t="s">
        <v>624</v>
      </c>
      <c r="C251" s="3">
        <f>SUMIF('Raw Data 10-31-2019'!$A$6:$A$255,'Q4 TB-19'!A251,'Raw Data 10-31-2019'!C$6:C$255)</f>
        <v>81659.520000000004</v>
      </c>
      <c r="D251" s="4"/>
      <c r="E251" s="3">
        <f>SUMIF('Raw Data 10-31-2019'!$A$6:$A$255,'Q4 TB-19'!A251,'Raw Data 10-31-2019'!D$6:D$255)</f>
        <v>0</v>
      </c>
      <c r="F251" s="5"/>
      <c r="G251" s="3">
        <f t="shared" si="11"/>
        <v>81659.520000000004</v>
      </c>
      <c r="H251" s="53" t="s">
        <v>441</v>
      </c>
    </row>
    <row r="252" spans="1:8" s="76" customFormat="1" x14ac:dyDescent="0.75">
      <c r="A252" s="12" t="s">
        <v>945</v>
      </c>
      <c r="B252" s="13" t="s">
        <v>946</v>
      </c>
      <c r="C252" s="3">
        <f>SUMIF('Raw Data 10-31-2019'!$A$6:$A$255,'Q4 TB-19'!A252,'Raw Data 10-31-2019'!C$6:C$255)</f>
        <v>144576</v>
      </c>
      <c r="D252" s="4"/>
      <c r="E252" s="3">
        <f>SUMIF('Raw Data 10-31-2019'!$A$6:$A$255,'Q4 TB-19'!A252,'Raw Data 10-31-2019'!D$6:D$255)</f>
        <v>0</v>
      </c>
      <c r="F252" s="5"/>
      <c r="G252" s="3">
        <f t="shared" ref="G252" si="12">C252-E252</f>
        <v>144576</v>
      </c>
      <c r="H252" s="76" t="s">
        <v>441</v>
      </c>
    </row>
    <row r="253" spans="1:8" x14ac:dyDescent="0.75">
      <c r="A253" s="14">
        <v>7600</v>
      </c>
      <c r="B253" s="18" t="s">
        <v>694</v>
      </c>
      <c r="C253" s="3">
        <f>SUMIF('Raw Data 10-31-2019'!$A$6:$A$255,'Q4 TB-19'!A253,'Raw Data 10-31-2019'!C$6:C$255)</f>
        <v>0</v>
      </c>
      <c r="D253" s="4"/>
      <c r="E253" s="3">
        <f>SUMIF('Raw Data 10-31-2019'!$A$6:$A$255,'Q4 TB-19'!A253,'Raw Data 10-31-2019'!D$6:D$255)</f>
        <v>0</v>
      </c>
      <c r="F253" s="5"/>
      <c r="G253" s="3">
        <f t="shared" si="11"/>
        <v>0</v>
      </c>
      <c r="H253" t="s">
        <v>439</v>
      </c>
    </row>
    <row r="254" spans="1:8" x14ac:dyDescent="0.75">
      <c r="A254" s="14">
        <v>7700</v>
      </c>
      <c r="B254" s="18" t="s">
        <v>695</v>
      </c>
      <c r="C254" s="3">
        <f>SUMIF('Raw Data 10-31-2019'!$A$6:$A$255,'Q4 TB-19'!A254,'Raw Data 10-31-2019'!C$6:C$255)</f>
        <v>0</v>
      </c>
      <c r="D254" s="4"/>
      <c r="E254" s="3">
        <f>SUMIF('Raw Data 10-31-2019'!$A$6:$A$255,'Q4 TB-19'!A254,'Raw Data 10-31-2019'!D$6:D$255)</f>
        <v>0</v>
      </c>
      <c r="F254" s="5"/>
      <c r="G254" s="3">
        <f t="shared" si="11"/>
        <v>0</v>
      </c>
      <c r="H254" t="s">
        <v>439</v>
      </c>
    </row>
    <row r="255" spans="1:8" x14ac:dyDescent="0.75">
      <c r="C255" s="51">
        <f>SUM(C6:C254)</f>
        <v>11955151.339999998</v>
      </c>
      <c r="E255" s="51">
        <f>SUM(E6:E254)</f>
        <v>11955151.34</v>
      </c>
      <c r="G255" s="51">
        <f>SUM(G6:G254)</f>
        <v>-1.1641532182693481E-9</v>
      </c>
    </row>
  </sheetData>
  <autoFilter ref="A5:H255" xr:uid="{C06984CA-4141-43F2-83D6-0165B864C46F}"/>
  <sortState xmlns:xlrd2="http://schemas.microsoft.com/office/spreadsheetml/2017/richdata2" ref="A6:B254">
    <sortCondition ref="A6:A254"/>
  </sortState>
  <mergeCells count="3">
    <mergeCell ref="B1:D1"/>
    <mergeCell ref="B2:D2"/>
    <mergeCell ref="B3:D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8434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18434" r:id="rId4" name="HEADER"/>
      </mc:Fallback>
    </mc:AlternateContent>
    <mc:AlternateContent xmlns:mc="http://schemas.openxmlformats.org/markup-compatibility/2006">
      <mc:Choice Requires="x14">
        <control shapeId="18433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18433" r:id="rId6" name="FILTER"/>
      </mc:Fallback>
    </mc:AlternateContent>
  </control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CE28D-271A-4809-B2BC-9DE8A9F62844}">
  <sheetPr codeName="Sheet18">
    <tabColor rgb="FFFFFF00"/>
  </sheetPr>
  <dimension ref="A1:K255"/>
  <sheetViews>
    <sheetView zoomScaleNormal="100" workbookViewId="0">
      <pane xSplit="2" ySplit="5" topLeftCell="C42" activePane="bottomRight" state="frozenSplit"/>
      <selection pane="topRight" activeCell="C1" sqref="C1"/>
      <selection pane="bottomLeft" activeCell="A3" sqref="A3"/>
      <selection pane="bottomRight" activeCell="G62" sqref="G62"/>
    </sheetView>
  </sheetViews>
  <sheetFormatPr defaultColWidth="9.1328125" defaultRowHeight="14.75" x14ac:dyDescent="0.75"/>
  <cols>
    <col min="1" max="1" width="11.86328125" style="14" customWidth="1"/>
    <col min="2" max="2" width="40.26953125" style="18" customWidth="1"/>
    <col min="3" max="3" width="14.1328125" style="10" customWidth="1"/>
    <col min="4" max="4" width="2.1328125" style="10" customWidth="1"/>
    <col min="5" max="5" width="15.40625" style="10" customWidth="1"/>
    <col min="6" max="6" width="4.26953125" style="10" customWidth="1"/>
    <col min="7" max="7" width="15.40625" style="10" customWidth="1"/>
    <col min="8" max="8" width="17.54296875" style="85" bestFit="1" customWidth="1"/>
    <col min="9" max="16384" width="9.1328125" style="85"/>
  </cols>
  <sheetData>
    <row r="1" spans="1:11" ht="18" x14ac:dyDescent="0.8">
      <c r="B1" s="195" t="s">
        <v>696</v>
      </c>
      <c r="C1" s="197"/>
      <c r="D1" s="197"/>
    </row>
    <row r="2" spans="1:11" ht="18" x14ac:dyDescent="0.8">
      <c r="B2" s="195" t="s">
        <v>697</v>
      </c>
      <c r="C2" s="197"/>
      <c r="D2" s="197"/>
    </row>
    <row r="3" spans="1:11" ht="15.75" x14ac:dyDescent="0.75">
      <c r="B3" s="196" t="str">
        <f>'Raw Data 10-31-2020'!B3:D3</f>
        <v>As of October 31, 2020</v>
      </c>
      <c r="C3" s="196"/>
      <c r="D3" s="196"/>
    </row>
    <row r="4" spans="1:11" ht="15.5" thickBot="1" x14ac:dyDescent="0.9">
      <c r="A4" s="12"/>
      <c r="B4" s="13"/>
      <c r="C4" s="15"/>
      <c r="D4" s="1"/>
      <c r="E4" s="2"/>
      <c r="F4" s="2"/>
      <c r="G4" s="2"/>
    </row>
    <row r="5" spans="1:11" s="9" customFormat="1" ht="16.25" thickTop="1" thickBot="1" x14ac:dyDescent="0.9">
      <c r="A5" s="12" t="s">
        <v>4</v>
      </c>
      <c r="B5" s="17" t="s">
        <v>3</v>
      </c>
      <c r="C5" s="7" t="s">
        <v>0</v>
      </c>
      <c r="D5" s="8"/>
      <c r="E5" s="7" t="s">
        <v>1</v>
      </c>
      <c r="F5" s="15"/>
      <c r="G5" s="15" t="s">
        <v>170</v>
      </c>
      <c r="H5" s="35" t="s">
        <v>799</v>
      </c>
    </row>
    <row r="6" spans="1:11" ht="15.5" thickTop="1" x14ac:dyDescent="0.75">
      <c r="A6" s="12">
        <v>1005</v>
      </c>
      <c r="B6" s="13" t="s">
        <v>457</v>
      </c>
      <c r="C6" s="3">
        <f>SUMIF('Raw Data 10-31-2020'!$A$6:$A$256,'Q4 TB-20'!A6,'Raw Data 10-31-2020'!C$6:C$256)</f>
        <v>0</v>
      </c>
      <c r="D6" s="4"/>
      <c r="E6" s="3">
        <f>SUMIF('Raw Data 10-31-2020'!$A$6:$A$256,'Q4 TB-20'!A6,'Raw Data 10-31-2020'!D$6:D$256)</f>
        <v>0</v>
      </c>
      <c r="F6" s="3"/>
      <c r="G6" s="3">
        <f>C6-E6</f>
        <v>0</v>
      </c>
      <c r="H6" s="85" t="s">
        <v>171</v>
      </c>
      <c r="J6" s="19"/>
    </row>
    <row r="7" spans="1:11" x14ac:dyDescent="0.75">
      <c r="A7" s="12">
        <v>1010</v>
      </c>
      <c r="B7" s="13" t="s">
        <v>458</v>
      </c>
      <c r="C7" s="3">
        <f>SUMIF('Raw Data 10-31-2020'!$A$6:$A$256,'Q4 TB-20'!A7,'Raw Data 10-31-2020'!C$6:C$256)</f>
        <v>96394.87</v>
      </c>
      <c r="D7" s="4"/>
      <c r="E7" s="3">
        <f>SUMIF('Raw Data 10-31-2020'!$A$6:$A$256,'Q4 TB-20'!A7,'Raw Data 10-31-2020'!D$6:D$256)</f>
        <v>0</v>
      </c>
      <c r="F7" s="3"/>
      <c r="G7" s="3">
        <f t="shared" ref="G7:G72" si="0">C7-E7</f>
        <v>96394.87</v>
      </c>
      <c r="H7" s="85" t="s">
        <v>171</v>
      </c>
      <c r="J7" s="19"/>
    </row>
    <row r="8" spans="1:11" x14ac:dyDescent="0.75">
      <c r="A8" s="12">
        <v>1020</v>
      </c>
      <c r="B8" s="13" t="s">
        <v>459</v>
      </c>
      <c r="C8" s="3">
        <f>SUMIF('Raw Data 10-31-2020'!$A$6:$A$256,'Q4 TB-20'!A8,'Raw Data 10-31-2020'!C$6:C$256)</f>
        <v>200817.42</v>
      </c>
      <c r="D8" s="4"/>
      <c r="E8" s="3">
        <f>SUMIF('Raw Data 10-31-2020'!$A$6:$A$256,'Q4 TB-20'!A8,'Raw Data 10-31-2020'!D$6:D$256)</f>
        <v>0</v>
      </c>
      <c r="F8" s="3"/>
      <c r="G8" s="3">
        <f t="shared" si="0"/>
        <v>200817.42</v>
      </c>
      <c r="H8" s="85" t="s">
        <v>171</v>
      </c>
      <c r="J8" s="19"/>
    </row>
    <row r="9" spans="1:11" x14ac:dyDescent="0.75">
      <c r="A9" s="12">
        <v>1200</v>
      </c>
      <c r="B9" s="13" t="s">
        <v>460</v>
      </c>
      <c r="C9" s="3">
        <f>SUMIF('Raw Data 10-31-2020'!$A$6:$A$256,'Q4 TB-20'!A9,'Raw Data 10-31-2020'!C$6:C$256)</f>
        <v>166867.21</v>
      </c>
      <c r="D9" s="4"/>
      <c r="E9" s="3">
        <f>SUMIF('Raw Data 10-31-2020'!$A$6:$A$256,'Q4 TB-20'!A9,'Raw Data 10-31-2020'!D$6:D$256)</f>
        <v>0</v>
      </c>
      <c r="F9" s="3"/>
      <c r="G9" s="3">
        <f t="shared" si="0"/>
        <v>166867.21</v>
      </c>
      <c r="H9" s="85" t="s">
        <v>172</v>
      </c>
      <c r="J9" s="19"/>
      <c r="K9" s="51"/>
    </row>
    <row r="10" spans="1:11" x14ac:dyDescent="0.75">
      <c r="A10" s="12">
        <v>1210</v>
      </c>
      <c r="B10" s="13" t="s">
        <v>461</v>
      </c>
      <c r="C10" s="3">
        <f>SUMIF('Raw Data 10-31-2020'!$A$6:$A$256,'Q4 TB-20'!A10,'Raw Data 10-31-2020'!C$6:C$256)</f>
        <v>0</v>
      </c>
      <c r="D10" s="4"/>
      <c r="E10" s="3">
        <f>SUMIF('Raw Data 10-31-2020'!$A$6:$A$256,'Q4 TB-20'!A10,'Raw Data 10-31-2020'!D$6:D$256)</f>
        <v>0</v>
      </c>
      <c r="F10" s="3"/>
      <c r="G10" s="3">
        <f t="shared" si="0"/>
        <v>0</v>
      </c>
      <c r="H10" s="85" t="s">
        <v>172</v>
      </c>
      <c r="J10" s="19"/>
      <c r="K10" s="51"/>
    </row>
    <row r="11" spans="1:11" x14ac:dyDescent="0.75">
      <c r="A11" s="12">
        <v>1250</v>
      </c>
      <c r="B11" s="13" t="s">
        <v>462</v>
      </c>
      <c r="C11" s="3">
        <f>SUMIF('Raw Data 10-31-2020'!$A$6:$A$256,'Q4 TB-20'!A11,'Raw Data 10-31-2020'!C$6:C$256)</f>
        <v>0</v>
      </c>
      <c r="D11" s="4"/>
      <c r="E11" s="3">
        <f>SUMIF('Raw Data 10-31-2020'!$A$6:$A$256,'Q4 TB-20'!A11,'Raw Data 10-31-2020'!D$6:D$256)</f>
        <v>14957</v>
      </c>
      <c r="F11" s="3"/>
      <c r="G11" s="3">
        <f t="shared" si="0"/>
        <v>-14957</v>
      </c>
      <c r="H11" s="85" t="s">
        <v>172</v>
      </c>
      <c r="J11" s="19"/>
      <c r="K11" s="51"/>
    </row>
    <row r="12" spans="1:11" x14ac:dyDescent="0.75">
      <c r="A12" s="12">
        <v>1280</v>
      </c>
      <c r="B12" s="13" t="s">
        <v>468</v>
      </c>
      <c r="C12" s="3">
        <f>SUMIF('Raw Data 10-31-2020'!$A$6:$A$256,'Q4 TB-20'!A12,'Raw Data 10-31-2020'!C$6:C$256)</f>
        <v>0</v>
      </c>
      <c r="D12" s="4"/>
      <c r="E12" s="3">
        <f>SUMIF('Raw Data 10-31-2020'!$A$6:$A$256,'Q4 TB-20'!A12,'Raw Data 10-31-2020'!D$6:D$256)</f>
        <v>0</v>
      </c>
      <c r="F12" s="3"/>
      <c r="G12" s="3">
        <f t="shared" si="0"/>
        <v>0</v>
      </c>
      <c r="H12" s="85" t="s">
        <v>175</v>
      </c>
      <c r="J12" s="19"/>
    </row>
    <row r="13" spans="1:11" x14ac:dyDescent="0.75">
      <c r="A13" s="12">
        <v>1290</v>
      </c>
      <c r="B13" s="13" t="s">
        <v>469</v>
      </c>
      <c r="C13" s="3">
        <f>SUMIF('Raw Data 10-31-2020'!$A$6:$A$256,'Q4 TB-20'!A13,'Raw Data 10-31-2020'!C$6:C$256)</f>
        <v>0</v>
      </c>
      <c r="D13" s="4"/>
      <c r="E13" s="3">
        <f>SUMIF('Raw Data 10-31-2020'!$A$6:$A$256,'Q4 TB-20'!A13,'Raw Data 10-31-2020'!D$6:D$256)</f>
        <v>0</v>
      </c>
      <c r="F13" s="3"/>
      <c r="G13" s="3">
        <f t="shared" si="0"/>
        <v>0</v>
      </c>
      <c r="H13" s="85" t="s">
        <v>172</v>
      </c>
      <c r="J13" s="19"/>
      <c r="K13" s="51"/>
    </row>
    <row r="14" spans="1:11" x14ac:dyDescent="0.75">
      <c r="A14" s="12">
        <v>1300</v>
      </c>
      <c r="B14" s="13" t="s">
        <v>463</v>
      </c>
      <c r="C14" s="3">
        <f>SUMIF('Raw Data 10-31-2020'!$A$6:$A$256,'Q4 TB-20'!A14,'Raw Data 10-31-2020'!C$6:C$256)</f>
        <v>0</v>
      </c>
      <c r="D14" s="4"/>
      <c r="E14" s="3">
        <f>SUMIF('Raw Data 10-31-2020'!$A$6:$A$256,'Q4 TB-20'!A14,'Raw Data 10-31-2020'!D$6:D$256)</f>
        <v>0</v>
      </c>
      <c r="F14" s="3"/>
      <c r="G14" s="3">
        <f t="shared" si="0"/>
        <v>0</v>
      </c>
      <c r="H14" s="85" t="s">
        <v>174</v>
      </c>
      <c r="J14" s="19"/>
    </row>
    <row r="15" spans="1:11" x14ac:dyDescent="0.75">
      <c r="A15" s="12">
        <v>1310</v>
      </c>
      <c r="B15" s="13" t="s">
        <v>467</v>
      </c>
      <c r="C15" s="3">
        <f>SUMIF('Raw Data 10-31-2020'!$A$6:$A$256,'Q4 TB-20'!A15,'Raw Data 10-31-2020'!C$6:C$256)</f>
        <v>35000.379999999997</v>
      </c>
      <c r="D15" s="4"/>
      <c r="E15" s="3">
        <f>SUMIF('Raw Data 10-31-2020'!$A$6:$A$256,'Q4 TB-20'!A15,'Raw Data 10-31-2020'!D$6:D$256)</f>
        <v>0</v>
      </c>
      <c r="F15" s="3"/>
      <c r="G15" s="3">
        <f t="shared" si="0"/>
        <v>35000.379999999997</v>
      </c>
      <c r="H15" s="85" t="s">
        <v>174</v>
      </c>
      <c r="J15" s="19"/>
      <c r="K15" s="19"/>
    </row>
    <row r="16" spans="1:11" x14ac:dyDescent="0.75">
      <c r="A16" s="12">
        <v>1320</v>
      </c>
      <c r="B16" s="13" t="s">
        <v>466</v>
      </c>
      <c r="C16" s="3">
        <f>SUMIF('Raw Data 10-31-2020'!$A$6:$A$256,'Q4 TB-20'!A16,'Raw Data 10-31-2020'!C$6:C$256)</f>
        <v>0</v>
      </c>
      <c r="D16" s="4"/>
      <c r="E16" s="3">
        <f>SUMIF('Raw Data 10-31-2020'!$A$6:$A$256,'Q4 TB-20'!A16,'Raw Data 10-31-2020'!D$6:D$256)</f>
        <v>0</v>
      </c>
      <c r="F16" s="3"/>
      <c r="G16" s="3">
        <f t="shared" si="0"/>
        <v>0</v>
      </c>
      <c r="H16" s="85" t="s">
        <v>174</v>
      </c>
      <c r="J16" s="19"/>
    </row>
    <row r="17" spans="1:10" x14ac:dyDescent="0.75">
      <c r="A17" s="12">
        <v>1330</v>
      </c>
      <c r="B17" s="13" t="s">
        <v>464</v>
      </c>
      <c r="C17" s="3">
        <f>SUMIF('Raw Data 10-31-2020'!$A$6:$A$256,'Q4 TB-20'!A17,'Raw Data 10-31-2020'!C$6:C$256)</f>
        <v>0</v>
      </c>
      <c r="D17" s="4"/>
      <c r="E17" s="3">
        <f>SUMIF('Raw Data 10-31-2020'!$A$6:$A$256,'Q4 TB-20'!A17,'Raw Data 10-31-2020'!D$6:D$256)</f>
        <v>0</v>
      </c>
      <c r="F17" s="3"/>
      <c r="G17" s="3">
        <f t="shared" si="0"/>
        <v>0</v>
      </c>
      <c r="H17" s="85" t="s">
        <v>174</v>
      </c>
      <c r="J17" s="19"/>
    </row>
    <row r="18" spans="1:10" x14ac:dyDescent="0.75">
      <c r="A18" s="12">
        <v>1340</v>
      </c>
      <c r="B18" s="13" t="s">
        <v>465</v>
      </c>
      <c r="C18" s="3">
        <f>SUMIF('Raw Data 10-31-2020'!$A$6:$A$256,'Q4 TB-20'!A18,'Raw Data 10-31-2020'!C$6:C$256)</f>
        <v>0</v>
      </c>
      <c r="D18" s="4"/>
      <c r="E18" s="3">
        <f>SUMIF('Raw Data 10-31-2020'!$A$6:$A$256,'Q4 TB-20'!A18,'Raw Data 10-31-2020'!D$6:D$256)</f>
        <v>0</v>
      </c>
      <c r="F18" s="3"/>
      <c r="G18" s="3">
        <f t="shared" si="0"/>
        <v>0</v>
      </c>
      <c r="H18" s="85" t="s">
        <v>174</v>
      </c>
      <c r="J18" s="19"/>
    </row>
    <row r="19" spans="1:10" x14ac:dyDescent="0.75">
      <c r="A19" s="12">
        <v>1410</v>
      </c>
      <c r="B19" s="13" t="s">
        <v>470</v>
      </c>
      <c r="C19" s="3">
        <f>SUMIF('Raw Data 10-31-2020'!$A$6:$A$256,'Q4 TB-20'!A19,'Raw Data 10-31-2020'!C$6:C$256)</f>
        <v>0</v>
      </c>
      <c r="D19" s="4"/>
      <c r="E19" s="3">
        <f>SUMIF('Raw Data 10-31-2020'!$A$6:$A$256,'Q4 TB-20'!A19,'Raw Data 10-31-2020'!D$6:D$256)</f>
        <v>0</v>
      </c>
      <c r="F19" s="3"/>
      <c r="G19" s="3">
        <f t="shared" si="0"/>
        <v>0</v>
      </c>
      <c r="H19" s="85" t="s">
        <v>175</v>
      </c>
      <c r="J19" s="19"/>
    </row>
    <row r="20" spans="1:10" x14ac:dyDescent="0.75">
      <c r="A20" s="12">
        <v>1420</v>
      </c>
      <c r="B20" s="13" t="s">
        <v>471</v>
      </c>
      <c r="C20" s="3">
        <f>SUMIF('Raw Data 10-31-2020'!$A$6:$A$256,'Q4 TB-20'!A20,'Raw Data 10-31-2020'!C$6:C$256)</f>
        <v>0</v>
      </c>
      <c r="D20" s="4"/>
      <c r="E20" s="3">
        <f>SUMIF('Raw Data 10-31-2020'!$A$6:$A$256,'Q4 TB-20'!A20,'Raw Data 10-31-2020'!D$6:D$256)</f>
        <v>0</v>
      </c>
      <c r="F20" s="3"/>
      <c r="G20" s="3">
        <f t="shared" si="0"/>
        <v>0</v>
      </c>
      <c r="H20" s="85" t="s">
        <v>175</v>
      </c>
      <c r="J20" s="19"/>
    </row>
    <row r="21" spans="1:10" x14ac:dyDescent="0.75">
      <c r="A21" s="12">
        <v>1430</v>
      </c>
      <c r="B21" s="13" t="s">
        <v>472</v>
      </c>
      <c r="C21" s="3">
        <f>SUMIF('Raw Data 10-31-2020'!$A$6:$A$256,'Q4 TB-20'!A21,'Raw Data 10-31-2020'!C$6:C$256)</f>
        <v>0</v>
      </c>
      <c r="D21" s="4"/>
      <c r="E21" s="3">
        <f>SUMIF('Raw Data 10-31-2020'!$A$6:$A$256,'Q4 TB-20'!A21,'Raw Data 10-31-2020'!D$6:D$256)</f>
        <v>0</v>
      </c>
      <c r="F21" s="3"/>
      <c r="G21" s="3">
        <f t="shared" si="0"/>
        <v>0</v>
      </c>
      <c r="H21" s="85" t="s">
        <v>175</v>
      </c>
      <c r="J21" s="19"/>
    </row>
    <row r="22" spans="1:10" x14ac:dyDescent="0.75">
      <c r="A22" s="12">
        <v>1710</v>
      </c>
      <c r="B22" s="13" t="s">
        <v>481</v>
      </c>
      <c r="C22" s="3">
        <f>SUMIF('Raw Data 10-31-2020'!$A$6:$A$256,'Q4 TB-20'!A22,'Raw Data 10-31-2020'!C$6:C$256)</f>
        <v>97384.17</v>
      </c>
      <c r="D22" s="4"/>
      <c r="E22" s="3">
        <f>SUMIF('Raw Data 10-31-2020'!$A$6:$A$256,'Q4 TB-20'!A22,'Raw Data 10-31-2020'!D$6:D$256)</f>
        <v>0</v>
      </c>
      <c r="F22" s="3"/>
      <c r="G22" s="3">
        <f t="shared" si="0"/>
        <v>97384.17</v>
      </c>
      <c r="H22" s="85" t="s">
        <v>173</v>
      </c>
      <c r="J22" s="19"/>
    </row>
    <row r="23" spans="1:10" x14ac:dyDescent="0.75">
      <c r="A23" s="12">
        <v>1715</v>
      </c>
      <c r="B23" s="13" t="s">
        <v>483</v>
      </c>
      <c r="C23" s="3">
        <f>SUMIF('Raw Data 10-31-2020'!$A$6:$A$256,'Q4 TB-20'!A23,'Raw Data 10-31-2020'!C$6:C$256)</f>
        <v>0</v>
      </c>
      <c r="D23" s="4"/>
      <c r="E23" s="3">
        <f>SUMIF('Raw Data 10-31-2020'!$A$6:$A$256,'Q4 TB-20'!A23,'Raw Data 10-31-2020'!D$6:D$256)</f>
        <v>0</v>
      </c>
      <c r="F23" s="3"/>
      <c r="G23" s="3">
        <f t="shared" si="0"/>
        <v>0</v>
      </c>
      <c r="H23" s="85" t="s">
        <v>173</v>
      </c>
      <c r="J23" s="19"/>
    </row>
    <row r="24" spans="1:10" x14ac:dyDescent="0.75">
      <c r="A24" s="12">
        <v>1720</v>
      </c>
      <c r="B24" s="13" t="s">
        <v>484</v>
      </c>
      <c r="C24" s="3">
        <f>SUMIF('Raw Data 10-31-2020'!$A$6:$A$256,'Q4 TB-20'!A24,'Raw Data 10-31-2020'!C$6:C$256)</f>
        <v>3937.6</v>
      </c>
      <c r="D24" s="4"/>
      <c r="E24" s="3">
        <f>SUMIF('Raw Data 10-31-2020'!$A$6:$A$256,'Q4 TB-20'!A24,'Raw Data 10-31-2020'!D$6:D$256)</f>
        <v>0</v>
      </c>
      <c r="F24" s="3"/>
      <c r="G24" s="3">
        <f t="shared" si="0"/>
        <v>3937.6</v>
      </c>
      <c r="H24" s="85" t="s">
        <v>173</v>
      </c>
      <c r="J24" s="19"/>
    </row>
    <row r="25" spans="1:10" x14ac:dyDescent="0.75">
      <c r="A25" s="12">
        <v>1725</v>
      </c>
      <c r="B25" s="13" t="s">
        <v>485</v>
      </c>
      <c r="C25" s="3">
        <f>SUMIF('Raw Data 10-31-2020'!$A$6:$A$256,'Q4 TB-20'!A25,'Raw Data 10-31-2020'!C$6:C$256)</f>
        <v>2446.33</v>
      </c>
      <c r="D25" s="4"/>
      <c r="E25" s="3">
        <f>SUMIF('Raw Data 10-31-2020'!$A$6:$A$256,'Q4 TB-20'!A25,'Raw Data 10-31-2020'!D$6:D$256)</f>
        <v>0</v>
      </c>
      <c r="F25" s="3"/>
      <c r="G25" s="3">
        <f t="shared" si="0"/>
        <v>2446.33</v>
      </c>
      <c r="H25" s="85" t="s">
        <v>173</v>
      </c>
      <c r="J25" s="19"/>
    </row>
    <row r="26" spans="1:10" x14ac:dyDescent="0.75">
      <c r="A26" s="12">
        <v>1735</v>
      </c>
      <c r="B26" s="13" t="s">
        <v>487</v>
      </c>
      <c r="C26" s="3">
        <f>SUMIF('Raw Data 10-31-2020'!$A$6:$A$256,'Q4 TB-20'!A26,'Raw Data 10-31-2020'!C$6:C$256)</f>
        <v>13572.55</v>
      </c>
      <c r="D26" s="4"/>
      <c r="E26" s="3">
        <f>SUMIF('Raw Data 10-31-2020'!$A$6:$A$256,'Q4 TB-20'!A26,'Raw Data 10-31-2020'!D$6:D$256)</f>
        <v>0</v>
      </c>
      <c r="F26" s="3"/>
      <c r="G26" s="3">
        <f t="shared" si="0"/>
        <v>13572.55</v>
      </c>
      <c r="H26" s="85" t="s">
        <v>173</v>
      </c>
      <c r="J26" s="19"/>
    </row>
    <row r="27" spans="1:10" x14ac:dyDescent="0.75">
      <c r="A27" s="12">
        <v>1740</v>
      </c>
      <c r="B27" s="13" t="s">
        <v>488</v>
      </c>
      <c r="C27" s="3">
        <f>SUMIF('Raw Data 10-31-2020'!$A$6:$A$256,'Q4 TB-20'!A27,'Raw Data 10-31-2020'!C$6:C$256)</f>
        <v>0</v>
      </c>
      <c r="D27" s="4"/>
      <c r="E27" s="3">
        <f>SUMIF('Raw Data 10-31-2020'!$A$6:$A$256,'Q4 TB-20'!A27,'Raw Data 10-31-2020'!D$6:D$256)</f>
        <v>0</v>
      </c>
      <c r="F27" s="3"/>
      <c r="G27" s="3">
        <f t="shared" si="0"/>
        <v>0</v>
      </c>
      <c r="H27" s="85" t="s">
        <v>173</v>
      </c>
      <c r="J27" s="19"/>
    </row>
    <row r="28" spans="1:10" x14ac:dyDescent="0.75">
      <c r="A28" s="12">
        <v>1745</v>
      </c>
      <c r="B28" s="13" t="s">
        <v>489</v>
      </c>
      <c r="C28" s="3">
        <f>SUMIF('Raw Data 10-31-2020'!$A$6:$A$256,'Q4 TB-20'!A28,'Raw Data 10-31-2020'!C$6:C$256)</f>
        <v>318756.63</v>
      </c>
      <c r="D28" s="4"/>
      <c r="E28" s="3">
        <f>SUMIF('Raw Data 10-31-2020'!$A$6:$A$256,'Q4 TB-20'!A28,'Raw Data 10-31-2020'!D$6:D$256)</f>
        <v>0</v>
      </c>
      <c r="F28" s="3"/>
      <c r="G28" s="3">
        <f t="shared" si="0"/>
        <v>318756.63</v>
      </c>
      <c r="H28" s="85" t="s">
        <v>173</v>
      </c>
      <c r="J28" s="19"/>
    </row>
    <row r="29" spans="1:10" x14ac:dyDescent="0.75">
      <c r="A29" s="12">
        <v>1750</v>
      </c>
      <c r="B29" s="13" t="s">
        <v>490</v>
      </c>
      <c r="C29" s="3">
        <f>SUMIF('Raw Data 10-31-2020'!$A$6:$A$256,'Q4 TB-20'!A29,'Raw Data 10-31-2020'!C$6:C$256)</f>
        <v>10394.01</v>
      </c>
      <c r="D29" s="4"/>
      <c r="E29" s="3">
        <f>SUMIF('Raw Data 10-31-2020'!$A$6:$A$256,'Q4 TB-20'!A29,'Raw Data 10-31-2020'!D$6:D$256)</f>
        <v>0</v>
      </c>
      <c r="F29" s="3"/>
      <c r="G29" s="3">
        <f t="shared" si="0"/>
        <v>10394.01</v>
      </c>
      <c r="H29" s="85" t="s">
        <v>173</v>
      </c>
      <c r="J29" s="19"/>
    </row>
    <row r="30" spans="1:10" x14ac:dyDescent="0.75">
      <c r="A30" s="12">
        <v>1755</v>
      </c>
      <c r="B30" s="13" t="s">
        <v>491</v>
      </c>
      <c r="C30" s="3">
        <f>SUMIF('Raw Data 10-31-2020'!$A$6:$A$256,'Q4 TB-20'!A30,'Raw Data 10-31-2020'!C$6:C$256)</f>
        <v>12839.91</v>
      </c>
      <c r="D30" s="4"/>
      <c r="E30" s="3">
        <f>SUMIF('Raw Data 10-31-2020'!$A$6:$A$256,'Q4 TB-20'!A30,'Raw Data 10-31-2020'!D$6:D$256)</f>
        <v>0</v>
      </c>
      <c r="F30" s="3"/>
      <c r="G30" s="3">
        <f t="shared" si="0"/>
        <v>12839.91</v>
      </c>
      <c r="H30" s="85" t="s">
        <v>173</v>
      </c>
      <c r="J30" s="19"/>
    </row>
    <row r="31" spans="1:10" x14ac:dyDescent="0.75">
      <c r="A31" s="12">
        <v>1760</v>
      </c>
      <c r="B31" s="13" t="s">
        <v>492</v>
      </c>
      <c r="C31" s="3">
        <f>SUMIF('Raw Data 10-31-2020'!$A$6:$A$256,'Q4 TB-20'!A31,'Raw Data 10-31-2020'!C$6:C$256)</f>
        <v>20105.95</v>
      </c>
      <c r="D31" s="4"/>
      <c r="E31" s="3">
        <f>SUMIF('Raw Data 10-31-2020'!$A$6:$A$256,'Q4 TB-20'!A31,'Raw Data 10-31-2020'!D$6:D$256)</f>
        <v>0</v>
      </c>
      <c r="F31" s="3"/>
      <c r="G31" s="3">
        <f t="shared" si="0"/>
        <v>20105.95</v>
      </c>
      <c r="H31" s="85" t="s">
        <v>173</v>
      </c>
      <c r="J31" s="19"/>
    </row>
    <row r="32" spans="1:10" x14ac:dyDescent="0.75">
      <c r="A32" s="12">
        <v>1765</v>
      </c>
      <c r="B32" s="13" t="s">
        <v>493</v>
      </c>
      <c r="C32" s="3">
        <f>SUMIF('Raw Data 10-31-2020'!$A$6:$A$256,'Q4 TB-20'!A32,'Raw Data 10-31-2020'!C$6:C$256)</f>
        <v>1015.31</v>
      </c>
      <c r="D32" s="4"/>
      <c r="E32" s="3">
        <f>SUMIF('Raw Data 10-31-2020'!$A$6:$A$256,'Q4 TB-20'!A32,'Raw Data 10-31-2020'!D$6:D$256)</f>
        <v>0</v>
      </c>
      <c r="F32" s="3"/>
      <c r="G32" s="3">
        <f t="shared" si="0"/>
        <v>1015.31</v>
      </c>
      <c r="H32" s="85" t="s">
        <v>173</v>
      </c>
      <c r="J32" s="19"/>
    </row>
    <row r="33" spans="1:10" x14ac:dyDescent="0.75">
      <c r="A33" s="12">
        <v>1781</v>
      </c>
      <c r="B33" s="13" t="s">
        <v>482</v>
      </c>
      <c r="C33" s="3">
        <f>SUMIF('Raw Data 10-31-2020'!$A$6:$A$256,'Q4 TB-20'!A33,'Raw Data 10-31-2020'!C$6:C$256)</f>
        <v>0</v>
      </c>
      <c r="D33" s="4"/>
      <c r="E33" s="3">
        <f>SUMIF('Raw Data 10-31-2020'!$A$6:$A$256,'Q4 TB-20'!A33,'Raw Data 10-31-2020'!D$6:D$256)</f>
        <v>62501.77</v>
      </c>
      <c r="F33" s="3"/>
      <c r="G33" s="3">
        <f t="shared" si="0"/>
        <v>-62501.77</v>
      </c>
      <c r="H33" s="85" t="s">
        <v>173</v>
      </c>
      <c r="J33" s="19"/>
    </row>
    <row r="34" spans="1:10" x14ac:dyDescent="0.75">
      <c r="A34" s="12">
        <v>1782</v>
      </c>
      <c r="B34" s="13" t="s">
        <v>473</v>
      </c>
      <c r="C34" s="3">
        <f>SUMIF('Raw Data 10-31-2020'!$A$6:$A$256,'Q4 TB-20'!A34,'Raw Data 10-31-2020'!C$6:C$256)</f>
        <v>0</v>
      </c>
      <c r="D34" s="4"/>
      <c r="E34" s="3">
        <f>SUMIF('Raw Data 10-31-2020'!$A$6:$A$256,'Q4 TB-20'!A34,'Raw Data 10-31-2020'!D$6:D$256)</f>
        <v>0</v>
      </c>
      <c r="F34" s="3"/>
      <c r="G34" s="3">
        <f t="shared" si="0"/>
        <v>0</v>
      </c>
      <c r="H34" s="85" t="s">
        <v>173</v>
      </c>
      <c r="J34" s="19"/>
    </row>
    <row r="35" spans="1:10" x14ac:dyDescent="0.75">
      <c r="A35" s="12">
        <v>1783</v>
      </c>
      <c r="B35" s="13" t="s">
        <v>474</v>
      </c>
      <c r="C35" s="3">
        <f>SUMIF('Raw Data 10-31-2020'!$A$6:$A$256,'Q4 TB-20'!A35,'Raw Data 10-31-2020'!C$6:C$256)</f>
        <v>0</v>
      </c>
      <c r="D35" s="4"/>
      <c r="E35" s="3">
        <f>SUMIF('Raw Data 10-31-2020'!$A$6:$A$256,'Q4 TB-20'!A35,'Raw Data 10-31-2020'!D$6:D$256)</f>
        <v>2296.92</v>
      </c>
      <c r="F35" s="3"/>
      <c r="G35" s="3">
        <f t="shared" si="0"/>
        <v>-2296.92</v>
      </c>
      <c r="H35" s="85" t="s">
        <v>173</v>
      </c>
      <c r="J35" s="19"/>
    </row>
    <row r="36" spans="1:10" x14ac:dyDescent="0.75">
      <c r="A36" s="12">
        <v>1784</v>
      </c>
      <c r="B36" s="13" t="s">
        <v>486</v>
      </c>
      <c r="C36" s="3">
        <f>SUMIF('Raw Data 10-31-2020'!$A$6:$A$256,'Q4 TB-20'!A36,'Raw Data 10-31-2020'!C$6:C$256)</f>
        <v>0</v>
      </c>
      <c r="D36" s="4"/>
      <c r="E36" s="3">
        <f>SUMIF('Raw Data 10-31-2020'!$A$6:$A$256,'Q4 TB-20'!A36,'Raw Data 10-31-2020'!D$6:D$256)</f>
        <v>926.06</v>
      </c>
      <c r="F36" s="3"/>
      <c r="G36" s="3">
        <f t="shared" si="0"/>
        <v>-926.06</v>
      </c>
      <c r="H36" s="85" t="s">
        <v>173</v>
      </c>
      <c r="J36" s="19"/>
    </row>
    <row r="37" spans="1:10" x14ac:dyDescent="0.75">
      <c r="A37" s="12">
        <v>1785</v>
      </c>
      <c r="B37" s="13" t="s">
        <v>476</v>
      </c>
      <c r="C37" s="3">
        <f>SUMIF('Raw Data 10-31-2020'!$A$6:$A$256,'Q4 TB-20'!A37,'Raw Data 10-31-2020'!C$6:C$256)</f>
        <v>0</v>
      </c>
      <c r="D37" s="4"/>
      <c r="E37" s="3">
        <f>SUMIF('Raw Data 10-31-2020'!$A$6:$A$256,'Q4 TB-20'!A37,'Raw Data 10-31-2020'!D$6:D$256)</f>
        <v>5480.19</v>
      </c>
      <c r="F37" s="3"/>
      <c r="G37" s="3">
        <f t="shared" si="0"/>
        <v>-5480.19</v>
      </c>
      <c r="H37" s="85" t="s">
        <v>173</v>
      </c>
      <c r="J37" s="19"/>
    </row>
    <row r="38" spans="1:10" x14ac:dyDescent="0.75">
      <c r="A38" s="12">
        <v>1786</v>
      </c>
      <c r="B38" s="13" t="s">
        <v>475</v>
      </c>
      <c r="C38" s="3">
        <f>SUMIF('Raw Data 10-31-2020'!$A$6:$A$256,'Q4 TB-20'!A38,'Raw Data 10-31-2020'!C$6:C$256)</f>
        <v>0</v>
      </c>
      <c r="D38" s="4"/>
      <c r="E38" s="3">
        <f>SUMIF('Raw Data 10-31-2020'!$A$6:$A$256,'Q4 TB-20'!A38,'Raw Data 10-31-2020'!D$6:D$256)</f>
        <v>0</v>
      </c>
      <c r="F38" s="3"/>
      <c r="G38" s="3">
        <f t="shared" si="0"/>
        <v>0</v>
      </c>
      <c r="H38" s="85" t="s">
        <v>173</v>
      </c>
      <c r="J38" s="19"/>
    </row>
    <row r="39" spans="1:10" x14ac:dyDescent="0.75">
      <c r="A39" s="12">
        <v>1787</v>
      </c>
      <c r="B39" s="13" t="s">
        <v>477</v>
      </c>
      <c r="C39" s="3">
        <f>SUMIF('Raw Data 10-31-2020'!$A$6:$A$256,'Q4 TB-20'!A39,'Raw Data 10-31-2020'!C$6:C$256)</f>
        <v>0</v>
      </c>
      <c r="D39" s="4"/>
      <c r="E39" s="3">
        <f>SUMIF('Raw Data 10-31-2020'!$A$6:$A$256,'Q4 TB-20'!A39,'Raw Data 10-31-2020'!D$6:D$256)</f>
        <v>229901.87</v>
      </c>
      <c r="F39" s="3"/>
      <c r="G39" s="3">
        <f t="shared" si="0"/>
        <v>-229901.87</v>
      </c>
      <c r="H39" s="85" t="s">
        <v>173</v>
      </c>
      <c r="J39" s="19"/>
    </row>
    <row r="40" spans="1:10" x14ac:dyDescent="0.75">
      <c r="A40" s="12" t="s">
        <v>863</v>
      </c>
      <c r="B40" s="13" t="s">
        <v>864</v>
      </c>
      <c r="C40" s="3">
        <f>SUMIF('Raw Data 10-31-2020'!$A$6:$A$256,'Q4 TB-20'!A40,'Raw Data 10-31-2020'!C$6:C$256)</f>
        <v>0</v>
      </c>
      <c r="D40" s="4"/>
      <c r="E40" s="3">
        <f>SUMIF('Raw Data 10-31-2020'!$A$6:$A$256,'Q4 TB-20'!A40,'Raw Data 10-31-2020'!D$6:D$256)</f>
        <v>10394.01</v>
      </c>
      <c r="F40" s="3"/>
      <c r="G40" s="3">
        <f t="shared" si="0"/>
        <v>-10394.01</v>
      </c>
      <c r="H40" s="85" t="s">
        <v>173</v>
      </c>
      <c r="J40" s="19"/>
    </row>
    <row r="41" spans="1:10" x14ac:dyDescent="0.75">
      <c r="A41" s="12">
        <v>1789</v>
      </c>
      <c r="B41" s="13" t="s">
        <v>478</v>
      </c>
      <c r="C41" s="3">
        <f>SUMIF('Raw Data 10-31-2020'!$A$6:$A$256,'Q4 TB-20'!A41,'Raw Data 10-31-2020'!C$6:C$256)</f>
        <v>0</v>
      </c>
      <c r="D41" s="4"/>
      <c r="E41" s="3">
        <f>SUMIF('Raw Data 10-31-2020'!$A$6:$A$256,'Q4 TB-20'!A41,'Raw Data 10-31-2020'!D$6:D$256)</f>
        <v>1390.51</v>
      </c>
      <c r="F41" s="3"/>
      <c r="G41" s="3">
        <f t="shared" si="0"/>
        <v>-1390.51</v>
      </c>
      <c r="H41" s="85" t="s">
        <v>173</v>
      </c>
      <c r="J41" s="19"/>
    </row>
    <row r="42" spans="1:10" x14ac:dyDescent="0.75">
      <c r="A42" s="12">
        <v>1790</v>
      </c>
      <c r="B42" s="13" t="s">
        <v>479</v>
      </c>
      <c r="C42" s="3">
        <f>SUMIF('Raw Data 10-31-2020'!$A$6:$A$256,'Q4 TB-20'!A42,'Raw Data 10-31-2020'!C$6:C$256)</f>
        <v>0</v>
      </c>
      <c r="D42" s="4"/>
      <c r="E42" s="3">
        <f>SUMIF('Raw Data 10-31-2020'!$A$6:$A$256,'Q4 TB-20'!A42,'Raw Data 10-31-2020'!D$6:D$256)</f>
        <v>1015.31</v>
      </c>
      <c r="F42" s="3"/>
      <c r="G42" s="3">
        <f t="shared" si="0"/>
        <v>-1015.31</v>
      </c>
      <c r="H42" s="85" t="s">
        <v>173</v>
      </c>
      <c r="J42" s="19"/>
    </row>
    <row r="43" spans="1:10" x14ac:dyDescent="0.75">
      <c r="A43" s="12">
        <v>1791</v>
      </c>
      <c r="B43" s="13" t="s">
        <v>480</v>
      </c>
      <c r="C43" s="3">
        <f>SUMIF('Raw Data 10-31-2020'!$A$6:$A$256,'Q4 TB-20'!A43,'Raw Data 10-31-2020'!C$6:C$256)</f>
        <v>0</v>
      </c>
      <c r="D43" s="4"/>
      <c r="E43" s="3">
        <f>SUMIF('Raw Data 10-31-2020'!$A$6:$A$256,'Q4 TB-20'!A43,'Raw Data 10-31-2020'!D$6:D$256)</f>
        <v>20105.95</v>
      </c>
      <c r="F43" s="3"/>
      <c r="G43" s="3">
        <f t="shared" si="0"/>
        <v>-20105.95</v>
      </c>
      <c r="H43" s="85" t="s">
        <v>173</v>
      </c>
      <c r="J43" s="19"/>
    </row>
    <row r="44" spans="1:10" x14ac:dyDescent="0.75">
      <c r="A44" s="12" t="s">
        <v>67</v>
      </c>
      <c r="B44" s="13" t="s">
        <v>921</v>
      </c>
      <c r="C44" s="3">
        <f>SUMIF('Raw Data 10-31-2020'!$A$6:$A$256,'Q4 TB-20'!A44,'Raw Data 10-31-2020'!C$6:C$256)</f>
        <v>394793</v>
      </c>
      <c r="D44" s="4"/>
      <c r="E44" s="3">
        <f>SUMIF('Raw Data 10-31-2020'!$A$6:$A$256,'Q4 TB-20'!A44,'Raw Data 10-31-2020'!D$6:D$256)</f>
        <v>0</v>
      </c>
      <c r="F44" s="3"/>
      <c r="G44" s="3">
        <f t="shared" si="0"/>
        <v>394793</v>
      </c>
      <c r="H44" s="85" t="s">
        <v>922</v>
      </c>
      <c r="J44" s="19"/>
    </row>
    <row r="45" spans="1:10" x14ac:dyDescent="0.75">
      <c r="A45" s="12">
        <v>1820</v>
      </c>
      <c r="B45" s="13" t="s">
        <v>495</v>
      </c>
      <c r="C45" s="3">
        <f>SUMIF('Raw Data 10-31-2020'!$A$6:$A$256,'Q4 TB-20'!A45,'Raw Data 10-31-2020'!C$6:C$256)</f>
        <v>0</v>
      </c>
      <c r="D45" s="4"/>
      <c r="E45" s="3">
        <f>SUMIF('Raw Data 10-31-2020'!$A$6:$A$256,'Q4 TB-20'!A45,'Raw Data 10-31-2020'!D$6:D$256)</f>
        <v>0</v>
      </c>
      <c r="F45" s="3"/>
      <c r="G45" s="3">
        <f t="shared" si="0"/>
        <v>0</v>
      </c>
      <c r="H45" s="85" t="s">
        <v>444</v>
      </c>
      <c r="J45" s="19"/>
    </row>
    <row r="46" spans="1:10" x14ac:dyDescent="0.75">
      <c r="A46" s="12">
        <v>1830</v>
      </c>
      <c r="B46" s="13" t="s">
        <v>496</v>
      </c>
      <c r="C46" s="3">
        <f>SUMIF('Raw Data 10-31-2020'!$A$6:$A$256,'Q4 TB-20'!A46,'Raw Data 10-31-2020'!C$6:C$256)</f>
        <v>0</v>
      </c>
      <c r="D46" s="4"/>
      <c r="E46" s="3">
        <f>SUMIF('Raw Data 10-31-2020'!$A$6:$A$256,'Q4 TB-20'!A46,'Raw Data 10-31-2020'!D$6:D$256)</f>
        <v>0</v>
      </c>
      <c r="F46" s="3"/>
      <c r="G46" s="3">
        <f t="shared" si="0"/>
        <v>0</v>
      </c>
      <c r="H46" s="85" t="s">
        <v>444</v>
      </c>
      <c r="J46" s="19"/>
    </row>
    <row r="47" spans="1:10" x14ac:dyDescent="0.75">
      <c r="A47" s="12">
        <v>1840</v>
      </c>
      <c r="B47" s="13" t="s">
        <v>497</v>
      </c>
      <c r="C47" s="3">
        <f>SUMIF('Raw Data 10-31-2020'!$A$6:$A$256,'Q4 TB-20'!A47,'Raw Data 10-31-2020'!C$6:C$256)</f>
        <v>0</v>
      </c>
      <c r="D47" s="4"/>
      <c r="E47" s="3">
        <f>SUMIF('Raw Data 10-31-2020'!$A$6:$A$256,'Q4 TB-20'!A47,'Raw Data 10-31-2020'!D$6:D$256)</f>
        <v>0</v>
      </c>
      <c r="F47" s="3"/>
      <c r="G47" s="3">
        <f t="shared" si="0"/>
        <v>0</v>
      </c>
      <c r="H47" s="85" t="s">
        <v>444</v>
      </c>
      <c r="J47" s="19"/>
    </row>
    <row r="48" spans="1:10" x14ac:dyDescent="0.75">
      <c r="A48" s="12">
        <v>1900</v>
      </c>
      <c r="B48" s="13" t="s">
        <v>498</v>
      </c>
      <c r="C48" s="3">
        <f>SUMIF('Raw Data 10-31-2020'!$A$6:$A$256,'Q4 TB-20'!A48,'Raw Data 10-31-2020'!C$6:C$256)</f>
        <v>0</v>
      </c>
      <c r="D48" s="4"/>
      <c r="E48" s="3">
        <f>SUMIF('Raw Data 10-31-2020'!$A$6:$A$256,'Q4 TB-20'!A48,'Raw Data 10-31-2020'!D$6:D$256)</f>
        <v>0</v>
      </c>
      <c r="F48" s="3"/>
      <c r="G48" s="3">
        <f t="shared" si="0"/>
        <v>0</v>
      </c>
      <c r="H48" s="85" t="s">
        <v>443</v>
      </c>
      <c r="J48" s="19"/>
    </row>
    <row r="49" spans="1:10" x14ac:dyDescent="0.75">
      <c r="A49" s="12">
        <v>1902</v>
      </c>
      <c r="B49" s="13" t="s">
        <v>499</v>
      </c>
      <c r="C49" s="3">
        <f>SUMIF('Raw Data 10-31-2020'!$A$6:$A$256,'Q4 TB-20'!A49,'Raw Data 10-31-2020'!C$6:C$256)</f>
        <v>0</v>
      </c>
      <c r="D49" s="4"/>
      <c r="E49" s="3">
        <f>SUMIF('Raw Data 10-31-2020'!$A$6:$A$256,'Q4 TB-20'!A49,'Raw Data 10-31-2020'!D$6:D$256)</f>
        <v>0</v>
      </c>
      <c r="F49" s="3"/>
      <c r="G49" s="3">
        <f t="shared" si="0"/>
        <v>0</v>
      </c>
      <c r="H49" s="85" t="s">
        <v>443</v>
      </c>
      <c r="J49" s="19"/>
    </row>
    <row r="50" spans="1:10" x14ac:dyDescent="0.75">
      <c r="A50" s="12">
        <v>1904</v>
      </c>
      <c r="B50" s="13" t="s">
        <v>500</v>
      </c>
      <c r="C50" s="3">
        <f>SUMIF('Raw Data 10-31-2020'!$A$6:$A$256,'Q4 TB-20'!A50,'Raw Data 10-31-2020'!C$6:C$256)</f>
        <v>0</v>
      </c>
      <c r="D50" s="4"/>
      <c r="E50" s="3">
        <f>SUMIF('Raw Data 10-31-2020'!$A$6:$A$256,'Q4 TB-20'!A50,'Raw Data 10-31-2020'!D$6:D$256)</f>
        <v>0</v>
      </c>
      <c r="F50" s="3"/>
      <c r="G50" s="3">
        <f t="shared" si="0"/>
        <v>0</v>
      </c>
      <c r="H50" s="85" t="s">
        <v>176</v>
      </c>
      <c r="J50" s="19"/>
    </row>
    <row r="51" spans="1:10" x14ac:dyDescent="0.75">
      <c r="A51" s="12">
        <v>1906</v>
      </c>
      <c r="B51" s="13" t="s">
        <v>501</v>
      </c>
      <c r="C51" s="3">
        <f>SUMIF('Raw Data 10-31-2020'!$A$6:$A$256,'Q4 TB-20'!A51,'Raw Data 10-31-2020'!C$6:C$256)</f>
        <v>0</v>
      </c>
      <c r="D51" s="4"/>
      <c r="E51" s="3">
        <f>SUMIF('Raw Data 10-31-2020'!$A$6:$A$256,'Q4 TB-20'!A51,'Raw Data 10-31-2020'!D$6:D$256)</f>
        <v>0</v>
      </c>
      <c r="F51" s="3"/>
      <c r="G51" s="3">
        <f t="shared" si="0"/>
        <v>0</v>
      </c>
      <c r="H51" s="85" t="s">
        <v>176</v>
      </c>
      <c r="J51" s="19"/>
    </row>
    <row r="52" spans="1:10" x14ac:dyDescent="0.75">
      <c r="A52" s="12">
        <v>1908</v>
      </c>
      <c r="B52" s="13" t="s">
        <v>502</v>
      </c>
      <c r="C52" s="3">
        <f>SUMIF('Raw Data 10-31-2020'!$A$6:$A$256,'Q4 TB-20'!A52,'Raw Data 10-31-2020'!C$6:C$256)</f>
        <v>0</v>
      </c>
      <c r="D52" s="4"/>
      <c r="E52" s="3">
        <f>SUMIF('Raw Data 10-31-2020'!$A$6:$A$256,'Q4 TB-20'!A52,'Raw Data 10-31-2020'!D$6:D$256)</f>
        <v>0</v>
      </c>
      <c r="F52" s="3"/>
      <c r="G52" s="3">
        <f t="shared" si="0"/>
        <v>0</v>
      </c>
      <c r="H52" s="85" t="s">
        <v>176</v>
      </c>
      <c r="J52" s="19"/>
    </row>
    <row r="53" spans="1:10" x14ac:dyDescent="0.75">
      <c r="A53" s="12">
        <v>1910</v>
      </c>
      <c r="B53" s="13" t="s">
        <v>503</v>
      </c>
      <c r="C53" s="3">
        <f>SUMIF('Raw Data 10-31-2020'!$A$6:$A$256,'Q4 TB-20'!A53,'Raw Data 10-31-2020'!C$6:C$256)</f>
        <v>0</v>
      </c>
      <c r="D53" s="4"/>
      <c r="E53" s="3">
        <f>SUMIF('Raw Data 10-31-2020'!$A$6:$A$256,'Q4 TB-20'!A53,'Raw Data 10-31-2020'!D$6:D$256)</f>
        <v>0</v>
      </c>
      <c r="F53" s="3"/>
      <c r="G53" s="3">
        <f t="shared" si="0"/>
        <v>0</v>
      </c>
      <c r="H53" s="85" t="s">
        <v>443</v>
      </c>
      <c r="J53" s="19"/>
    </row>
    <row r="54" spans="1:10" x14ac:dyDescent="0.75">
      <c r="A54" s="12">
        <v>1912</v>
      </c>
      <c r="B54" s="13" t="s">
        <v>504</v>
      </c>
      <c r="C54" s="3">
        <f>SUMIF('Raw Data 10-31-2020'!$A$6:$A$256,'Q4 TB-20'!A54,'Raw Data 10-31-2020'!C$6:C$256)</f>
        <v>0</v>
      </c>
      <c r="D54" s="4"/>
      <c r="E54" s="3">
        <f>SUMIF('Raw Data 10-31-2020'!$A$6:$A$256,'Q4 TB-20'!A54,'Raw Data 10-31-2020'!D$6:D$256)</f>
        <v>0</v>
      </c>
      <c r="F54" s="3"/>
      <c r="G54" s="3">
        <f t="shared" si="0"/>
        <v>0</v>
      </c>
      <c r="H54" s="85" t="s">
        <v>176</v>
      </c>
      <c r="J54" s="19"/>
    </row>
    <row r="55" spans="1:10" x14ac:dyDescent="0.75">
      <c r="A55" s="12">
        <v>1914</v>
      </c>
      <c r="B55" s="13" t="s">
        <v>505</v>
      </c>
      <c r="C55" s="3">
        <f>SUMIF('Raw Data 10-31-2020'!$A$6:$A$256,'Q4 TB-20'!A55,'Raw Data 10-31-2020'!C$6:C$256)</f>
        <v>0</v>
      </c>
      <c r="D55" s="4"/>
      <c r="E55" s="3">
        <f>SUMIF('Raw Data 10-31-2020'!$A$6:$A$256,'Q4 TB-20'!A55,'Raw Data 10-31-2020'!D$6:D$256)</f>
        <v>0</v>
      </c>
      <c r="F55" s="3"/>
      <c r="G55" s="3">
        <f t="shared" si="0"/>
        <v>0</v>
      </c>
      <c r="H55" s="85" t="s">
        <v>176</v>
      </c>
      <c r="J55" s="19"/>
    </row>
    <row r="56" spans="1:10" x14ac:dyDescent="0.75">
      <c r="A56" s="12">
        <v>1916</v>
      </c>
      <c r="B56" s="13" t="s">
        <v>506</v>
      </c>
      <c r="C56" s="3">
        <f>SUMIF('Raw Data 10-31-2020'!$A$6:$A$256,'Q4 TB-20'!A56,'Raw Data 10-31-2020'!C$6:C$256)</f>
        <v>0</v>
      </c>
      <c r="D56" s="4"/>
      <c r="E56" s="3">
        <f>SUMIF('Raw Data 10-31-2020'!$A$6:$A$256,'Q4 TB-20'!A56,'Raw Data 10-31-2020'!D$6:D$256)</f>
        <v>0</v>
      </c>
      <c r="F56" s="3"/>
      <c r="G56" s="3">
        <f t="shared" si="0"/>
        <v>0</v>
      </c>
      <c r="H56" s="85" t="s">
        <v>176</v>
      </c>
      <c r="J56" s="19"/>
    </row>
    <row r="57" spans="1:10" x14ac:dyDescent="0.75">
      <c r="A57" s="12">
        <v>1918</v>
      </c>
      <c r="B57" s="13" t="s">
        <v>507</v>
      </c>
      <c r="C57" s="3">
        <f>SUMIF('Raw Data 10-31-2020'!$A$6:$A$256,'Q4 TB-20'!A57,'Raw Data 10-31-2020'!C$6:C$256)</f>
        <v>0</v>
      </c>
      <c r="D57" s="4"/>
      <c r="E57" s="3">
        <f>SUMIF('Raw Data 10-31-2020'!$A$6:$A$256,'Q4 TB-20'!A57,'Raw Data 10-31-2020'!D$6:D$256)</f>
        <v>0</v>
      </c>
      <c r="F57" s="3"/>
      <c r="G57" s="3">
        <f t="shared" si="0"/>
        <v>0</v>
      </c>
      <c r="H57" s="85" t="s">
        <v>176</v>
      </c>
      <c r="J57" s="19"/>
    </row>
    <row r="58" spans="1:10" x14ac:dyDescent="0.75">
      <c r="A58" s="12">
        <v>1920</v>
      </c>
      <c r="B58" s="13" t="s">
        <v>508</v>
      </c>
      <c r="C58" s="3">
        <f>SUMIF('Raw Data 10-31-2020'!$A$6:$A$256,'Q4 TB-20'!A58,'Raw Data 10-31-2020'!C$6:C$256)</f>
        <v>0</v>
      </c>
      <c r="D58" s="4"/>
      <c r="E58" s="3">
        <f>SUMIF('Raw Data 10-31-2020'!$A$6:$A$256,'Q4 TB-20'!A58,'Raw Data 10-31-2020'!D$6:D$256)</f>
        <v>0</v>
      </c>
      <c r="F58" s="3"/>
      <c r="G58" s="3">
        <f t="shared" si="0"/>
        <v>0</v>
      </c>
      <c r="H58" s="85" t="s">
        <v>176</v>
      </c>
      <c r="J58" s="19"/>
    </row>
    <row r="59" spans="1:10" x14ac:dyDescent="0.75">
      <c r="A59" s="12">
        <v>1922</v>
      </c>
      <c r="B59" s="13" t="s">
        <v>509</v>
      </c>
      <c r="C59" s="3">
        <f>SUMIF('Raw Data 10-31-2020'!$A$6:$A$256,'Q4 TB-20'!A59,'Raw Data 10-31-2020'!C$6:C$256)</f>
        <v>0</v>
      </c>
      <c r="D59" s="4"/>
      <c r="E59" s="3">
        <f>SUMIF('Raw Data 10-31-2020'!$A$6:$A$256,'Q4 TB-20'!A59,'Raw Data 10-31-2020'!D$6:D$256)</f>
        <v>0</v>
      </c>
      <c r="F59" s="3"/>
      <c r="G59" s="3">
        <f t="shared" si="0"/>
        <v>0</v>
      </c>
      <c r="H59" s="85" t="s">
        <v>176</v>
      </c>
      <c r="J59" s="19"/>
    </row>
    <row r="60" spans="1:10" x14ac:dyDescent="0.75">
      <c r="A60" s="12">
        <v>1924</v>
      </c>
      <c r="B60" s="13" t="s">
        <v>510</v>
      </c>
      <c r="C60" s="3">
        <f>SUMIF('Raw Data 10-31-2020'!$A$6:$A$256,'Q4 TB-20'!A60,'Raw Data 10-31-2020'!C$6:C$256)</f>
        <v>0</v>
      </c>
      <c r="D60" s="4"/>
      <c r="E60" s="3">
        <f>SUMIF('Raw Data 10-31-2020'!$A$6:$A$256,'Q4 TB-20'!A60,'Raw Data 10-31-2020'!D$6:D$256)</f>
        <v>0</v>
      </c>
      <c r="F60" s="3"/>
      <c r="G60" s="3">
        <f t="shared" si="0"/>
        <v>0</v>
      </c>
      <c r="H60" s="85" t="s">
        <v>176</v>
      </c>
      <c r="J60" s="19"/>
    </row>
    <row r="61" spans="1:10" x14ac:dyDescent="0.75">
      <c r="A61" s="12">
        <v>1926</v>
      </c>
      <c r="B61" s="13" t="s">
        <v>511</v>
      </c>
      <c r="C61" s="3">
        <f>SUMIF('Raw Data 10-31-2020'!$A$6:$A$256,'Q4 TB-20'!A61,'Raw Data 10-31-2020'!C$6:C$256)</f>
        <v>0</v>
      </c>
      <c r="D61" s="4"/>
      <c r="E61" s="3">
        <f>SUMIF('Raw Data 10-31-2020'!$A$6:$A$256,'Q4 TB-20'!A61,'Raw Data 10-31-2020'!D$6:D$256)</f>
        <v>0</v>
      </c>
      <c r="F61" s="3"/>
      <c r="G61" s="3">
        <f t="shared" si="0"/>
        <v>0</v>
      </c>
      <c r="H61" s="85" t="s">
        <v>176</v>
      </c>
      <c r="J61" s="19"/>
    </row>
    <row r="62" spans="1:10" x14ac:dyDescent="0.75">
      <c r="A62" s="12">
        <v>1928</v>
      </c>
      <c r="B62" s="13" t="s">
        <v>512</v>
      </c>
      <c r="C62" s="3">
        <f>SUMIF('Raw Data 10-31-2020'!$A$6:$A$256,'Q4 TB-20'!A62,'Raw Data 10-31-2020'!C$6:C$256)</f>
        <v>43132.88</v>
      </c>
      <c r="D62" s="4"/>
      <c r="E62" s="3">
        <f>SUMIF('Raw Data 10-31-2020'!$A$6:$A$256,'Q4 TB-20'!A62,'Raw Data 10-31-2020'!D$6:D$256)</f>
        <v>0</v>
      </c>
      <c r="F62" s="3"/>
      <c r="G62" s="3">
        <f t="shared" si="0"/>
        <v>43132.88</v>
      </c>
      <c r="H62" s="85" t="s">
        <v>176</v>
      </c>
      <c r="J62" s="19"/>
    </row>
    <row r="63" spans="1:10" x14ac:dyDescent="0.75">
      <c r="A63" s="12">
        <v>1930</v>
      </c>
      <c r="B63" s="13" t="s">
        <v>513</v>
      </c>
      <c r="C63" s="3">
        <f>SUMIF('Raw Data 10-31-2020'!$A$6:$A$256,'Q4 TB-20'!A63,'Raw Data 10-31-2020'!C$6:C$256)</f>
        <v>0</v>
      </c>
      <c r="D63" s="4"/>
      <c r="E63" s="3">
        <f>SUMIF('Raw Data 10-31-2020'!$A$6:$A$256,'Q4 TB-20'!A63,'Raw Data 10-31-2020'!D$6:D$256)</f>
        <v>0</v>
      </c>
      <c r="F63" s="3"/>
      <c r="G63" s="3">
        <f t="shared" si="0"/>
        <v>0</v>
      </c>
      <c r="H63" s="85" t="s">
        <v>176</v>
      </c>
      <c r="J63" s="19"/>
    </row>
    <row r="64" spans="1:10" x14ac:dyDescent="0.75">
      <c r="A64" s="12">
        <v>1932</v>
      </c>
      <c r="B64" s="13" t="s">
        <v>514</v>
      </c>
      <c r="C64" s="3">
        <f>SUMIF('Raw Data 10-31-2020'!$A$6:$A$256,'Q4 TB-20'!A64,'Raw Data 10-31-2020'!C$6:C$256)</f>
        <v>0</v>
      </c>
      <c r="D64" s="4"/>
      <c r="E64" s="3">
        <f>SUMIF('Raw Data 10-31-2020'!$A$6:$A$256,'Q4 TB-20'!A64,'Raw Data 10-31-2020'!D$6:D$256)</f>
        <v>0</v>
      </c>
      <c r="F64" s="3"/>
      <c r="G64" s="3">
        <f t="shared" si="0"/>
        <v>0</v>
      </c>
      <c r="H64" s="85" t="s">
        <v>176</v>
      </c>
      <c r="J64" s="19"/>
    </row>
    <row r="65" spans="1:10" x14ac:dyDescent="0.75">
      <c r="A65" s="12">
        <v>1950</v>
      </c>
      <c r="B65" s="13" t="s">
        <v>494</v>
      </c>
      <c r="C65" s="3">
        <f>SUMIF('Raw Data 10-31-2020'!$A$6:$A$256,'Q4 TB-20'!A65,'Raw Data 10-31-2020'!C$6:C$256)</f>
        <v>0</v>
      </c>
      <c r="D65" s="4"/>
      <c r="E65" s="3">
        <f>SUMIF('Raw Data 10-31-2020'!$A$6:$A$256,'Q4 TB-20'!A65,'Raw Data 10-31-2020'!D$6:D$256)</f>
        <v>43132.89</v>
      </c>
      <c r="F65" s="3"/>
      <c r="G65" s="3">
        <f t="shared" si="0"/>
        <v>-43132.89</v>
      </c>
      <c r="H65" s="85" t="s">
        <v>176</v>
      </c>
      <c r="J65" s="19"/>
    </row>
    <row r="66" spans="1:10" x14ac:dyDescent="0.75">
      <c r="A66" s="12">
        <v>1960</v>
      </c>
      <c r="B66" s="13" t="s">
        <v>515</v>
      </c>
      <c r="C66" s="3">
        <f>SUMIF('Raw Data 10-31-2020'!$A$6:$A$256,'Q4 TB-20'!A66,'Raw Data 10-31-2020'!C$6:C$256)</f>
        <v>0</v>
      </c>
      <c r="D66" s="4"/>
      <c r="E66" s="3">
        <f>SUMIF('Raw Data 10-31-2020'!$A$6:$A$256,'Q4 TB-20'!A66,'Raw Data 10-31-2020'!D$6:D$256)</f>
        <v>0</v>
      </c>
      <c r="F66" s="3"/>
      <c r="G66" s="3">
        <f t="shared" si="0"/>
        <v>0</v>
      </c>
      <c r="H66" s="85" t="s">
        <v>444</v>
      </c>
      <c r="J66" s="19"/>
    </row>
    <row r="67" spans="1:10" x14ac:dyDescent="0.75">
      <c r="A67" s="12">
        <v>1980</v>
      </c>
      <c r="B67" s="13" t="s">
        <v>516</v>
      </c>
      <c r="C67" s="3">
        <f>SUMIF('Raw Data 10-31-2020'!$A$6:$A$256,'Q4 TB-20'!A67,'Raw Data 10-31-2020'!C$6:C$256)</f>
        <v>0</v>
      </c>
      <c r="D67" s="4"/>
      <c r="E67" s="3">
        <f>SUMIF('Raw Data 10-31-2020'!$A$6:$A$256,'Q4 TB-20'!A67,'Raw Data 10-31-2020'!D$6:D$256)</f>
        <v>0</v>
      </c>
      <c r="F67" s="3"/>
      <c r="G67" s="3">
        <f t="shared" si="0"/>
        <v>0</v>
      </c>
      <c r="H67" s="85" t="s">
        <v>444</v>
      </c>
      <c r="J67" s="19"/>
    </row>
    <row r="68" spans="1:10" x14ac:dyDescent="0.75">
      <c r="A68" s="12">
        <v>2000</v>
      </c>
      <c r="B68" s="13" t="s">
        <v>517</v>
      </c>
      <c r="C68" s="3">
        <f>SUMIF('Raw Data 10-31-2020'!$A$6:$A$256,'Q4 TB-20'!A68,'Raw Data 10-31-2020'!C$6:C$256)</f>
        <v>0</v>
      </c>
      <c r="D68" s="4"/>
      <c r="E68" s="3">
        <f>SUMIF('Raw Data 10-31-2020'!$A$6:$A$256,'Q4 TB-20'!A68,'Raw Data 10-31-2020'!D$6:D$256)</f>
        <v>65114.81</v>
      </c>
      <c r="F68" s="3"/>
      <c r="G68" s="3">
        <f t="shared" si="0"/>
        <v>-65114.81</v>
      </c>
      <c r="H68" s="85" t="s">
        <v>177</v>
      </c>
      <c r="J68" s="19"/>
    </row>
    <row r="69" spans="1:10" x14ac:dyDescent="0.75">
      <c r="A69" s="12">
        <v>2010</v>
      </c>
      <c r="B69" s="13" t="s">
        <v>524</v>
      </c>
      <c r="C69" s="3">
        <f>SUMIF('Raw Data 10-31-2020'!$A$6:$A$256,'Q4 TB-20'!A69,'Raw Data 10-31-2020'!C$6:C$256)</f>
        <v>0</v>
      </c>
      <c r="D69" s="4"/>
      <c r="E69" s="3">
        <f>SUMIF('Raw Data 10-31-2020'!$A$6:$A$256,'Q4 TB-20'!A69,'Raw Data 10-31-2020'!D$6:D$256)</f>
        <v>13489.05</v>
      </c>
      <c r="F69" s="3"/>
      <c r="G69" s="3">
        <f t="shared" si="0"/>
        <v>-13489.05</v>
      </c>
      <c r="H69" s="85" t="s">
        <v>177</v>
      </c>
      <c r="J69" s="19"/>
    </row>
    <row r="70" spans="1:10" x14ac:dyDescent="0.75">
      <c r="A70" s="12">
        <v>2020</v>
      </c>
      <c r="B70" s="13" t="s">
        <v>525</v>
      </c>
      <c r="C70" s="3">
        <f>SUMIF('Raw Data 10-31-2020'!$A$6:$A$256,'Q4 TB-20'!A70,'Raw Data 10-31-2020'!C$6:C$256)</f>
        <v>0</v>
      </c>
      <c r="D70" s="4"/>
      <c r="E70" s="3">
        <f>SUMIF('Raw Data 10-31-2020'!$A$6:$A$256,'Q4 TB-20'!A70,'Raw Data 10-31-2020'!D$6:D$256)</f>
        <v>0</v>
      </c>
      <c r="F70" s="3"/>
      <c r="G70" s="3">
        <f t="shared" si="0"/>
        <v>0</v>
      </c>
      <c r="H70" s="85" t="s">
        <v>177</v>
      </c>
      <c r="J70" s="19"/>
    </row>
    <row r="71" spans="1:10" x14ac:dyDescent="0.75">
      <c r="A71" s="12">
        <v>2101</v>
      </c>
      <c r="B71" s="13" t="s">
        <v>518</v>
      </c>
      <c r="C71" s="3">
        <f>SUMIF('Raw Data 10-31-2020'!$A$6:$A$256,'Q4 TB-20'!A71,'Raw Data 10-31-2020'!C$6:C$256)</f>
        <v>0</v>
      </c>
      <c r="D71" s="4"/>
      <c r="E71" s="3">
        <f>SUMIF('Raw Data 10-31-2020'!$A$6:$A$256,'Q4 TB-20'!A71,'Raw Data 10-31-2020'!D$6:D$256)</f>
        <v>0</v>
      </c>
      <c r="F71" s="3"/>
      <c r="G71" s="3">
        <f t="shared" si="0"/>
        <v>0</v>
      </c>
      <c r="H71" s="85" t="s">
        <v>178</v>
      </c>
      <c r="J71" s="19"/>
    </row>
    <row r="72" spans="1:10" x14ac:dyDescent="0.75">
      <c r="A72" s="12">
        <v>2102</v>
      </c>
      <c r="B72" s="13" t="s">
        <v>519</v>
      </c>
      <c r="C72" s="3">
        <f>SUMIF('Raw Data 10-31-2020'!$A$6:$A$256,'Q4 TB-20'!A72,'Raw Data 10-31-2020'!C$6:C$256)</f>
        <v>0</v>
      </c>
      <c r="D72" s="4"/>
      <c r="E72" s="3">
        <f>SUMIF('Raw Data 10-31-2020'!$A$6:$A$256,'Q4 TB-20'!A72,'Raw Data 10-31-2020'!D$6:D$256)</f>
        <v>11416.75</v>
      </c>
      <c r="F72" s="3"/>
      <c r="G72" s="3">
        <f t="shared" si="0"/>
        <v>-11416.75</v>
      </c>
      <c r="H72" s="85" t="s">
        <v>178</v>
      </c>
      <c r="J72" s="19"/>
    </row>
    <row r="73" spans="1:10" x14ac:dyDescent="0.75">
      <c r="A73" s="12">
        <v>2103</v>
      </c>
      <c r="B73" s="13" t="s">
        <v>520</v>
      </c>
      <c r="C73" s="3">
        <f>SUMIF('Raw Data 10-31-2020'!$A$6:$A$256,'Q4 TB-20'!A73,'Raw Data 10-31-2020'!C$6:C$256)</f>
        <v>0</v>
      </c>
      <c r="D73" s="4"/>
      <c r="E73" s="3">
        <f>SUMIF('Raw Data 10-31-2020'!$A$6:$A$256,'Q4 TB-20'!A73,'Raw Data 10-31-2020'!D$6:D$256)</f>
        <v>10687.12</v>
      </c>
      <c r="F73" s="3"/>
      <c r="G73" s="3">
        <f t="shared" ref="G73:G141" si="1">C73-E73</f>
        <v>-10687.12</v>
      </c>
      <c r="H73" s="85" t="s">
        <v>178</v>
      </c>
      <c r="J73" s="19"/>
    </row>
    <row r="74" spans="1:10" x14ac:dyDescent="0.75">
      <c r="A74" s="12">
        <v>2104</v>
      </c>
      <c r="B74" s="13" t="s">
        <v>521</v>
      </c>
      <c r="C74" s="3">
        <f>SUMIF('Raw Data 10-31-2020'!$A$6:$A$256,'Q4 TB-20'!A74,'Raw Data 10-31-2020'!C$6:C$256)</f>
        <v>48.21</v>
      </c>
      <c r="D74" s="4"/>
      <c r="E74" s="3">
        <f>SUMIF('Raw Data 10-31-2020'!$A$6:$A$256,'Q4 TB-20'!A74,'Raw Data 10-31-2020'!D$6:D$256)</f>
        <v>0</v>
      </c>
      <c r="F74" s="3"/>
      <c r="G74" s="3">
        <f t="shared" si="1"/>
        <v>48.21</v>
      </c>
      <c r="H74" s="85" t="s">
        <v>178</v>
      </c>
      <c r="J74" s="19"/>
    </row>
    <row r="75" spans="1:10" x14ac:dyDescent="0.75">
      <c r="A75" s="12">
        <v>2105</v>
      </c>
      <c r="B75" s="13" t="s">
        <v>522</v>
      </c>
      <c r="C75" s="3">
        <f>SUMIF('Raw Data 10-31-2020'!$A$6:$A$256,'Q4 TB-20'!A75,'Raw Data 10-31-2020'!C$6:C$256)</f>
        <v>0</v>
      </c>
      <c r="D75" s="4"/>
      <c r="E75" s="3">
        <f>SUMIF('Raw Data 10-31-2020'!$A$6:$A$256,'Q4 TB-20'!A75,'Raw Data 10-31-2020'!D$6:D$256)</f>
        <v>0</v>
      </c>
      <c r="F75" s="3"/>
      <c r="G75" s="3">
        <f t="shared" si="1"/>
        <v>0</v>
      </c>
      <c r="H75" s="85" t="s">
        <v>178</v>
      </c>
      <c r="J75" s="19"/>
    </row>
    <row r="76" spans="1:10" x14ac:dyDescent="0.75">
      <c r="A76" s="12">
        <v>2106</v>
      </c>
      <c r="B76" s="13" t="s">
        <v>546</v>
      </c>
      <c r="C76" s="3">
        <f>SUMIF('Raw Data 10-31-2020'!$A$6:$A$256,'Q4 TB-20'!A76,'Raw Data 10-31-2020'!C$6:C$256)</f>
        <v>0</v>
      </c>
      <c r="D76" s="4"/>
      <c r="E76" s="3">
        <f>SUMIF('Raw Data 10-31-2020'!$A$6:$A$256,'Q4 TB-20'!A76,'Raw Data 10-31-2020'!D$6:D$256)</f>
        <v>0</v>
      </c>
      <c r="F76" s="3"/>
      <c r="G76" s="3">
        <f t="shared" si="1"/>
        <v>0</v>
      </c>
      <c r="H76" s="85" t="s">
        <v>178</v>
      </c>
      <c r="J76" s="19"/>
    </row>
    <row r="77" spans="1:10" x14ac:dyDescent="0.75">
      <c r="A77" s="12">
        <v>2210</v>
      </c>
      <c r="B77" s="13" t="s">
        <v>526</v>
      </c>
      <c r="C77" s="3">
        <f>SUMIF('Raw Data 10-31-2020'!$A$6:$A$256,'Q4 TB-20'!A77,'Raw Data 10-31-2020'!C$6:C$256)</f>
        <v>0</v>
      </c>
      <c r="D77" s="4"/>
      <c r="E77" s="3">
        <f>SUMIF('Raw Data 10-31-2020'!$A$6:$A$256,'Q4 TB-20'!A77,'Raw Data 10-31-2020'!D$6:D$256)</f>
        <v>767288.17000000016</v>
      </c>
      <c r="F77" s="3"/>
      <c r="G77" s="3">
        <f t="shared" si="1"/>
        <v>-767288.17000000016</v>
      </c>
      <c r="H77" s="85" t="s">
        <v>446</v>
      </c>
      <c r="J77" s="19"/>
    </row>
    <row r="78" spans="1:10" s="89" customFormat="1" x14ac:dyDescent="0.75">
      <c r="A78" s="12" t="s">
        <v>93</v>
      </c>
      <c r="B78" s="13" t="s">
        <v>1005</v>
      </c>
      <c r="C78" s="3">
        <f>SUMIF('Raw Data 10-31-2020'!$A$6:$A$256,'Q4 TB-20'!A78,'Raw Data 10-31-2020'!C$6:C$256)</f>
        <v>0</v>
      </c>
      <c r="D78" s="4"/>
      <c r="E78" s="3">
        <f>SUMIF('Raw Data 10-31-2020'!$A$6:$A$256,'Q4 TB-20'!A78,'Raw Data 10-31-2020'!D$6:D$256)</f>
        <v>0</v>
      </c>
      <c r="F78" s="3"/>
      <c r="G78" s="3">
        <f t="shared" ref="G78" si="2">C78-E78</f>
        <v>0</v>
      </c>
      <c r="H78" s="89" t="s">
        <v>178</v>
      </c>
      <c r="J78" s="19"/>
    </row>
    <row r="79" spans="1:10" x14ac:dyDescent="0.75">
      <c r="A79" s="12">
        <v>2231</v>
      </c>
      <c r="B79" s="13" t="s">
        <v>534</v>
      </c>
      <c r="C79" s="3">
        <f>SUMIF('Raw Data 10-31-2020'!$A$6:$A$256,'Q4 TB-20'!A79,'Raw Data 10-31-2020'!C$6:C$256)</f>
        <v>0</v>
      </c>
      <c r="D79" s="4"/>
      <c r="E79" s="3">
        <f>SUMIF('Raw Data 10-31-2020'!$A$6:$A$256,'Q4 TB-20'!A79,'Raw Data 10-31-2020'!D$6:D$256)</f>
        <v>0</v>
      </c>
      <c r="F79" s="3"/>
      <c r="G79" s="3">
        <f t="shared" si="1"/>
        <v>0</v>
      </c>
      <c r="H79" s="85" t="s">
        <v>178</v>
      </c>
      <c r="J79" s="19"/>
    </row>
    <row r="80" spans="1:10" x14ac:dyDescent="0.75">
      <c r="A80" s="12">
        <v>2232</v>
      </c>
      <c r="B80" s="13" t="s">
        <v>535</v>
      </c>
      <c r="C80" s="3">
        <f>SUMIF('Raw Data 10-31-2020'!$A$6:$A$256,'Q4 TB-20'!A80,'Raw Data 10-31-2020'!C$6:C$256)</f>
        <v>0</v>
      </c>
      <c r="D80" s="4"/>
      <c r="E80" s="3">
        <f>SUMIF('Raw Data 10-31-2020'!$A$6:$A$256,'Q4 TB-20'!A80,'Raw Data 10-31-2020'!D$6:D$256)</f>
        <v>0</v>
      </c>
      <c r="F80" s="3"/>
      <c r="G80" s="3">
        <f t="shared" si="1"/>
        <v>0</v>
      </c>
      <c r="H80" s="85" t="s">
        <v>178</v>
      </c>
      <c r="J80" s="19"/>
    </row>
    <row r="81" spans="1:10" x14ac:dyDescent="0.75">
      <c r="A81" s="12">
        <v>2233</v>
      </c>
      <c r="B81" s="13" t="s">
        <v>537</v>
      </c>
      <c r="C81" s="3">
        <f>SUMIF('Raw Data 10-31-2020'!$A$6:$A$256,'Q4 TB-20'!A81,'Raw Data 10-31-2020'!C$6:C$256)</f>
        <v>0</v>
      </c>
      <c r="D81" s="4"/>
      <c r="E81" s="3">
        <f>SUMIF('Raw Data 10-31-2020'!$A$6:$A$256,'Q4 TB-20'!A81,'Raw Data 10-31-2020'!D$6:D$256)</f>
        <v>0</v>
      </c>
      <c r="F81" s="3"/>
      <c r="G81" s="3">
        <f t="shared" si="1"/>
        <v>0</v>
      </c>
      <c r="H81" s="85" t="s">
        <v>178</v>
      </c>
      <c r="J81" s="19"/>
    </row>
    <row r="82" spans="1:10" x14ac:dyDescent="0.75">
      <c r="A82" s="12">
        <v>2235</v>
      </c>
      <c r="B82" s="13" t="s">
        <v>543</v>
      </c>
      <c r="C82" s="3">
        <f>SUMIF('Raw Data 10-31-2020'!$A$6:$A$256,'Q4 TB-20'!A82,'Raw Data 10-31-2020'!C$6:C$256)</f>
        <v>0</v>
      </c>
      <c r="D82" s="4"/>
      <c r="E82" s="3">
        <f>SUMIF('Raw Data 10-31-2020'!$A$6:$A$256,'Q4 TB-20'!A82,'Raw Data 10-31-2020'!D$6:D$256)</f>
        <v>0</v>
      </c>
      <c r="F82" s="3"/>
      <c r="G82" s="3">
        <f t="shared" si="1"/>
        <v>0</v>
      </c>
      <c r="H82" s="85" t="s">
        <v>178</v>
      </c>
      <c r="J82" s="19"/>
    </row>
    <row r="83" spans="1:10" x14ac:dyDescent="0.75">
      <c r="A83" s="12">
        <v>2236</v>
      </c>
      <c r="B83" s="13" t="s">
        <v>523</v>
      </c>
      <c r="C83" s="3">
        <f>SUMIF('Raw Data 10-31-2020'!$A$6:$A$256,'Q4 TB-20'!A83,'Raw Data 10-31-2020'!C$6:C$256)</f>
        <v>0</v>
      </c>
      <c r="D83" s="4"/>
      <c r="E83" s="3">
        <f>SUMIF('Raw Data 10-31-2020'!$A$6:$A$256,'Q4 TB-20'!A83,'Raw Data 10-31-2020'!D$6:D$256)</f>
        <v>0</v>
      </c>
      <c r="F83" s="3"/>
      <c r="G83" s="3">
        <f t="shared" si="1"/>
        <v>0</v>
      </c>
      <c r="H83" s="85" t="s">
        <v>178</v>
      </c>
      <c r="J83" s="19"/>
    </row>
    <row r="84" spans="1:10" x14ac:dyDescent="0.75">
      <c r="A84" s="12">
        <v>2250</v>
      </c>
      <c r="B84" s="13" t="s">
        <v>536</v>
      </c>
      <c r="C84" s="3">
        <f>SUMIF('Raw Data 10-31-2020'!$A$6:$A$256,'Q4 TB-20'!A84,'Raw Data 10-31-2020'!C$6:C$256)</f>
        <v>0</v>
      </c>
      <c r="D84" s="4"/>
      <c r="E84" s="3">
        <f>SUMIF('Raw Data 10-31-2020'!$A$6:$A$256,'Q4 TB-20'!A84,'Raw Data 10-31-2020'!D$6:D$256)</f>
        <v>0</v>
      </c>
      <c r="F84" s="3"/>
      <c r="G84" s="3">
        <f t="shared" si="1"/>
        <v>0</v>
      </c>
      <c r="H84" s="85" t="s">
        <v>178</v>
      </c>
      <c r="J84" s="19"/>
    </row>
    <row r="85" spans="1:10" x14ac:dyDescent="0.75">
      <c r="A85" s="12">
        <v>2270</v>
      </c>
      <c r="B85" s="13" t="s">
        <v>544</v>
      </c>
      <c r="C85" s="3">
        <f>SUMIF('Raw Data 10-31-2020'!$A$6:$A$256,'Q4 TB-20'!A85,'Raw Data 10-31-2020'!C$6:C$256)</f>
        <v>0</v>
      </c>
      <c r="D85" s="4"/>
      <c r="E85" s="3">
        <f>SUMIF('Raw Data 10-31-2020'!$A$6:$A$256,'Q4 TB-20'!A85,'Raw Data 10-31-2020'!D$6:D$256)</f>
        <v>0</v>
      </c>
      <c r="F85" s="3"/>
      <c r="G85" s="3">
        <f t="shared" si="1"/>
        <v>0</v>
      </c>
      <c r="H85" s="85" t="s">
        <v>178</v>
      </c>
      <c r="J85" s="19"/>
    </row>
    <row r="86" spans="1:10" x14ac:dyDescent="0.75">
      <c r="A86" s="12">
        <v>2280</v>
      </c>
      <c r="B86" s="13" t="s">
        <v>541</v>
      </c>
      <c r="C86" s="3">
        <f>SUMIF('Raw Data 10-31-2020'!$A$6:$A$256,'Q4 TB-20'!A86,'Raw Data 10-31-2020'!C$6:C$256)</f>
        <v>0</v>
      </c>
      <c r="D86" s="4"/>
      <c r="E86" s="3">
        <f>SUMIF('Raw Data 10-31-2020'!$A$6:$A$256,'Q4 TB-20'!A86,'Raw Data 10-31-2020'!D$6:D$256)</f>
        <v>0</v>
      </c>
      <c r="F86" s="3"/>
      <c r="G86" s="3">
        <f t="shared" si="1"/>
        <v>0</v>
      </c>
      <c r="H86" s="85" t="s">
        <v>178</v>
      </c>
      <c r="J86" s="19"/>
    </row>
    <row r="87" spans="1:10" x14ac:dyDescent="0.75">
      <c r="A87" s="12">
        <v>2285</v>
      </c>
      <c r="B87" s="13" t="s">
        <v>545</v>
      </c>
      <c r="C87" s="3">
        <f>SUMIF('Raw Data 10-31-2020'!$A$6:$A$256,'Q4 TB-20'!A87,'Raw Data 10-31-2020'!C$6:C$256)</f>
        <v>0</v>
      </c>
      <c r="D87" s="4"/>
      <c r="E87" s="3">
        <f>SUMIF('Raw Data 10-31-2020'!$A$6:$A$256,'Q4 TB-20'!A87,'Raw Data 10-31-2020'!D$6:D$256)</f>
        <v>0</v>
      </c>
      <c r="F87" s="3"/>
      <c r="G87" s="3">
        <f t="shared" si="1"/>
        <v>0</v>
      </c>
      <c r="H87" s="85" t="s">
        <v>178</v>
      </c>
      <c r="J87" s="19"/>
    </row>
    <row r="88" spans="1:10" x14ac:dyDescent="0.75">
      <c r="A88" s="12">
        <v>2290</v>
      </c>
      <c r="B88" s="13" t="s">
        <v>540</v>
      </c>
      <c r="C88" s="3">
        <f>SUMIF('Raw Data 10-31-2020'!$A$6:$A$256,'Q4 TB-20'!A88,'Raw Data 10-31-2020'!C$6:C$256)</f>
        <v>0</v>
      </c>
      <c r="D88" s="4"/>
      <c r="E88" s="3">
        <f>SUMIF('Raw Data 10-31-2020'!$A$6:$A$256,'Q4 TB-20'!A88,'Raw Data 10-31-2020'!D$6:D$256)</f>
        <v>143870</v>
      </c>
      <c r="F88" s="3"/>
      <c r="G88" s="3">
        <f t="shared" si="1"/>
        <v>-143870</v>
      </c>
      <c r="H88" s="85" t="s">
        <v>178</v>
      </c>
      <c r="J88" s="19"/>
    </row>
    <row r="89" spans="1:10" x14ac:dyDescent="0.75">
      <c r="A89" s="12">
        <v>2305</v>
      </c>
      <c r="B89" s="13" t="s">
        <v>542</v>
      </c>
      <c r="C89" s="3">
        <f>SUMIF('Raw Data 10-31-2020'!$A$6:$A$256,'Q4 TB-20'!A89,'Raw Data 10-31-2020'!C$6:C$256)</f>
        <v>0</v>
      </c>
      <c r="D89" s="4"/>
      <c r="E89" s="3">
        <f>SUMIF('Raw Data 10-31-2020'!$A$6:$A$256,'Q4 TB-20'!A89,'Raw Data 10-31-2020'!D$6:D$256)</f>
        <v>1221957.72</v>
      </c>
      <c r="F89" s="3"/>
      <c r="G89" s="3">
        <f t="shared" si="1"/>
        <v>-1221957.72</v>
      </c>
      <c r="H89" s="85" t="s">
        <v>181</v>
      </c>
      <c r="J89" s="19"/>
    </row>
    <row r="90" spans="1:10" x14ac:dyDescent="0.75">
      <c r="A90" s="12">
        <v>2310</v>
      </c>
      <c r="B90" s="13" t="s">
        <v>538</v>
      </c>
      <c r="C90" s="3">
        <f>SUMIF('Raw Data 10-31-2020'!$A$6:$A$256,'Q4 TB-20'!A90,'Raw Data 10-31-2020'!C$6:C$256)</f>
        <v>0</v>
      </c>
      <c r="D90" s="4"/>
      <c r="E90" s="3">
        <f>SUMIF('Raw Data 10-31-2020'!$A$6:$A$256,'Q4 TB-20'!A90,'Raw Data 10-31-2020'!D$6:D$256)</f>
        <v>0</v>
      </c>
      <c r="F90" s="3"/>
      <c r="G90" s="3">
        <f t="shared" si="1"/>
        <v>0</v>
      </c>
      <c r="H90" s="85" t="s">
        <v>446</v>
      </c>
      <c r="J90" s="19"/>
    </row>
    <row r="91" spans="1:10" x14ac:dyDescent="0.75">
      <c r="A91" s="12">
        <v>2320</v>
      </c>
      <c r="B91" s="13" t="s">
        <v>539</v>
      </c>
      <c r="C91" s="3">
        <f>SUMIF('Raw Data 10-31-2020'!$A$6:$A$256,'Q4 TB-20'!A91,'Raw Data 10-31-2020'!C$6:C$256)</f>
        <v>0</v>
      </c>
      <c r="D91" s="4"/>
      <c r="E91" s="3">
        <f>SUMIF('Raw Data 10-31-2020'!$A$6:$A$256,'Q4 TB-20'!A91,'Raw Data 10-31-2020'!D$6:D$256)</f>
        <v>0</v>
      </c>
      <c r="F91" s="3"/>
      <c r="G91" s="3">
        <f t="shared" si="1"/>
        <v>0</v>
      </c>
      <c r="H91" s="85" t="s">
        <v>178</v>
      </c>
      <c r="J91" s="19"/>
    </row>
    <row r="92" spans="1:10" x14ac:dyDescent="0.75">
      <c r="A92" s="12">
        <v>2400</v>
      </c>
      <c r="B92" s="13" t="s">
        <v>527</v>
      </c>
      <c r="C92" s="3">
        <f>SUMIF('Raw Data 10-31-2020'!$A$6:$A$256,'Q4 TB-20'!A92,'Raw Data 10-31-2020'!C$6:C$256)</f>
        <v>0</v>
      </c>
      <c r="D92" s="4"/>
      <c r="E92" s="3">
        <f>SUMIF('Raw Data 10-31-2020'!$A$6:$A$256,'Q4 TB-20'!A92,'Raw Data 10-31-2020'!D$6:D$256)</f>
        <v>106383.45</v>
      </c>
      <c r="F92" s="3"/>
      <c r="G92" s="3">
        <f t="shared" si="1"/>
        <v>-106383.45</v>
      </c>
      <c r="H92" s="85" t="s">
        <v>180</v>
      </c>
      <c r="J92" s="19"/>
    </row>
    <row r="93" spans="1:10" x14ac:dyDescent="0.75">
      <c r="A93" s="12">
        <v>2405</v>
      </c>
      <c r="B93" s="13" t="s">
        <v>528</v>
      </c>
      <c r="C93" s="3">
        <f>SUMIF('Raw Data 10-31-2020'!$A$6:$A$256,'Q4 TB-20'!A93,'Raw Data 10-31-2020'!C$6:C$256)</f>
        <v>0</v>
      </c>
      <c r="D93" s="4"/>
      <c r="E93" s="3">
        <f>SUMIF('Raw Data 10-31-2020'!$A$6:$A$256,'Q4 TB-20'!A93,'Raw Data 10-31-2020'!D$6:D$256)</f>
        <v>36815.1</v>
      </c>
      <c r="F93" s="3"/>
      <c r="G93" s="3">
        <f t="shared" si="1"/>
        <v>-36815.1</v>
      </c>
      <c r="H93" s="85" t="s">
        <v>180</v>
      </c>
      <c r="J93" s="19"/>
    </row>
    <row r="94" spans="1:10" x14ac:dyDescent="0.75">
      <c r="A94" s="12">
        <v>2410</v>
      </c>
      <c r="B94" s="13" t="s">
        <v>529</v>
      </c>
      <c r="C94" s="3">
        <f>SUMIF('Raw Data 10-31-2020'!$A$6:$A$256,'Q4 TB-20'!A94,'Raw Data 10-31-2020'!C$6:C$256)</f>
        <v>0</v>
      </c>
      <c r="D94" s="4"/>
      <c r="E94" s="3">
        <f>SUMIF('Raw Data 10-31-2020'!$A$6:$A$256,'Q4 TB-20'!A94,'Raw Data 10-31-2020'!D$6:D$256)</f>
        <v>0</v>
      </c>
      <c r="F94" s="3"/>
      <c r="G94" s="3">
        <f t="shared" si="1"/>
        <v>0</v>
      </c>
      <c r="H94" s="85" t="s">
        <v>180</v>
      </c>
      <c r="J94" s="19"/>
    </row>
    <row r="95" spans="1:10" x14ac:dyDescent="0.75">
      <c r="A95" s="12">
        <v>2415</v>
      </c>
      <c r="B95" s="13" t="s">
        <v>530</v>
      </c>
      <c r="C95" s="3">
        <f>SUMIF('Raw Data 10-31-2020'!$A$6:$A$256,'Q4 TB-20'!A95,'Raw Data 10-31-2020'!C$6:C$256)</f>
        <v>0</v>
      </c>
      <c r="D95" s="4"/>
      <c r="E95" s="3">
        <f>SUMIF('Raw Data 10-31-2020'!$A$6:$A$256,'Q4 TB-20'!A95,'Raw Data 10-31-2020'!D$6:D$256)</f>
        <v>0</v>
      </c>
      <c r="F95" s="3"/>
      <c r="G95" s="3">
        <f t="shared" si="1"/>
        <v>0</v>
      </c>
      <c r="H95" s="85" t="s">
        <v>180</v>
      </c>
      <c r="J95" s="19"/>
    </row>
    <row r="96" spans="1:10" x14ac:dyDescent="0.75">
      <c r="A96" s="12">
        <v>2420</v>
      </c>
      <c r="B96" s="13" t="s">
        <v>531</v>
      </c>
      <c r="C96" s="3">
        <f>SUMIF('Raw Data 10-31-2020'!$A$6:$A$256,'Q4 TB-20'!A96,'Raw Data 10-31-2020'!C$6:C$256)</f>
        <v>0</v>
      </c>
      <c r="D96" s="4"/>
      <c r="E96" s="3">
        <f>SUMIF('Raw Data 10-31-2020'!$A$6:$A$256,'Q4 TB-20'!A96,'Raw Data 10-31-2020'!D$6:D$256)</f>
        <v>0</v>
      </c>
      <c r="F96" s="3"/>
      <c r="G96" s="3">
        <f t="shared" si="1"/>
        <v>0</v>
      </c>
      <c r="H96" s="85" t="s">
        <v>180</v>
      </c>
      <c r="J96" s="19"/>
    </row>
    <row r="97" spans="1:10" x14ac:dyDescent="0.75">
      <c r="A97" s="12">
        <v>2425</v>
      </c>
      <c r="B97" s="13" t="s">
        <v>532</v>
      </c>
      <c r="C97" s="3">
        <f>SUMIF('Raw Data 10-31-2020'!$A$6:$A$256,'Q4 TB-20'!A97,'Raw Data 10-31-2020'!C$6:C$256)</f>
        <v>0</v>
      </c>
      <c r="D97" s="4"/>
      <c r="E97" s="3">
        <f>SUMIF('Raw Data 10-31-2020'!$A$6:$A$256,'Q4 TB-20'!A97,'Raw Data 10-31-2020'!D$6:D$256)</f>
        <v>0</v>
      </c>
      <c r="F97" s="3"/>
      <c r="G97" s="3">
        <f t="shared" si="1"/>
        <v>0</v>
      </c>
      <c r="H97" s="85" t="s">
        <v>180</v>
      </c>
      <c r="J97" s="19"/>
    </row>
    <row r="98" spans="1:10" x14ac:dyDescent="0.75">
      <c r="A98" s="12">
        <v>2430</v>
      </c>
      <c r="B98" s="13" t="s">
        <v>533</v>
      </c>
      <c r="C98" s="3">
        <f>SUMIF('Raw Data 10-31-2020'!$A$6:$A$256,'Q4 TB-20'!A98,'Raw Data 10-31-2020'!C$6:C$256)</f>
        <v>0</v>
      </c>
      <c r="D98" s="4"/>
      <c r="E98" s="3">
        <f>SUMIF('Raw Data 10-31-2020'!$A$6:$A$256,'Q4 TB-20'!A98,'Raw Data 10-31-2020'!D$6:D$256)</f>
        <v>0</v>
      </c>
      <c r="F98" s="3"/>
      <c r="G98" s="3">
        <f t="shared" si="1"/>
        <v>0</v>
      </c>
      <c r="H98" s="85" t="s">
        <v>180</v>
      </c>
      <c r="J98" s="19"/>
    </row>
    <row r="99" spans="1:10" x14ac:dyDescent="0.75">
      <c r="A99" s="12" t="s">
        <v>952</v>
      </c>
      <c r="B99" s="13" t="s">
        <v>953</v>
      </c>
      <c r="C99" s="3">
        <f>SUMIF('Raw Data 10-31-2020'!$A$6:$A$256,'Q4 TB-20'!A99,'Raw Data 10-31-2020'!C$6:C$256)</f>
        <v>0</v>
      </c>
      <c r="D99" s="4"/>
      <c r="E99" s="3">
        <f>SUMIF('Raw Data 10-31-2020'!$A$6:$A$256,'Q4 TB-20'!A99,'Raw Data 10-31-2020'!D$6:D$256)</f>
        <v>394793</v>
      </c>
      <c r="F99" s="3"/>
      <c r="G99" s="3">
        <f t="shared" si="1"/>
        <v>-394793</v>
      </c>
      <c r="H99" s="85" t="s">
        <v>954</v>
      </c>
      <c r="J99" s="19"/>
    </row>
    <row r="100" spans="1:10" x14ac:dyDescent="0.75">
      <c r="A100" s="12">
        <v>2705</v>
      </c>
      <c r="B100" s="13" t="s">
        <v>547</v>
      </c>
      <c r="C100" s="3">
        <f>SUMIF('Raw Data 10-31-2020'!$A$6:$A$256,'Q4 TB-20'!A100,'Raw Data 10-31-2020'!C$6:C$256)</f>
        <v>0</v>
      </c>
      <c r="D100" s="4"/>
      <c r="E100" s="3">
        <f>SUMIF('Raw Data 10-31-2020'!$A$6:$A$256,'Q4 TB-20'!A100,'Raw Data 10-31-2020'!D$6:D$256)</f>
        <v>50000</v>
      </c>
      <c r="F100" s="3"/>
      <c r="G100" s="3">
        <f t="shared" si="1"/>
        <v>-50000</v>
      </c>
      <c r="H100" s="85" t="s">
        <v>800</v>
      </c>
      <c r="J100" s="19"/>
    </row>
    <row r="101" spans="1:10" x14ac:dyDescent="0.75">
      <c r="A101" s="12">
        <v>2710</v>
      </c>
      <c r="B101" s="13" t="s">
        <v>548</v>
      </c>
      <c r="C101" s="3">
        <f>SUMIF('Raw Data 10-31-2020'!$A$6:$A$256,'Q4 TB-20'!A101,'Raw Data 10-31-2020'!C$6:C$256)</f>
        <v>0</v>
      </c>
      <c r="D101" s="4"/>
      <c r="E101" s="3">
        <f>SUMIF('Raw Data 10-31-2020'!$A$6:$A$256,'Q4 TB-20'!A101,'Raw Data 10-31-2020'!D$6:D$256)</f>
        <v>15000</v>
      </c>
      <c r="F101" s="3"/>
      <c r="G101" s="3">
        <f t="shared" si="1"/>
        <v>-15000</v>
      </c>
      <c r="H101" s="85" t="s">
        <v>800</v>
      </c>
      <c r="J101" s="19"/>
    </row>
    <row r="102" spans="1:10" x14ac:dyDescent="0.75">
      <c r="A102" s="12">
        <v>2715</v>
      </c>
      <c r="B102" s="13" t="s">
        <v>549</v>
      </c>
      <c r="C102" s="3">
        <f>SUMIF('Raw Data 10-31-2020'!$A$6:$A$256,'Q4 TB-20'!A102,'Raw Data 10-31-2020'!C$6:C$256)</f>
        <v>0</v>
      </c>
      <c r="D102" s="4"/>
      <c r="E102" s="3">
        <f>SUMIF('Raw Data 10-31-2020'!$A$6:$A$256,'Q4 TB-20'!A102,'Raw Data 10-31-2020'!D$6:D$256)</f>
        <v>25000</v>
      </c>
      <c r="F102" s="3"/>
      <c r="G102" s="3">
        <f t="shared" si="1"/>
        <v>-25000</v>
      </c>
      <c r="H102" s="85" t="s">
        <v>800</v>
      </c>
      <c r="J102" s="19"/>
    </row>
    <row r="103" spans="1:10" x14ac:dyDescent="0.75">
      <c r="A103" s="12">
        <v>2720</v>
      </c>
      <c r="B103" s="13" t="s">
        <v>550</v>
      </c>
      <c r="C103" s="3">
        <f>SUMIF('Raw Data 10-31-2020'!$A$6:$A$256,'Q4 TB-20'!A103,'Raw Data 10-31-2020'!C$6:C$256)</f>
        <v>0</v>
      </c>
      <c r="D103" s="4"/>
      <c r="E103" s="3">
        <f>SUMIF('Raw Data 10-31-2020'!$A$6:$A$256,'Q4 TB-20'!A103,'Raw Data 10-31-2020'!D$6:D$256)</f>
        <v>50000</v>
      </c>
      <c r="F103" s="3"/>
      <c r="G103" s="3">
        <f t="shared" si="1"/>
        <v>-50000</v>
      </c>
      <c r="H103" s="85" t="s">
        <v>800</v>
      </c>
      <c r="J103" s="19"/>
    </row>
    <row r="104" spans="1:10" x14ac:dyDescent="0.75">
      <c r="A104" s="12">
        <v>2725</v>
      </c>
      <c r="B104" s="13" t="s">
        <v>551</v>
      </c>
      <c r="C104" s="3">
        <f>SUMIF('Raw Data 10-31-2020'!$A$6:$A$256,'Q4 TB-20'!A104,'Raw Data 10-31-2020'!C$6:C$256)</f>
        <v>0</v>
      </c>
      <c r="D104" s="4"/>
      <c r="E104" s="3">
        <f>SUMIF('Raw Data 10-31-2020'!$A$6:$A$256,'Q4 TB-20'!A104,'Raw Data 10-31-2020'!D$6:D$256)</f>
        <v>60000</v>
      </c>
      <c r="F104" s="3"/>
      <c r="G104" s="3">
        <f t="shared" si="1"/>
        <v>-60000</v>
      </c>
      <c r="H104" s="85" t="s">
        <v>800</v>
      </c>
      <c r="J104" s="19"/>
    </row>
    <row r="105" spans="1:10" x14ac:dyDescent="0.75">
      <c r="A105" s="12">
        <v>2730</v>
      </c>
      <c r="B105" s="13" t="s">
        <v>552</v>
      </c>
      <c r="C105" s="3">
        <f>SUMIF('Raw Data 10-31-2020'!$A$6:$A$256,'Q4 TB-20'!A105,'Raw Data 10-31-2020'!C$6:C$256)</f>
        <v>0</v>
      </c>
      <c r="D105" s="4"/>
      <c r="E105" s="3">
        <f>SUMIF('Raw Data 10-31-2020'!$A$6:$A$256,'Q4 TB-20'!A105,'Raw Data 10-31-2020'!D$6:D$256)</f>
        <v>108527</v>
      </c>
      <c r="F105" s="3"/>
      <c r="G105" s="3">
        <f t="shared" si="1"/>
        <v>-108527</v>
      </c>
      <c r="H105" s="85" t="s">
        <v>800</v>
      </c>
      <c r="J105" s="19"/>
    </row>
    <row r="106" spans="1:10" x14ac:dyDescent="0.75">
      <c r="A106" s="12">
        <v>2735</v>
      </c>
      <c r="B106" s="13" t="s">
        <v>553</v>
      </c>
      <c r="C106" s="3">
        <f>SUMIF('Raw Data 10-31-2020'!$A$6:$A$256,'Q4 TB-20'!A106,'Raw Data 10-31-2020'!C$6:C$256)</f>
        <v>0</v>
      </c>
      <c r="D106" s="4"/>
      <c r="E106" s="3">
        <f>SUMIF('Raw Data 10-31-2020'!$A$6:$A$256,'Q4 TB-20'!A106,'Raw Data 10-31-2020'!D$6:D$256)</f>
        <v>150000</v>
      </c>
      <c r="F106" s="3"/>
      <c r="G106" s="3">
        <f t="shared" si="1"/>
        <v>-150000</v>
      </c>
      <c r="H106" s="85" t="s">
        <v>800</v>
      </c>
      <c r="J106" s="19"/>
    </row>
    <row r="107" spans="1:10" x14ac:dyDescent="0.75">
      <c r="A107" s="12">
        <v>2740</v>
      </c>
      <c r="B107" s="13" t="s">
        <v>554</v>
      </c>
      <c r="C107" s="3">
        <f>SUMIF('Raw Data 10-31-2020'!$A$6:$A$256,'Q4 TB-20'!A107,'Raw Data 10-31-2020'!C$6:C$256)</f>
        <v>0</v>
      </c>
      <c r="D107" s="4"/>
      <c r="E107" s="3">
        <f>SUMIF('Raw Data 10-31-2020'!$A$6:$A$256,'Q4 TB-20'!A107,'Raw Data 10-31-2020'!D$6:D$256)</f>
        <v>40000</v>
      </c>
      <c r="F107" s="3"/>
      <c r="G107" s="3">
        <f t="shared" si="1"/>
        <v>-40000</v>
      </c>
      <c r="H107" s="85" t="s">
        <v>800</v>
      </c>
      <c r="J107" s="19"/>
    </row>
    <row r="108" spans="1:10" x14ac:dyDescent="0.75">
      <c r="A108" s="12">
        <v>2745</v>
      </c>
      <c r="B108" s="13" t="s">
        <v>939</v>
      </c>
      <c r="C108" s="3">
        <f>SUMIF('Raw Data 10-31-2020'!$A$6:$A$256,'Q4 TB-20'!A108,'Raw Data 10-31-2020'!C$6:C$256)</f>
        <v>0</v>
      </c>
      <c r="D108" s="4"/>
      <c r="E108" s="3">
        <f>SUMIF('Raw Data 10-31-2020'!$A$6:$A$256,'Q4 TB-20'!A108,'Raw Data 10-31-2020'!D$6:D$256)</f>
        <v>202140.96000000002</v>
      </c>
      <c r="F108" s="3"/>
      <c r="G108" s="3">
        <f t="shared" si="1"/>
        <v>-202140.96000000002</v>
      </c>
      <c r="H108" s="85" t="s">
        <v>182</v>
      </c>
      <c r="J108" s="19"/>
    </row>
    <row r="109" spans="1:10" x14ac:dyDescent="0.75">
      <c r="A109" s="12">
        <v>2750</v>
      </c>
      <c r="B109" s="13" t="s">
        <v>555</v>
      </c>
      <c r="C109" s="3">
        <f>SUMIF('Raw Data 10-31-2020'!$A$6:$A$256,'Q4 TB-20'!A109,'Raw Data 10-31-2020'!C$6:C$256)</f>
        <v>0</v>
      </c>
      <c r="D109" s="4"/>
      <c r="E109" s="3">
        <f>SUMIF('Raw Data 10-31-2020'!$A$6:$A$256,'Q4 TB-20'!A109,'Raw Data 10-31-2020'!D$6:D$256)</f>
        <v>50000</v>
      </c>
      <c r="F109" s="3"/>
      <c r="G109" s="3">
        <f t="shared" si="1"/>
        <v>-50000</v>
      </c>
      <c r="H109" s="85" t="s">
        <v>800</v>
      </c>
      <c r="J109" s="19"/>
    </row>
    <row r="110" spans="1:10" x14ac:dyDescent="0.75">
      <c r="A110" s="12">
        <v>2755</v>
      </c>
      <c r="B110" s="13" t="s">
        <v>556</v>
      </c>
      <c r="C110" s="3">
        <f>SUMIF('Raw Data 10-31-2020'!$A$6:$A$256,'Q4 TB-20'!A110,'Raw Data 10-31-2020'!C$6:C$256)</f>
        <v>0</v>
      </c>
      <c r="D110" s="4"/>
      <c r="E110" s="3">
        <f>SUMIF('Raw Data 10-31-2020'!$A$6:$A$256,'Q4 TB-20'!A110,'Raw Data 10-31-2020'!D$6:D$256)</f>
        <v>25000</v>
      </c>
      <c r="F110" s="3"/>
      <c r="G110" s="3">
        <f t="shared" si="1"/>
        <v>-25000</v>
      </c>
      <c r="H110" s="85" t="s">
        <v>800</v>
      </c>
      <c r="J110" s="19"/>
    </row>
    <row r="111" spans="1:10" x14ac:dyDescent="0.75">
      <c r="A111" s="12">
        <v>2760</v>
      </c>
      <c r="B111" s="13" t="s">
        <v>557</v>
      </c>
      <c r="C111" s="3">
        <f>SUMIF('Raw Data 10-31-2020'!$A$6:$A$256,'Q4 TB-20'!A111,'Raw Data 10-31-2020'!C$6:C$256)</f>
        <v>0</v>
      </c>
      <c r="D111" s="4"/>
      <c r="E111" s="3">
        <f>SUMIF('Raw Data 10-31-2020'!$A$6:$A$256,'Q4 TB-20'!A111,'Raw Data 10-31-2020'!D$6:D$256)</f>
        <v>170000</v>
      </c>
      <c r="F111" s="3"/>
      <c r="G111" s="3">
        <f t="shared" si="1"/>
        <v>-170000</v>
      </c>
      <c r="H111" s="85" t="s">
        <v>800</v>
      </c>
      <c r="J111" s="19"/>
    </row>
    <row r="112" spans="1:10" x14ac:dyDescent="0.75">
      <c r="A112" s="12">
        <v>2765</v>
      </c>
      <c r="B112" s="13" t="s">
        <v>558</v>
      </c>
      <c r="C112" s="3">
        <f>SUMIF('Raw Data 10-31-2020'!$A$6:$A$256,'Q4 TB-20'!A112,'Raw Data 10-31-2020'!C$6:C$256)</f>
        <v>0</v>
      </c>
      <c r="D112" s="4"/>
      <c r="E112" s="3">
        <f>SUMIF('Raw Data 10-31-2020'!$A$6:$A$256,'Q4 TB-20'!A112,'Raw Data 10-31-2020'!D$6:D$256)</f>
        <v>50000</v>
      </c>
      <c r="F112" s="3"/>
      <c r="G112" s="3">
        <f t="shared" si="1"/>
        <v>-50000</v>
      </c>
      <c r="H112" s="85" t="s">
        <v>800</v>
      </c>
      <c r="J112" s="19"/>
    </row>
    <row r="113" spans="1:10" x14ac:dyDescent="0.75">
      <c r="A113" s="12">
        <v>2770</v>
      </c>
      <c r="B113" s="13" t="s">
        <v>559</v>
      </c>
      <c r="C113" s="3">
        <f>SUMIF('Raw Data 10-31-2020'!$A$6:$A$256,'Q4 TB-20'!A113,'Raw Data 10-31-2020'!C$6:C$256)</f>
        <v>0</v>
      </c>
      <c r="D113" s="4"/>
      <c r="E113" s="3">
        <f>SUMIF('Raw Data 10-31-2020'!$A$6:$A$256,'Q4 TB-20'!A113,'Raw Data 10-31-2020'!D$6:D$256)</f>
        <v>2500</v>
      </c>
      <c r="F113" s="3"/>
      <c r="G113" s="3">
        <f t="shared" si="1"/>
        <v>-2500</v>
      </c>
      <c r="H113" s="85" t="s">
        <v>800</v>
      </c>
      <c r="J113" s="19"/>
    </row>
    <row r="114" spans="1:10" x14ac:dyDescent="0.75">
      <c r="A114" s="12">
        <v>2775</v>
      </c>
      <c r="B114" s="13" t="s">
        <v>560</v>
      </c>
      <c r="C114" s="3">
        <f>SUMIF('Raw Data 10-31-2020'!$A$6:$A$256,'Q4 TB-20'!A114,'Raw Data 10-31-2020'!C$6:C$256)</f>
        <v>0</v>
      </c>
      <c r="D114" s="4"/>
      <c r="E114" s="3">
        <f>SUMIF('Raw Data 10-31-2020'!$A$6:$A$256,'Q4 TB-20'!A114,'Raw Data 10-31-2020'!D$6:D$256)</f>
        <v>50000</v>
      </c>
      <c r="F114" s="3"/>
      <c r="G114" s="3">
        <f t="shared" si="1"/>
        <v>-50000</v>
      </c>
      <c r="H114" s="85" t="s">
        <v>800</v>
      </c>
      <c r="J114" s="19"/>
    </row>
    <row r="115" spans="1:10" x14ac:dyDescent="0.75">
      <c r="A115" s="12">
        <v>2780</v>
      </c>
      <c r="B115" s="13" t="s">
        <v>561</v>
      </c>
      <c r="C115" s="3">
        <f>SUMIF('Raw Data 10-31-2020'!$A$6:$A$256,'Q4 TB-20'!A115,'Raw Data 10-31-2020'!C$6:C$256)</f>
        <v>0</v>
      </c>
      <c r="D115" s="4"/>
      <c r="E115" s="3">
        <f>SUMIF('Raw Data 10-31-2020'!$A$6:$A$256,'Q4 TB-20'!A115,'Raw Data 10-31-2020'!D$6:D$256)</f>
        <v>25000</v>
      </c>
      <c r="F115" s="3"/>
      <c r="G115" s="3">
        <f t="shared" si="1"/>
        <v>-25000</v>
      </c>
      <c r="H115" s="85" t="s">
        <v>800</v>
      </c>
      <c r="J115" s="19"/>
    </row>
    <row r="116" spans="1:10" x14ac:dyDescent="0.75">
      <c r="A116" s="12" t="s">
        <v>941</v>
      </c>
      <c r="B116" s="13" t="s">
        <v>942</v>
      </c>
      <c r="C116" s="3">
        <f>SUMIF('Raw Data 10-31-2020'!$A$6:$A$256,'Q4 TB-20'!A116,'Raw Data 10-31-2020'!C$6:C$256)</f>
        <v>193932</v>
      </c>
      <c r="D116" s="4"/>
      <c r="E116" s="3">
        <f>SUMIF('Raw Data 10-31-2020'!$A$6:$A$256,'Q4 TB-20'!A116,'Raw Data 10-31-2020'!D$6:D$256)</f>
        <v>0</v>
      </c>
      <c r="F116" s="3"/>
      <c r="G116" s="3">
        <f t="shared" si="1"/>
        <v>193932</v>
      </c>
      <c r="H116" s="85" t="s">
        <v>800</v>
      </c>
      <c r="J116" s="19"/>
    </row>
    <row r="117" spans="1:10" x14ac:dyDescent="0.75">
      <c r="A117" s="12">
        <v>3000</v>
      </c>
      <c r="B117" s="13" t="s">
        <v>563</v>
      </c>
      <c r="C117" s="3">
        <f>SUMIF('Raw Data 10-31-2020'!$A$6:$A$256,'Q4 TB-20'!A117,'Raw Data 10-31-2020'!C$6:C$256)</f>
        <v>0</v>
      </c>
      <c r="D117" s="4"/>
      <c r="E117" s="3">
        <f>SUMIF('Raw Data 10-31-2020'!$A$6:$A$256,'Q4 TB-20'!A117,'Raw Data 10-31-2020'!D$6:D$256)</f>
        <v>46410.14</v>
      </c>
      <c r="F117" s="3"/>
      <c r="G117" s="3">
        <f t="shared" si="1"/>
        <v>-46410.14</v>
      </c>
      <c r="H117" s="85" t="s">
        <v>183</v>
      </c>
      <c r="J117" s="19"/>
    </row>
    <row r="118" spans="1:10" x14ac:dyDescent="0.75">
      <c r="A118" s="12">
        <v>3050</v>
      </c>
      <c r="B118" s="13" t="s">
        <v>569</v>
      </c>
      <c r="C118" s="3">
        <f>SUMIF('Raw Data 10-31-2020'!$A$6:$A$256,'Q4 TB-20'!A118,'Raw Data 10-31-2020'!C$6:C$256)</f>
        <v>0</v>
      </c>
      <c r="D118" s="4"/>
      <c r="E118" s="3">
        <f>SUMIF('Raw Data 10-31-2020'!$A$6:$A$256,'Q4 TB-20'!A118,'Raw Data 10-31-2020'!D$6:D$256)</f>
        <v>41</v>
      </c>
      <c r="F118" s="3"/>
      <c r="G118" s="3">
        <f t="shared" si="1"/>
        <v>-41</v>
      </c>
      <c r="H118" s="85" t="s">
        <v>802</v>
      </c>
      <c r="J118" s="19"/>
    </row>
    <row r="119" spans="1:10" x14ac:dyDescent="0.75">
      <c r="A119" s="12">
        <v>3100</v>
      </c>
      <c r="B119" s="13" t="s">
        <v>567</v>
      </c>
      <c r="C119" s="3">
        <f>SUMIF('Raw Data 10-31-2020'!$A$6:$A$256,'Q4 TB-20'!A119,'Raw Data 10-31-2020'!C$6:C$256)</f>
        <v>0</v>
      </c>
      <c r="D119" s="4"/>
      <c r="E119" s="3">
        <f>SUMIF('Raw Data 10-31-2020'!$A$6:$A$256,'Q4 TB-20'!A119,'Raw Data 10-31-2020'!D$6:D$256)</f>
        <v>7724647.8900000015</v>
      </c>
      <c r="F119" s="3"/>
      <c r="G119" s="3">
        <f t="shared" si="1"/>
        <v>-7724647.8900000015</v>
      </c>
      <c r="H119" s="85" t="s">
        <v>184</v>
      </c>
      <c r="J119" s="19"/>
    </row>
    <row r="120" spans="1:10" s="89" customFormat="1" x14ac:dyDescent="0.75">
      <c r="A120" s="12" t="s">
        <v>1003</v>
      </c>
      <c r="B120" s="13" t="s">
        <v>1004</v>
      </c>
      <c r="C120" s="3">
        <f>SUMIF('Raw Data 10-31-2020'!$A$6:$A$256,'Q4 TB-20'!A120,'Raw Data 10-31-2020'!C$6:C$256)</f>
        <v>0</v>
      </c>
      <c r="D120" s="4"/>
      <c r="E120" s="3">
        <f>SUMIF('Raw Data 10-31-2020'!$A$6:$A$256,'Q4 TB-20'!A120,'Raw Data 10-31-2020'!D$6:D$256)</f>
        <v>1024959</v>
      </c>
      <c r="F120" s="3"/>
      <c r="G120" s="3">
        <f t="shared" ref="G120" si="3">C120-E120</f>
        <v>-1024959</v>
      </c>
      <c r="H120" s="89" t="s">
        <v>184</v>
      </c>
      <c r="J120" s="19"/>
    </row>
    <row r="121" spans="1:10" x14ac:dyDescent="0.75">
      <c r="A121" s="12">
        <v>3200</v>
      </c>
      <c r="B121" s="13" t="s">
        <v>562</v>
      </c>
      <c r="C121" s="3">
        <f>SUMIF('Raw Data 10-31-2020'!$A$6:$A$256,'Q4 TB-20'!A121,'Raw Data 10-31-2020'!C$6:C$256)</f>
        <v>0</v>
      </c>
      <c r="D121" s="4"/>
      <c r="E121" s="3">
        <f>SUMIF('Raw Data 10-31-2020'!$A$6:$A$256,'Q4 TB-20'!A121,'Raw Data 10-31-2020'!D$6:D$256)</f>
        <v>0</v>
      </c>
      <c r="F121" s="3"/>
      <c r="G121" s="3">
        <f t="shared" si="1"/>
        <v>0</v>
      </c>
      <c r="H121" s="85" t="s">
        <v>184</v>
      </c>
      <c r="J121" s="19"/>
    </row>
    <row r="122" spans="1:10" x14ac:dyDescent="0.75">
      <c r="A122" s="12">
        <v>3300</v>
      </c>
      <c r="B122" s="13" t="s">
        <v>564</v>
      </c>
      <c r="C122" s="3">
        <f>SUMIF('Raw Data 10-31-2020'!$A$6:$A$256,'Q4 TB-20'!A122,'Raw Data 10-31-2020'!C$6:C$256)</f>
        <v>0</v>
      </c>
      <c r="D122" s="4"/>
      <c r="E122" s="3">
        <f>SUMIF('Raw Data 10-31-2020'!$A$6:$A$256,'Q4 TB-20'!A122,'Raw Data 10-31-2020'!D$6:D$256)</f>
        <v>0</v>
      </c>
      <c r="F122" s="3"/>
      <c r="G122" s="3">
        <f t="shared" si="1"/>
        <v>0</v>
      </c>
      <c r="H122" s="85" t="s">
        <v>184</v>
      </c>
      <c r="J122" s="19"/>
    </row>
    <row r="123" spans="1:10" x14ac:dyDescent="0.75">
      <c r="A123" s="12">
        <v>3400</v>
      </c>
      <c r="B123" s="13" t="s">
        <v>565</v>
      </c>
      <c r="C123" s="3">
        <f>SUMIF('Raw Data 10-31-2020'!$A$6:$A$256,'Q4 TB-20'!A123,'Raw Data 10-31-2020'!C$6:C$256)</f>
        <v>0</v>
      </c>
      <c r="D123" s="4"/>
      <c r="E123" s="3">
        <f>SUMIF('Raw Data 10-31-2020'!$A$6:$A$256,'Q4 TB-20'!A123,'Raw Data 10-31-2020'!D$6:D$256)</f>
        <v>0</v>
      </c>
      <c r="F123" s="3"/>
      <c r="G123" s="3">
        <f t="shared" si="1"/>
        <v>0</v>
      </c>
      <c r="H123" s="85" t="s">
        <v>184</v>
      </c>
      <c r="J123" s="19"/>
    </row>
    <row r="124" spans="1:10" x14ac:dyDescent="0.75">
      <c r="A124" s="12">
        <v>3500</v>
      </c>
      <c r="B124" s="13" t="s">
        <v>566</v>
      </c>
      <c r="C124" s="3">
        <f>SUMIF('Raw Data 10-31-2020'!$A$6:$A$256,'Q4 TB-20'!A124,'Raw Data 10-31-2020'!C$6:C$256)</f>
        <v>0</v>
      </c>
      <c r="D124" s="4"/>
      <c r="E124" s="3">
        <f>SUMIF('Raw Data 10-31-2020'!$A$6:$A$256,'Q4 TB-20'!A124,'Raw Data 10-31-2020'!D$6:D$256)</f>
        <v>0</v>
      </c>
      <c r="F124" s="3"/>
      <c r="G124" s="3">
        <f t="shared" si="1"/>
        <v>0</v>
      </c>
      <c r="H124" s="85" t="s">
        <v>184</v>
      </c>
      <c r="J124" s="19"/>
    </row>
    <row r="125" spans="1:10" x14ac:dyDescent="0.75">
      <c r="A125" s="12" t="s">
        <v>382</v>
      </c>
      <c r="B125" s="13" t="s">
        <v>933</v>
      </c>
      <c r="C125" s="3">
        <f>SUMIF('Raw Data 10-31-2020'!$A$6:$A$256,'Q4 TB-20'!A125,'Raw Data 10-31-2020'!C$6:C$256)</f>
        <v>84000</v>
      </c>
      <c r="D125" s="4"/>
      <c r="E125" s="3">
        <f>SUMIF('Raw Data 10-31-2020'!$A$6:$A$256,'Q4 TB-20'!A125,'Raw Data 10-31-2020'!D$6:D$256)</f>
        <v>0</v>
      </c>
      <c r="F125" s="3"/>
      <c r="G125" s="3">
        <f t="shared" si="1"/>
        <v>84000</v>
      </c>
      <c r="H125" s="85" t="s">
        <v>934</v>
      </c>
      <c r="J125" s="19"/>
    </row>
    <row r="126" spans="1:10" x14ac:dyDescent="0.75">
      <c r="A126" s="12">
        <v>3800</v>
      </c>
      <c r="B126" s="13" t="s">
        <v>568</v>
      </c>
      <c r="C126" s="3">
        <f>SUMIF('Raw Data 10-31-2020'!$A$6:$A$256,'Q4 TB-20'!A126,'Raw Data 10-31-2020'!C$6:C$256)</f>
        <v>0</v>
      </c>
      <c r="D126" s="4"/>
      <c r="E126" s="3">
        <f>SUMIF('Raw Data 10-31-2020'!$A$6:$A$256,'Q4 TB-20'!A126,'Raw Data 10-31-2020'!D$6:D$256)</f>
        <v>0</v>
      </c>
      <c r="F126" s="3"/>
      <c r="G126" s="3">
        <f t="shared" si="1"/>
        <v>0</v>
      </c>
      <c r="H126" s="85" t="s">
        <v>185</v>
      </c>
      <c r="J126" s="19"/>
    </row>
    <row r="127" spans="1:10" x14ac:dyDescent="0.75">
      <c r="A127" s="12">
        <v>3900</v>
      </c>
      <c r="B127" s="13" t="s">
        <v>400</v>
      </c>
      <c r="C127" s="3">
        <f>SUMIF('Raw Data 10-31-2020'!$A$6:$A$256,'Q4 TB-20'!A127,'Raw Data 10-31-2020'!C$6:C$256)</f>
        <v>9775157.5199999977</v>
      </c>
      <c r="D127" s="4"/>
      <c r="E127" s="3">
        <f>SUMIF('Raw Data 10-31-2020'!$A$6:$A$256,'Q4 TB-20'!A127,'Raw Data 10-31-2020'!D$6:D$256)</f>
        <v>0</v>
      </c>
      <c r="F127" s="3"/>
      <c r="G127" s="3">
        <f t="shared" si="1"/>
        <v>9775157.5199999977</v>
      </c>
      <c r="H127" s="85" t="s">
        <v>185</v>
      </c>
      <c r="J127" s="19"/>
    </row>
    <row r="128" spans="1:10" x14ac:dyDescent="0.75">
      <c r="A128" s="12">
        <v>4100</v>
      </c>
      <c r="B128" s="13" t="s">
        <v>576</v>
      </c>
      <c r="C128" s="3">
        <f>SUMIF('Raw Data 10-31-2020'!$A$6:$A$256,'Q4 TB-20'!A128,'Raw Data 10-31-2020'!C$6:C$256)</f>
        <v>0</v>
      </c>
      <c r="D128" s="4"/>
      <c r="E128" s="3">
        <f>SUMIF('Raw Data 10-31-2020'!$A$6:$A$256,'Q4 TB-20'!A128,'Raw Data 10-31-2020'!D$6:D$256)</f>
        <v>628603.87</v>
      </c>
      <c r="F128" s="3"/>
      <c r="G128" s="3">
        <f t="shared" si="1"/>
        <v>-628603.87</v>
      </c>
      <c r="H128" s="85" t="s">
        <v>437</v>
      </c>
      <c r="J128" s="19"/>
    </row>
    <row r="129" spans="1:10" x14ac:dyDescent="0.75">
      <c r="A129" s="12">
        <v>4110</v>
      </c>
      <c r="B129" s="13" t="s">
        <v>577</v>
      </c>
      <c r="C129" s="3">
        <f>SUMIF('Raw Data 10-31-2020'!$A$6:$A$256,'Q4 TB-20'!A129,'Raw Data 10-31-2020'!C$6:C$256)</f>
        <v>0</v>
      </c>
      <c r="D129" s="4"/>
      <c r="E129" s="3">
        <f>SUMIF('Raw Data 10-31-2020'!$A$6:$A$256,'Q4 TB-20'!A129,'Raw Data 10-31-2020'!D$6:D$256)</f>
        <v>0</v>
      </c>
      <c r="F129" s="3"/>
      <c r="G129" s="3">
        <f t="shared" si="1"/>
        <v>0</v>
      </c>
      <c r="H129" s="85" t="s">
        <v>437</v>
      </c>
      <c r="J129" s="19"/>
    </row>
    <row r="130" spans="1:10" x14ac:dyDescent="0.75">
      <c r="A130" s="12">
        <v>4200</v>
      </c>
      <c r="B130" s="13" t="s">
        <v>573</v>
      </c>
      <c r="C130" s="3">
        <f>SUMIF('Raw Data 10-31-2020'!$A$6:$A$256,'Q4 TB-20'!A130,'Raw Data 10-31-2020'!C$6:C$256)</f>
        <v>0</v>
      </c>
      <c r="D130" s="4"/>
      <c r="E130" s="3">
        <f>SUMIF('Raw Data 10-31-2020'!$A$6:$A$256,'Q4 TB-20'!A130,'Raw Data 10-31-2020'!D$6:D$256)</f>
        <v>0</v>
      </c>
      <c r="F130" s="3"/>
      <c r="G130" s="3">
        <f t="shared" si="1"/>
        <v>0</v>
      </c>
      <c r="H130" s="85" t="s">
        <v>437</v>
      </c>
      <c r="J130" s="19"/>
    </row>
    <row r="131" spans="1:10" x14ac:dyDescent="0.75">
      <c r="A131" s="12">
        <v>4300</v>
      </c>
      <c r="B131" s="13" t="s">
        <v>571</v>
      </c>
      <c r="C131" s="3">
        <f>SUMIF('Raw Data 10-31-2020'!$A$6:$A$256,'Q4 TB-20'!A131,'Raw Data 10-31-2020'!C$6:C$256)</f>
        <v>0</v>
      </c>
      <c r="D131" s="4"/>
      <c r="E131" s="3">
        <f>SUMIF('Raw Data 10-31-2020'!$A$6:$A$256,'Q4 TB-20'!A131,'Raw Data 10-31-2020'!D$6:D$256)</f>
        <v>0</v>
      </c>
      <c r="F131" s="3"/>
      <c r="G131" s="3">
        <f t="shared" si="1"/>
        <v>0</v>
      </c>
      <c r="H131" s="85" t="s">
        <v>437</v>
      </c>
      <c r="J131" s="19"/>
    </row>
    <row r="132" spans="1:10" x14ac:dyDescent="0.75">
      <c r="A132" s="12">
        <v>4400</v>
      </c>
      <c r="B132" s="13" t="s">
        <v>570</v>
      </c>
      <c r="C132" s="3">
        <f>SUMIF('Raw Data 10-31-2020'!$A$6:$A$256,'Q4 TB-20'!A132,'Raw Data 10-31-2020'!C$6:C$256)</f>
        <v>0</v>
      </c>
      <c r="D132" s="4"/>
      <c r="E132" s="3">
        <f>SUMIF('Raw Data 10-31-2020'!$A$6:$A$256,'Q4 TB-20'!A132,'Raw Data 10-31-2020'!D$6:D$256)</f>
        <v>0</v>
      </c>
      <c r="F132" s="3"/>
      <c r="G132" s="3">
        <f t="shared" si="1"/>
        <v>0</v>
      </c>
      <c r="H132" s="85" t="s">
        <v>437</v>
      </c>
      <c r="J132" s="19"/>
    </row>
    <row r="133" spans="1:10" x14ac:dyDescent="0.75">
      <c r="A133" s="12">
        <v>4420</v>
      </c>
      <c r="B133" s="13" t="s">
        <v>574</v>
      </c>
      <c r="C133" s="3">
        <f>SUMIF('Raw Data 10-31-2020'!$A$6:$A$256,'Q4 TB-20'!A133,'Raw Data 10-31-2020'!C$6:C$256)</f>
        <v>0</v>
      </c>
      <c r="D133" s="4"/>
      <c r="E133" s="3">
        <f>SUMIF('Raw Data 10-31-2020'!$A$6:$A$256,'Q4 TB-20'!A133,'Raw Data 10-31-2020'!D$6:D$256)</f>
        <v>0</v>
      </c>
      <c r="F133" s="3"/>
      <c r="G133" s="3">
        <f t="shared" si="1"/>
        <v>0</v>
      </c>
      <c r="H133" s="85" t="s">
        <v>437</v>
      </c>
      <c r="J133" s="19"/>
    </row>
    <row r="134" spans="1:10" x14ac:dyDescent="0.75">
      <c r="A134" s="12">
        <v>4440</v>
      </c>
      <c r="B134" s="13" t="s">
        <v>575</v>
      </c>
      <c r="C134" s="3">
        <f>SUMIF('Raw Data 10-31-2020'!$A$6:$A$256,'Q4 TB-20'!A134,'Raw Data 10-31-2020'!C$6:C$256)</f>
        <v>0</v>
      </c>
      <c r="D134" s="4"/>
      <c r="E134" s="3">
        <f>SUMIF('Raw Data 10-31-2020'!$A$6:$A$256,'Q4 TB-20'!A134,'Raw Data 10-31-2020'!D$6:D$256)</f>
        <v>0</v>
      </c>
      <c r="F134" s="3"/>
      <c r="G134" s="3">
        <f t="shared" si="1"/>
        <v>0</v>
      </c>
      <c r="H134" s="85" t="s">
        <v>437</v>
      </c>
      <c r="J134" s="19"/>
    </row>
    <row r="135" spans="1:10" x14ac:dyDescent="0.75">
      <c r="A135" s="12">
        <v>4500</v>
      </c>
      <c r="B135" s="13" t="s">
        <v>578</v>
      </c>
      <c r="C135" s="3">
        <f>SUMIF('Raw Data 10-31-2020'!$A$6:$A$256,'Q4 TB-20'!A135,'Raw Data 10-31-2020'!C$6:C$256)</f>
        <v>0</v>
      </c>
      <c r="D135" s="4"/>
      <c r="E135" s="3">
        <f>SUMIF('Raw Data 10-31-2020'!$A$6:$A$256,'Q4 TB-20'!A135,'Raw Data 10-31-2020'!D$6:D$256)</f>
        <v>19552.12</v>
      </c>
      <c r="F135" s="3"/>
      <c r="G135" s="3">
        <f t="shared" si="1"/>
        <v>-19552.12</v>
      </c>
      <c r="H135" s="85" t="s">
        <v>437</v>
      </c>
      <c r="J135" s="19"/>
    </row>
    <row r="136" spans="1:10" x14ac:dyDescent="0.75">
      <c r="A136" s="12">
        <v>4550</v>
      </c>
      <c r="B136" s="13" t="s">
        <v>579</v>
      </c>
      <c r="C136" s="3">
        <f>SUMIF('Raw Data 10-31-2020'!$A$6:$A$256,'Q4 TB-20'!A136,'Raw Data 10-31-2020'!C$6:C$256)</f>
        <v>0</v>
      </c>
      <c r="D136" s="4"/>
      <c r="E136" s="3">
        <f>SUMIF('Raw Data 10-31-2020'!$A$6:$A$256,'Q4 TB-20'!A136,'Raw Data 10-31-2020'!D$6:D$256)</f>
        <v>552.07999999999993</v>
      </c>
      <c r="F136" s="3"/>
      <c r="G136" s="3">
        <f t="shared" si="1"/>
        <v>-552.07999999999993</v>
      </c>
      <c r="H136" s="85" t="s">
        <v>437</v>
      </c>
      <c r="J136" s="19"/>
    </row>
    <row r="137" spans="1:10" x14ac:dyDescent="0.75">
      <c r="A137" s="12">
        <v>4900</v>
      </c>
      <c r="B137" s="13" t="s">
        <v>572</v>
      </c>
      <c r="C137" s="3">
        <f>SUMIF('Raw Data 10-31-2020'!$A$6:$A$256,'Q4 TB-20'!A137,'Raw Data 10-31-2020'!C$6:C$256)</f>
        <v>0</v>
      </c>
      <c r="D137" s="4"/>
      <c r="E137" s="3">
        <f>SUMIF('Raw Data 10-31-2020'!$A$6:$A$256,'Q4 TB-20'!A137,'Raw Data 10-31-2020'!D$6:D$256)</f>
        <v>0</v>
      </c>
      <c r="F137" s="3"/>
      <c r="G137" s="3">
        <f t="shared" si="1"/>
        <v>0</v>
      </c>
      <c r="H137" s="85" t="s">
        <v>801</v>
      </c>
      <c r="J137" s="19"/>
    </row>
    <row r="138" spans="1:10" x14ac:dyDescent="0.75">
      <c r="A138" s="12">
        <v>4950</v>
      </c>
      <c r="B138" s="13" t="s">
        <v>580</v>
      </c>
      <c r="C138" s="3">
        <f>SUMIF('Raw Data 10-31-2020'!$A$6:$A$256,'Q4 TB-20'!A138,'Raw Data 10-31-2020'!C$6:C$256)</f>
        <v>0</v>
      </c>
      <c r="D138" s="4"/>
      <c r="E138" s="3">
        <f>SUMIF('Raw Data 10-31-2020'!$A$6:$A$256,'Q4 TB-20'!A138,'Raw Data 10-31-2020'!D$6:D$256)</f>
        <v>0</v>
      </c>
      <c r="F138" s="3"/>
      <c r="G138" s="3">
        <f t="shared" si="1"/>
        <v>0</v>
      </c>
      <c r="H138" s="85" t="s">
        <v>437</v>
      </c>
      <c r="J138" s="19"/>
    </row>
    <row r="139" spans="1:10" x14ac:dyDescent="0.75">
      <c r="A139" s="12">
        <v>4980</v>
      </c>
      <c r="B139" s="13" t="s">
        <v>581</v>
      </c>
      <c r="C139" s="3">
        <f>SUMIF('Raw Data 10-31-2020'!$A$6:$A$256,'Q4 TB-20'!A139,'Raw Data 10-31-2020'!C$6:C$256)</f>
        <v>0</v>
      </c>
      <c r="D139" s="4"/>
      <c r="E139" s="3">
        <f>SUMIF('Raw Data 10-31-2020'!$A$6:$A$256,'Q4 TB-20'!A139,'Raw Data 10-31-2020'!D$6:D$256)</f>
        <v>0</v>
      </c>
      <c r="F139" s="3"/>
      <c r="G139" s="3">
        <f t="shared" si="1"/>
        <v>0</v>
      </c>
      <c r="H139" s="85" t="s">
        <v>437</v>
      </c>
      <c r="J139" s="19"/>
    </row>
    <row r="140" spans="1:10" x14ac:dyDescent="0.75">
      <c r="A140" s="12">
        <v>5000</v>
      </c>
      <c r="B140" s="13" t="s">
        <v>582</v>
      </c>
      <c r="C140" s="3">
        <f>SUMIF('Raw Data 10-31-2020'!$A$6:$A$256,'Q4 TB-20'!A140,'Raw Data 10-31-2020'!C$6:C$256)</f>
        <v>0</v>
      </c>
      <c r="D140" s="4"/>
      <c r="E140" s="3">
        <f>SUMIF('Raw Data 10-31-2020'!$A$6:$A$256,'Q4 TB-20'!A140,'Raw Data 10-31-2020'!D$6:D$256)</f>
        <v>0</v>
      </c>
      <c r="F140" s="3"/>
      <c r="G140" s="3">
        <f t="shared" si="1"/>
        <v>0</v>
      </c>
      <c r="H140" s="85" t="s">
        <v>438</v>
      </c>
      <c r="J140" s="19"/>
    </row>
    <row r="141" spans="1:10" x14ac:dyDescent="0.75">
      <c r="A141" s="12">
        <v>5010</v>
      </c>
      <c r="B141" s="13" t="s">
        <v>583</v>
      </c>
      <c r="C141" s="3">
        <f>SUMIF('Raw Data 10-31-2020'!$A$6:$A$256,'Q4 TB-20'!A141,'Raw Data 10-31-2020'!C$6:C$256)</f>
        <v>20700</v>
      </c>
      <c r="D141" s="4"/>
      <c r="E141" s="3">
        <f>SUMIF('Raw Data 10-31-2020'!$A$6:$A$256,'Q4 TB-20'!A141,'Raw Data 10-31-2020'!D$6:D$256)</f>
        <v>0</v>
      </c>
      <c r="F141" s="3"/>
      <c r="G141" s="3">
        <f t="shared" si="1"/>
        <v>20700</v>
      </c>
      <c r="H141" s="85" t="s">
        <v>438</v>
      </c>
      <c r="J141" s="19"/>
    </row>
    <row r="142" spans="1:10" x14ac:dyDescent="0.75">
      <c r="A142" s="12">
        <v>5020</v>
      </c>
      <c r="B142" s="13" t="s">
        <v>584</v>
      </c>
      <c r="C142" s="3">
        <f>SUMIF('Raw Data 10-31-2020'!$A$6:$A$256,'Q4 TB-20'!A142,'Raw Data 10-31-2020'!C$6:C$256)</f>
        <v>25000</v>
      </c>
      <c r="D142" s="4"/>
      <c r="E142" s="3">
        <f>SUMIF('Raw Data 10-31-2020'!$A$6:$A$256,'Q4 TB-20'!A142,'Raw Data 10-31-2020'!D$6:D$256)</f>
        <v>0</v>
      </c>
      <c r="F142" s="3"/>
      <c r="G142" s="3">
        <f t="shared" ref="G142:G205" si="4">C142-E142</f>
        <v>25000</v>
      </c>
      <c r="H142" s="85" t="s">
        <v>438</v>
      </c>
      <c r="J142" s="19"/>
    </row>
    <row r="143" spans="1:10" x14ac:dyDescent="0.75">
      <c r="A143" s="12">
        <v>5030</v>
      </c>
      <c r="B143" s="13" t="s">
        <v>585</v>
      </c>
      <c r="C143" s="3">
        <f>SUMIF('Raw Data 10-31-2020'!$A$6:$A$256,'Q4 TB-20'!A143,'Raw Data 10-31-2020'!C$6:C$256)</f>
        <v>166426.94</v>
      </c>
      <c r="D143" s="4"/>
      <c r="E143" s="3">
        <f>SUMIF('Raw Data 10-31-2020'!$A$6:$A$256,'Q4 TB-20'!A143,'Raw Data 10-31-2020'!D$6:D$256)</f>
        <v>0</v>
      </c>
      <c r="F143" s="3"/>
      <c r="G143" s="3">
        <f t="shared" si="4"/>
        <v>166426.94</v>
      </c>
      <c r="H143" s="85" t="s">
        <v>438</v>
      </c>
      <c r="J143" s="19"/>
    </row>
    <row r="144" spans="1:10" x14ac:dyDescent="0.75">
      <c r="A144" s="12">
        <v>5040</v>
      </c>
      <c r="B144" s="13" t="s">
        <v>586</v>
      </c>
      <c r="C144" s="3">
        <f>SUMIF('Raw Data 10-31-2020'!$A$6:$A$256,'Q4 TB-20'!A144,'Raw Data 10-31-2020'!C$6:C$256)</f>
        <v>0</v>
      </c>
      <c r="D144" s="4"/>
      <c r="E144" s="3">
        <f>SUMIF('Raw Data 10-31-2020'!$A$6:$A$256,'Q4 TB-20'!A144,'Raw Data 10-31-2020'!D$6:D$256)</f>
        <v>0</v>
      </c>
      <c r="F144" s="3"/>
      <c r="G144" s="3">
        <f t="shared" si="4"/>
        <v>0</v>
      </c>
      <c r="H144" s="85" t="s">
        <v>438</v>
      </c>
      <c r="J144" s="19"/>
    </row>
    <row r="145" spans="1:10" x14ac:dyDescent="0.75">
      <c r="A145" s="12">
        <v>5050</v>
      </c>
      <c r="B145" s="13" t="s">
        <v>587</v>
      </c>
      <c r="C145" s="3">
        <f>SUMIF('Raw Data 10-31-2020'!$A$6:$A$256,'Q4 TB-20'!A145,'Raw Data 10-31-2020'!C$6:C$256)</f>
        <v>4855.5</v>
      </c>
      <c r="D145" s="4"/>
      <c r="E145" s="3">
        <f>SUMIF('Raw Data 10-31-2020'!$A$6:$A$256,'Q4 TB-20'!A145,'Raw Data 10-31-2020'!D$6:D$256)</f>
        <v>0</v>
      </c>
      <c r="F145" s="3"/>
      <c r="G145" s="3">
        <f t="shared" si="4"/>
        <v>4855.5</v>
      </c>
      <c r="H145" s="85" t="s">
        <v>438</v>
      </c>
      <c r="J145" s="19"/>
    </row>
    <row r="146" spans="1:10" x14ac:dyDescent="0.75">
      <c r="A146" s="12">
        <v>5060</v>
      </c>
      <c r="B146" s="13" t="s">
        <v>588</v>
      </c>
      <c r="C146" s="3">
        <f>SUMIF('Raw Data 10-31-2020'!$A$6:$A$256,'Q4 TB-20'!A146,'Raw Data 10-31-2020'!C$6:C$256)</f>
        <v>0</v>
      </c>
      <c r="D146" s="4"/>
      <c r="E146" s="3">
        <f>SUMIF('Raw Data 10-31-2020'!$A$6:$A$256,'Q4 TB-20'!A146,'Raw Data 10-31-2020'!D$6:D$256)</f>
        <v>0</v>
      </c>
      <c r="F146" s="3"/>
      <c r="G146" s="3">
        <f t="shared" si="4"/>
        <v>0</v>
      </c>
      <c r="H146" s="85" t="s">
        <v>438</v>
      </c>
      <c r="J146" s="19"/>
    </row>
    <row r="147" spans="1:10" x14ac:dyDescent="0.75">
      <c r="A147" s="12">
        <v>5070</v>
      </c>
      <c r="B147" s="13" t="s">
        <v>589</v>
      </c>
      <c r="C147" s="3">
        <f>SUMIF('Raw Data 10-31-2020'!$A$6:$A$256,'Q4 TB-20'!A147,'Raw Data 10-31-2020'!C$6:C$256)</f>
        <v>0</v>
      </c>
      <c r="D147" s="4"/>
      <c r="E147" s="3">
        <f>SUMIF('Raw Data 10-31-2020'!$A$6:$A$256,'Q4 TB-20'!A147,'Raw Data 10-31-2020'!D$6:D$256)</f>
        <v>0</v>
      </c>
      <c r="F147" s="3"/>
      <c r="G147" s="3">
        <f t="shared" si="4"/>
        <v>0</v>
      </c>
      <c r="H147" s="85" t="s">
        <v>438</v>
      </c>
      <c r="J147" s="19"/>
    </row>
    <row r="148" spans="1:10" x14ac:dyDescent="0.75">
      <c r="A148" s="12">
        <v>5080</v>
      </c>
      <c r="B148" s="13" t="s">
        <v>597</v>
      </c>
      <c r="C148" s="3">
        <f>SUMIF('Raw Data 10-31-2020'!$A$6:$A$256,'Q4 TB-20'!A148,'Raw Data 10-31-2020'!C$6:C$256)</f>
        <v>0</v>
      </c>
      <c r="D148" s="4"/>
      <c r="E148" s="3">
        <f>SUMIF('Raw Data 10-31-2020'!$A$6:$A$256,'Q4 TB-20'!A148,'Raw Data 10-31-2020'!D$6:D$256)</f>
        <v>0</v>
      </c>
      <c r="F148" s="3"/>
      <c r="G148" s="3">
        <f t="shared" si="4"/>
        <v>0</v>
      </c>
      <c r="H148" s="85" t="s">
        <v>438</v>
      </c>
      <c r="J148" s="19"/>
    </row>
    <row r="149" spans="1:10" x14ac:dyDescent="0.75">
      <c r="A149" s="12">
        <v>5085</v>
      </c>
      <c r="B149" s="13" t="s">
        <v>598</v>
      </c>
      <c r="C149" s="3">
        <f>SUMIF('Raw Data 10-31-2020'!$A$6:$A$256,'Q4 TB-20'!A149,'Raw Data 10-31-2020'!C$6:C$256)</f>
        <v>0</v>
      </c>
      <c r="D149" s="4"/>
      <c r="E149" s="3">
        <f>SUMIF('Raw Data 10-31-2020'!$A$6:$A$256,'Q4 TB-20'!A149,'Raw Data 10-31-2020'!D$6:D$256)</f>
        <v>0</v>
      </c>
      <c r="F149" s="3"/>
      <c r="G149" s="3">
        <f t="shared" si="4"/>
        <v>0</v>
      </c>
      <c r="H149" s="85" t="s">
        <v>438</v>
      </c>
      <c r="J149" s="19"/>
    </row>
    <row r="150" spans="1:10" x14ac:dyDescent="0.75">
      <c r="A150" s="12">
        <v>6010</v>
      </c>
      <c r="B150" s="13" t="s">
        <v>590</v>
      </c>
      <c r="C150" s="3">
        <f>SUMIF('Raw Data 10-31-2020'!$A$6:$A$256,'Q4 TB-20'!A150,'Raw Data 10-31-2020'!C$6:C$256)</f>
        <v>0</v>
      </c>
      <c r="D150" s="4"/>
      <c r="E150" s="3">
        <f>SUMIF('Raw Data 10-31-2020'!$A$6:$A$256,'Q4 TB-20'!A150,'Raw Data 10-31-2020'!D$6:D$256)</f>
        <v>0</v>
      </c>
      <c r="F150" s="3"/>
      <c r="G150" s="3">
        <f t="shared" si="4"/>
        <v>0</v>
      </c>
      <c r="H150" s="85" t="s">
        <v>439</v>
      </c>
      <c r="J150" s="19"/>
    </row>
    <row r="151" spans="1:10" x14ac:dyDescent="0.75">
      <c r="A151" s="12">
        <v>6015</v>
      </c>
      <c r="B151" s="13" t="s">
        <v>591</v>
      </c>
      <c r="C151" s="3">
        <f>SUMIF('Raw Data 10-31-2020'!$A$6:$A$256,'Q4 TB-20'!A151,'Raw Data 10-31-2020'!C$6:C$256)</f>
        <v>0</v>
      </c>
      <c r="D151" s="4"/>
      <c r="E151" s="3">
        <f>SUMIF('Raw Data 10-31-2020'!$A$6:$A$256,'Q4 TB-20'!A151,'Raw Data 10-31-2020'!D$6:D$256)</f>
        <v>0</v>
      </c>
      <c r="F151" s="3"/>
      <c r="G151" s="3">
        <f t="shared" si="4"/>
        <v>0</v>
      </c>
      <c r="H151" s="85" t="s">
        <v>439</v>
      </c>
      <c r="J151" s="19"/>
    </row>
    <row r="152" spans="1:10" x14ac:dyDescent="0.75">
      <c r="A152" s="12">
        <v>6020</v>
      </c>
      <c r="B152" s="13" t="s">
        <v>592</v>
      </c>
      <c r="C152" s="3">
        <f>SUMIF('Raw Data 10-31-2020'!$A$6:$A$256,'Q4 TB-20'!A152,'Raw Data 10-31-2020'!C$6:C$256)</f>
        <v>13211</v>
      </c>
      <c r="D152" s="4"/>
      <c r="E152" s="3">
        <f>SUMIF('Raw Data 10-31-2020'!$A$6:$A$256,'Q4 TB-20'!A152,'Raw Data 10-31-2020'!D$6:D$256)</f>
        <v>0</v>
      </c>
      <c r="F152" s="3"/>
      <c r="G152" s="3">
        <f t="shared" si="4"/>
        <v>13211</v>
      </c>
      <c r="H152" s="85" t="s">
        <v>439</v>
      </c>
      <c r="J152" s="19"/>
    </row>
    <row r="153" spans="1:10" x14ac:dyDescent="0.75">
      <c r="A153" s="12">
        <v>6025</v>
      </c>
      <c r="B153" s="13" t="s">
        <v>593</v>
      </c>
      <c r="C153" s="3">
        <f>SUMIF('Raw Data 10-31-2020'!$A$6:$A$256,'Q4 TB-20'!A153,'Raw Data 10-31-2020'!C$6:C$256)</f>
        <v>998.92</v>
      </c>
      <c r="D153" s="4"/>
      <c r="E153" s="3">
        <f>SUMIF('Raw Data 10-31-2020'!$A$6:$A$256,'Q4 TB-20'!A153,'Raw Data 10-31-2020'!D$6:D$256)</f>
        <v>0</v>
      </c>
      <c r="F153" s="3"/>
      <c r="G153" s="3">
        <f t="shared" si="4"/>
        <v>998.92</v>
      </c>
      <c r="H153" s="85" t="s">
        <v>439</v>
      </c>
      <c r="J153" s="19"/>
    </row>
    <row r="154" spans="1:10" x14ac:dyDescent="0.75">
      <c r="A154" s="12">
        <v>6030</v>
      </c>
      <c r="B154" s="13" t="s">
        <v>594</v>
      </c>
      <c r="C154" s="3">
        <f>SUMIF('Raw Data 10-31-2020'!$A$6:$A$256,'Q4 TB-20'!A154,'Raw Data 10-31-2020'!C$6:C$256)</f>
        <v>1958.64</v>
      </c>
      <c r="D154" s="4"/>
      <c r="E154" s="3">
        <f>SUMIF('Raw Data 10-31-2020'!$A$6:$A$256,'Q4 TB-20'!A154,'Raw Data 10-31-2020'!D$6:D$256)</f>
        <v>0</v>
      </c>
      <c r="F154" s="3"/>
      <c r="G154" s="3">
        <f t="shared" si="4"/>
        <v>1958.64</v>
      </c>
      <c r="H154" s="85" t="s">
        <v>439</v>
      </c>
      <c r="J154" s="19"/>
    </row>
    <row r="155" spans="1:10" x14ac:dyDescent="0.75">
      <c r="A155" s="12">
        <v>6035</v>
      </c>
      <c r="B155" s="13" t="s">
        <v>595</v>
      </c>
      <c r="C155" s="3">
        <f>SUMIF('Raw Data 10-31-2020'!$A$6:$A$256,'Q4 TB-20'!A155,'Raw Data 10-31-2020'!C$6:C$256)</f>
        <v>0</v>
      </c>
      <c r="D155" s="4"/>
      <c r="E155" s="3">
        <f>SUMIF('Raw Data 10-31-2020'!$A$6:$A$256,'Q4 TB-20'!A155,'Raw Data 10-31-2020'!D$6:D$256)</f>
        <v>0</v>
      </c>
      <c r="F155" s="3"/>
      <c r="G155" s="3">
        <f t="shared" si="4"/>
        <v>0</v>
      </c>
      <c r="H155" s="85" t="s">
        <v>439</v>
      </c>
      <c r="J155" s="19"/>
    </row>
    <row r="156" spans="1:10" x14ac:dyDescent="0.75">
      <c r="A156" s="12">
        <v>6040</v>
      </c>
      <c r="B156" s="13" t="s">
        <v>596</v>
      </c>
      <c r="C156" s="3">
        <f>SUMIF('Raw Data 10-31-2020'!$A$6:$A$256,'Q4 TB-20'!A156,'Raw Data 10-31-2020'!C$6:C$256)</f>
        <v>0</v>
      </c>
      <c r="D156" s="4"/>
      <c r="E156" s="3">
        <f>SUMIF('Raw Data 10-31-2020'!$A$6:$A$256,'Q4 TB-20'!A156,'Raw Data 10-31-2020'!D$6:D$256)</f>
        <v>0</v>
      </c>
      <c r="F156" s="3"/>
      <c r="G156" s="3">
        <f t="shared" si="4"/>
        <v>0</v>
      </c>
      <c r="H156" s="85" t="s">
        <v>439</v>
      </c>
      <c r="J156" s="19"/>
    </row>
    <row r="157" spans="1:10" x14ac:dyDescent="0.75">
      <c r="A157" s="12">
        <v>6055</v>
      </c>
      <c r="B157" s="13" t="s">
        <v>599</v>
      </c>
      <c r="C157" s="3">
        <f>SUMIF('Raw Data 10-31-2020'!$A$6:$A$256,'Q4 TB-20'!A157,'Raw Data 10-31-2020'!C$6:C$256)</f>
        <v>0</v>
      </c>
      <c r="D157" s="4"/>
      <c r="E157" s="3">
        <f>SUMIF('Raw Data 10-31-2020'!$A$6:$A$256,'Q4 TB-20'!A157,'Raw Data 10-31-2020'!D$6:D$256)</f>
        <v>0</v>
      </c>
      <c r="F157" s="3"/>
      <c r="G157" s="3">
        <f t="shared" si="4"/>
        <v>0</v>
      </c>
      <c r="H157" s="85" t="s">
        <v>439</v>
      </c>
      <c r="J157" s="19"/>
    </row>
    <row r="158" spans="1:10" x14ac:dyDescent="0.75">
      <c r="A158" s="12">
        <v>6060</v>
      </c>
      <c r="B158" s="13" t="s">
        <v>600</v>
      </c>
      <c r="C158" s="3">
        <f>SUMIF('Raw Data 10-31-2020'!$A$6:$A$256,'Q4 TB-20'!A158,'Raw Data 10-31-2020'!C$6:C$256)</f>
        <v>16050</v>
      </c>
      <c r="D158" s="4"/>
      <c r="E158" s="3">
        <f>SUMIF('Raw Data 10-31-2020'!$A$6:$A$256,'Q4 TB-20'!A158,'Raw Data 10-31-2020'!D$6:D$256)</f>
        <v>0</v>
      </c>
      <c r="F158" s="3"/>
      <c r="G158" s="3">
        <f t="shared" si="4"/>
        <v>16050</v>
      </c>
      <c r="H158" s="85" t="s">
        <v>439</v>
      </c>
      <c r="J158" s="19"/>
    </row>
    <row r="159" spans="1:10" x14ac:dyDescent="0.75">
      <c r="A159" s="12">
        <v>6065</v>
      </c>
      <c r="B159" s="13" t="s">
        <v>601</v>
      </c>
      <c r="C159" s="3">
        <f>SUMIF('Raw Data 10-31-2020'!$A$6:$A$256,'Q4 TB-20'!A159,'Raw Data 10-31-2020'!C$6:C$256)</f>
        <v>2500</v>
      </c>
      <c r="D159" s="4"/>
      <c r="E159" s="3">
        <f>SUMIF('Raw Data 10-31-2020'!$A$6:$A$256,'Q4 TB-20'!A159,'Raw Data 10-31-2020'!D$6:D$256)</f>
        <v>0</v>
      </c>
      <c r="F159" s="3"/>
      <c r="G159" s="3">
        <f t="shared" si="4"/>
        <v>2500</v>
      </c>
      <c r="H159" s="85" t="s">
        <v>439</v>
      </c>
      <c r="J159" s="19"/>
    </row>
    <row r="160" spans="1:10" x14ac:dyDescent="0.75">
      <c r="A160" s="12">
        <v>6070</v>
      </c>
      <c r="B160" s="13" t="s">
        <v>602</v>
      </c>
      <c r="C160" s="3">
        <f>SUMIF('Raw Data 10-31-2020'!$A$6:$A$256,'Q4 TB-20'!A160,'Raw Data 10-31-2020'!C$6:C$256)</f>
        <v>0</v>
      </c>
      <c r="D160" s="4"/>
      <c r="E160" s="3">
        <f>SUMIF('Raw Data 10-31-2020'!$A$6:$A$256,'Q4 TB-20'!A160,'Raw Data 10-31-2020'!D$6:D$256)</f>
        <v>0</v>
      </c>
      <c r="F160" s="3"/>
      <c r="G160" s="3">
        <f t="shared" si="4"/>
        <v>0</v>
      </c>
      <c r="H160" s="85" t="s">
        <v>439</v>
      </c>
      <c r="J160" s="19"/>
    </row>
    <row r="161" spans="1:10" x14ac:dyDescent="0.75">
      <c r="A161" s="12">
        <v>6075</v>
      </c>
      <c r="B161" s="13" t="s">
        <v>603</v>
      </c>
      <c r="C161" s="3">
        <f>SUMIF('Raw Data 10-31-2020'!$A$6:$A$256,'Q4 TB-20'!A161,'Raw Data 10-31-2020'!C$6:C$256)</f>
        <v>75101.2</v>
      </c>
      <c r="D161" s="4"/>
      <c r="E161" s="3">
        <f>SUMIF('Raw Data 10-31-2020'!$A$6:$A$256,'Q4 TB-20'!A161,'Raw Data 10-31-2020'!D$6:D$256)</f>
        <v>0</v>
      </c>
      <c r="F161" s="3"/>
      <c r="G161" s="3">
        <f t="shared" si="4"/>
        <v>75101.2</v>
      </c>
      <c r="H161" s="85" t="s">
        <v>439</v>
      </c>
      <c r="J161" s="19"/>
    </row>
    <row r="162" spans="1:10" x14ac:dyDescent="0.75">
      <c r="A162" s="12">
        <v>6080</v>
      </c>
      <c r="B162" s="13" t="s">
        <v>604</v>
      </c>
      <c r="C162" s="3">
        <f>SUMIF('Raw Data 10-31-2020'!$A$6:$A$256,'Q4 TB-20'!A162,'Raw Data 10-31-2020'!C$6:C$256)</f>
        <v>0</v>
      </c>
      <c r="D162" s="4"/>
      <c r="E162" s="3">
        <f>SUMIF('Raw Data 10-31-2020'!$A$6:$A$256,'Q4 TB-20'!A162,'Raw Data 10-31-2020'!D$6:D$256)</f>
        <v>0</v>
      </c>
      <c r="F162" s="3"/>
      <c r="G162" s="3">
        <f t="shared" si="4"/>
        <v>0</v>
      </c>
      <c r="H162" s="85" t="s">
        <v>439</v>
      </c>
      <c r="J162" s="19"/>
    </row>
    <row r="163" spans="1:10" x14ac:dyDescent="0.75">
      <c r="A163" s="12">
        <v>6085</v>
      </c>
      <c r="B163" s="13" t="s">
        <v>605</v>
      </c>
      <c r="C163" s="3">
        <f>SUMIF('Raw Data 10-31-2020'!$A$6:$A$256,'Q4 TB-20'!A163,'Raw Data 10-31-2020'!C$6:C$256)</f>
        <v>3094.07</v>
      </c>
      <c r="D163" s="4"/>
      <c r="E163" s="3">
        <f>SUMIF('Raw Data 10-31-2020'!$A$6:$A$256,'Q4 TB-20'!A163,'Raw Data 10-31-2020'!D$6:D$256)</f>
        <v>0</v>
      </c>
      <c r="F163" s="3"/>
      <c r="G163" s="3">
        <f t="shared" si="4"/>
        <v>3094.07</v>
      </c>
      <c r="H163" s="85" t="s">
        <v>439</v>
      </c>
      <c r="J163" s="19"/>
    </row>
    <row r="164" spans="1:10" x14ac:dyDescent="0.75">
      <c r="A164" s="12">
        <v>6090</v>
      </c>
      <c r="B164" s="13" t="s">
        <v>606</v>
      </c>
      <c r="C164" s="3">
        <f>SUMIF('Raw Data 10-31-2020'!$A$6:$A$256,'Q4 TB-20'!A164,'Raw Data 10-31-2020'!C$6:C$256)</f>
        <v>85</v>
      </c>
      <c r="D164" s="4"/>
      <c r="E164" s="3">
        <f>SUMIF('Raw Data 10-31-2020'!$A$6:$A$256,'Q4 TB-20'!A164,'Raw Data 10-31-2020'!D$6:D$256)</f>
        <v>0</v>
      </c>
      <c r="F164" s="3"/>
      <c r="G164" s="3">
        <f t="shared" si="4"/>
        <v>85</v>
      </c>
      <c r="H164" s="85" t="s">
        <v>439</v>
      </c>
      <c r="J164" s="19"/>
    </row>
    <row r="165" spans="1:10" x14ac:dyDescent="0.75">
      <c r="A165" s="12">
        <v>6095</v>
      </c>
      <c r="B165" s="13" t="s">
        <v>607</v>
      </c>
      <c r="C165" s="3">
        <f>SUMIF('Raw Data 10-31-2020'!$A$6:$A$256,'Q4 TB-20'!A165,'Raw Data 10-31-2020'!C$6:C$256)</f>
        <v>0</v>
      </c>
      <c r="D165" s="4"/>
      <c r="E165" s="3">
        <f>SUMIF('Raw Data 10-31-2020'!$A$6:$A$256,'Q4 TB-20'!A165,'Raw Data 10-31-2020'!D$6:D$256)</f>
        <v>0</v>
      </c>
      <c r="F165" s="3"/>
      <c r="G165" s="3">
        <f t="shared" si="4"/>
        <v>0</v>
      </c>
      <c r="H165" s="85" t="s">
        <v>439</v>
      </c>
      <c r="J165" s="19"/>
    </row>
    <row r="166" spans="1:10" x14ac:dyDescent="0.75">
      <c r="A166" s="12">
        <v>6100</v>
      </c>
      <c r="B166" s="13" t="s">
        <v>608</v>
      </c>
      <c r="C166" s="3">
        <f>SUMIF('Raw Data 10-31-2020'!$A$6:$A$256,'Q4 TB-20'!A166,'Raw Data 10-31-2020'!C$6:C$256)</f>
        <v>540.24</v>
      </c>
      <c r="D166" s="4"/>
      <c r="E166" s="3">
        <f>SUMIF('Raw Data 10-31-2020'!$A$6:$A$256,'Q4 TB-20'!A166,'Raw Data 10-31-2020'!D$6:D$256)</f>
        <v>0</v>
      </c>
      <c r="F166" s="3"/>
      <c r="G166" s="3">
        <f t="shared" si="4"/>
        <v>540.24</v>
      </c>
      <c r="H166" s="85" t="s">
        <v>439</v>
      </c>
      <c r="J166" s="19"/>
    </row>
    <row r="167" spans="1:10" x14ac:dyDescent="0.75">
      <c r="A167" s="12">
        <v>6105</v>
      </c>
      <c r="B167" s="13" t="s">
        <v>609</v>
      </c>
      <c r="C167" s="3">
        <f>SUMIF('Raw Data 10-31-2020'!$A$6:$A$256,'Q4 TB-20'!A167,'Raw Data 10-31-2020'!C$6:C$256)</f>
        <v>4123.0200000000004</v>
      </c>
      <c r="D167" s="4"/>
      <c r="E167" s="3">
        <f>SUMIF('Raw Data 10-31-2020'!$A$6:$A$256,'Q4 TB-20'!A167,'Raw Data 10-31-2020'!D$6:D$256)</f>
        <v>0</v>
      </c>
      <c r="F167" s="3"/>
      <c r="G167" s="3">
        <f t="shared" si="4"/>
        <v>4123.0200000000004</v>
      </c>
      <c r="H167" s="85" t="s">
        <v>439</v>
      </c>
      <c r="J167" s="19"/>
    </row>
    <row r="168" spans="1:10" x14ac:dyDescent="0.75">
      <c r="A168" s="12">
        <v>6110</v>
      </c>
      <c r="B168" s="13" t="s">
        <v>610</v>
      </c>
      <c r="C168" s="3">
        <f>SUMIF('Raw Data 10-31-2020'!$A$6:$A$256,'Q4 TB-20'!A168,'Raw Data 10-31-2020'!C$6:C$256)</f>
        <v>0</v>
      </c>
      <c r="D168" s="4"/>
      <c r="E168" s="3">
        <f>SUMIF('Raw Data 10-31-2020'!$A$6:$A$256,'Q4 TB-20'!A168,'Raw Data 10-31-2020'!D$6:D$256)</f>
        <v>0</v>
      </c>
      <c r="F168" s="3"/>
      <c r="G168" s="3">
        <f t="shared" si="4"/>
        <v>0</v>
      </c>
      <c r="H168" s="85" t="s">
        <v>439</v>
      </c>
      <c r="J168" s="19"/>
    </row>
    <row r="169" spans="1:10" x14ac:dyDescent="0.75">
      <c r="A169" s="12">
        <v>6115</v>
      </c>
      <c r="B169" s="13" t="s">
        <v>611</v>
      </c>
      <c r="C169" s="3">
        <f>SUMIF('Raw Data 10-31-2020'!$A$6:$A$256,'Q4 TB-20'!A169,'Raw Data 10-31-2020'!C$6:C$256)</f>
        <v>0</v>
      </c>
      <c r="D169" s="4"/>
      <c r="E169" s="3">
        <f>SUMIF('Raw Data 10-31-2020'!$A$6:$A$256,'Q4 TB-20'!A169,'Raw Data 10-31-2020'!D$6:D$256)</f>
        <v>0</v>
      </c>
      <c r="F169" s="3"/>
      <c r="G169" s="3">
        <f t="shared" si="4"/>
        <v>0</v>
      </c>
      <c r="H169" s="85" t="s">
        <v>439</v>
      </c>
      <c r="J169" s="19"/>
    </row>
    <row r="170" spans="1:10" x14ac:dyDescent="0.75">
      <c r="A170" s="12">
        <v>6120</v>
      </c>
      <c r="B170" s="13" t="s">
        <v>612</v>
      </c>
      <c r="C170" s="3">
        <f>SUMIF('Raw Data 10-31-2020'!$A$6:$A$256,'Q4 TB-20'!A170,'Raw Data 10-31-2020'!C$6:C$256)</f>
        <v>8572.76</v>
      </c>
      <c r="D170" s="4"/>
      <c r="E170" s="3">
        <f>SUMIF('Raw Data 10-31-2020'!$A$6:$A$256,'Q4 TB-20'!A170,'Raw Data 10-31-2020'!D$6:D$256)</f>
        <v>0</v>
      </c>
      <c r="F170" s="3"/>
      <c r="G170" s="3">
        <f t="shared" si="4"/>
        <v>8572.76</v>
      </c>
      <c r="H170" s="85" t="s">
        <v>439</v>
      </c>
      <c r="J170" s="19"/>
    </row>
    <row r="171" spans="1:10" x14ac:dyDescent="0.75">
      <c r="A171" s="12">
        <v>6125</v>
      </c>
      <c r="B171" s="13" t="s">
        <v>613</v>
      </c>
      <c r="C171" s="3">
        <f>SUMIF('Raw Data 10-31-2020'!$A$6:$A$256,'Q4 TB-20'!A171,'Raw Data 10-31-2020'!C$6:C$256)</f>
        <v>0</v>
      </c>
      <c r="D171" s="4"/>
      <c r="E171" s="3">
        <f>SUMIF('Raw Data 10-31-2020'!$A$6:$A$256,'Q4 TB-20'!A171,'Raw Data 10-31-2020'!D$6:D$256)</f>
        <v>0</v>
      </c>
      <c r="F171" s="3"/>
      <c r="G171" s="3">
        <f t="shared" si="4"/>
        <v>0</v>
      </c>
      <c r="H171" s="85" t="s">
        <v>439</v>
      </c>
      <c r="J171" s="19"/>
    </row>
    <row r="172" spans="1:10" x14ac:dyDescent="0.75">
      <c r="A172" s="12">
        <v>6130</v>
      </c>
      <c r="B172" s="13" t="s">
        <v>614</v>
      </c>
      <c r="C172" s="3">
        <f>SUMIF('Raw Data 10-31-2020'!$A$6:$A$256,'Q4 TB-20'!A172,'Raw Data 10-31-2020'!C$6:C$256)</f>
        <v>0</v>
      </c>
      <c r="D172" s="4"/>
      <c r="E172" s="3">
        <f>SUMIF('Raw Data 10-31-2020'!$A$6:$A$256,'Q4 TB-20'!A172,'Raw Data 10-31-2020'!D$6:D$256)</f>
        <v>0</v>
      </c>
      <c r="F172" s="3"/>
      <c r="G172" s="3">
        <f t="shared" si="4"/>
        <v>0</v>
      </c>
      <c r="H172" s="85" t="s">
        <v>439</v>
      </c>
      <c r="J172" s="19"/>
    </row>
    <row r="173" spans="1:10" x14ac:dyDescent="0.75">
      <c r="A173" s="12">
        <v>6135</v>
      </c>
      <c r="B173" s="13" t="s">
        <v>615</v>
      </c>
      <c r="C173" s="3">
        <f>SUMIF('Raw Data 10-31-2020'!$A$6:$A$256,'Q4 TB-20'!A173,'Raw Data 10-31-2020'!C$6:C$256)</f>
        <v>20055.490000000002</v>
      </c>
      <c r="D173" s="4"/>
      <c r="E173" s="3">
        <f>SUMIF('Raw Data 10-31-2020'!$A$6:$A$256,'Q4 TB-20'!A173,'Raw Data 10-31-2020'!D$6:D$256)</f>
        <v>0</v>
      </c>
      <c r="F173" s="3"/>
      <c r="G173" s="3">
        <f t="shared" si="4"/>
        <v>20055.490000000002</v>
      </c>
      <c r="H173" s="85" t="s">
        <v>439</v>
      </c>
      <c r="J173" s="19"/>
    </row>
    <row r="174" spans="1:10" x14ac:dyDescent="0.75">
      <c r="A174" s="12">
        <v>6140</v>
      </c>
      <c r="B174" s="13" t="s">
        <v>616</v>
      </c>
      <c r="C174" s="3">
        <f>SUMIF('Raw Data 10-31-2020'!$A$6:$A$256,'Q4 TB-20'!A174,'Raw Data 10-31-2020'!C$6:C$256)</f>
        <v>0</v>
      </c>
      <c r="D174" s="4"/>
      <c r="E174" s="3">
        <f>SUMIF('Raw Data 10-31-2020'!$A$6:$A$256,'Q4 TB-20'!A174,'Raw Data 10-31-2020'!D$6:D$256)</f>
        <v>0</v>
      </c>
      <c r="F174" s="3"/>
      <c r="G174" s="3">
        <f t="shared" si="4"/>
        <v>0</v>
      </c>
      <c r="H174" s="85" t="s">
        <v>439</v>
      </c>
      <c r="J174" s="19"/>
    </row>
    <row r="175" spans="1:10" x14ac:dyDescent="0.75">
      <c r="A175" s="12">
        <v>6145</v>
      </c>
      <c r="B175" s="13" t="s">
        <v>617</v>
      </c>
      <c r="C175" s="3">
        <f>SUMIF('Raw Data 10-31-2020'!$A$6:$A$256,'Q4 TB-20'!A175,'Raw Data 10-31-2020'!C$6:C$256)</f>
        <v>0</v>
      </c>
      <c r="D175" s="4"/>
      <c r="E175" s="3">
        <f>SUMIF('Raw Data 10-31-2020'!$A$6:$A$256,'Q4 TB-20'!A175,'Raw Data 10-31-2020'!D$6:D$256)</f>
        <v>0</v>
      </c>
      <c r="F175" s="3"/>
      <c r="G175" s="3">
        <f t="shared" si="4"/>
        <v>0</v>
      </c>
      <c r="H175" s="85" t="s">
        <v>439</v>
      </c>
      <c r="J175" s="19"/>
    </row>
    <row r="176" spans="1:10" x14ac:dyDescent="0.75">
      <c r="A176" s="12">
        <v>6150</v>
      </c>
      <c r="B176" s="13" t="s">
        <v>618</v>
      </c>
      <c r="C176" s="3">
        <f>SUMIF('Raw Data 10-31-2020'!$A$6:$A$256,'Q4 TB-20'!A176,'Raw Data 10-31-2020'!C$6:C$256)</f>
        <v>6163</v>
      </c>
      <c r="D176" s="4"/>
      <c r="E176" s="3">
        <f>SUMIF('Raw Data 10-31-2020'!$A$6:$A$256,'Q4 TB-20'!A176,'Raw Data 10-31-2020'!D$6:D$256)</f>
        <v>0</v>
      </c>
      <c r="F176" s="3"/>
      <c r="G176" s="3">
        <f t="shared" si="4"/>
        <v>6163</v>
      </c>
      <c r="H176" s="85" t="s">
        <v>439</v>
      </c>
      <c r="J176" s="19"/>
    </row>
    <row r="177" spans="1:10" x14ac:dyDescent="0.75">
      <c r="A177" s="12">
        <v>6155</v>
      </c>
      <c r="B177" s="13" t="s">
        <v>619</v>
      </c>
      <c r="C177" s="3">
        <f>SUMIF('Raw Data 10-31-2020'!$A$6:$A$256,'Q4 TB-20'!A177,'Raw Data 10-31-2020'!C$6:C$256)</f>
        <v>14364.86</v>
      </c>
      <c r="D177" s="4"/>
      <c r="E177" s="3">
        <f>SUMIF('Raw Data 10-31-2020'!$A$6:$A$256,'Q4 TB-20'!A177,'Raw Data 10-31-2020'!D$6:D$256)</f>
        <v>0</v>
      </c>
      <c r="F177" s="3"/>
      <c r="G177" s="3">
        <f t="shared" si="4"/>
        <v>14364.86</v>
      </c>
      <c r="H177" s="85" t="s">
        <v>439</v>
      </c>
      <c r="J177" s="19"/>
    </row>
    <row r="178" spans="1:10" x14ac:dyDescent="0.75">
      <c r="A178" s="12">
        <v>6200</v>
      </c>
      <c r="B178" s="13" t="s">
        <v>625</v>
      </c>
      <c r="C178" s="3">
        <f>SUMIF('Raw Data 10-31-2020'!$A$6:$A$256,'Q4 TB-20'!A178,'Raw Data 10-31-2020'!C$6:C$256)</f>
        <v>0</v>
      </c>
      <c r="D178" s="4"/>
      <c r="E178" s="3">
        <f>SUMIF('Raw Data 10-31-2020'!$A$6:$A$256,'Q4 TB-20'!A178,'Raw Data 10-31-2020'!D$6:D$256)</f>
        <v>0</v>
      </c>
      <c r="F178" s="3"/>
      <c r="G178" s="3">
        <f t="shared" si="4"/>
        <v>0</v>
      </c>
      <c r="H178" s="85" t="s">
        <v>439</v>
      </c>
      <c r="J178" s="19"/>
    </row>
    <row r="179" spans="1:10" x14ac:dyDescent="0.75">
      <c r="A179" s="12">
        <v>6205</v>
      </c>
      <c r="B179" s="13" t="s">
        <v>626</v>
      </c>
      <c r="C179" s="3">
        <f>SUMIF('Raw Data 10-31-2020'!$A$6:$A$256,'Q4 TB-20'!A179,'Raw Data 10-31-2020'!C$6:C$256)</f>
        <v>0</v>
      </c>
      <c r="D179" s="4"/>
      <c r="E179" s="3">
        <f>SUMIF('Raw Data 10-31-2020'!$A$6:$A$256,'Q4 TB-20'!A179,'Raw Data 10-31-2020'!D$6:D$256)</f>
        <v>0</v>
      </c>
      <c r="F179" s="3"/>
      <c r="G179" s="3">
        <f t="shared" si="4"/>
        <v>0</v>
      </c>
      <c r="H179" s="85" t="s">
        <v>439</v>
      </c>
      <c r="J179" s="19"/>
    </row>
    <row r="180" spans="1:10" x14ac:dyDescent="0.75">
      <c r="A180" s="12">
        <v>6210</v>
      </c>
      <c r="B180" s="13" t="s">
        <v>627</v>
      </c>
      <c r="C180" s="3">
        <f>SUMIF('Raw Data 10-31-2020'!$A$6:$A$256,'Q4 TB-20'!A180,'Raw Data 10-31-2020'!C$6:C$256)</f>
        <v>977.67</v>
      </c>
      <c r="D180" s="4"/>
      <c r="E180" s="3">
        <f>SUMIF('Raw Data 10-31-2020'!$A$6:$A$256,'Q4 TB-20'!A180,'Raw Data 10-31-2020'!D$6:D$256)</f>
        <v>0</v>
      </c>
      <c r="F180" s="3"/>
      <c r="G180" s="3">
        <f t="shared" si="4"/>
        <v>977.67</v>
      </c>
      <c r="H180" s="85" t="s">
        <v>439</v>
      </c>
      <c r="J180" s="19"/>
    </row>
    <row r="181" spans="1:10" x14ac:dyDescent="0.75">
      <c r="A181" s="12">
        <v>6215</v>
      </c>
      <c r="B181" s="13" t="s">
        <v>628</v>
      </c>
      <c r="C181" s="3">
        <f>SUMIF('Raw Data 10-31-2020'!$A$6:$A$256,'Q4 TB-20'!A181,'Raw Data 10-31-2020'!C$6:C$256)</f>
        <v>1303.83</v>
      </c>
      <c r="D181" s="4"/>
      <c r="E181" s="3">
        <f>SUMIF('Raw Data 10-31-2020'!$A$6:$A$256,'Q4 TB-20'!A181,'Raw Data 10-31-2020'!D$6:D$256)</f>
        <v>0</v>
      </c>
      <c r="F181" s="3"/>
      <c r="G181" s="3">
        <f t="shared" si="4"/>
        <v>1303.83</v>
      </c>
      <c r="H181" s="85" t="s">
        <v>439</v>
      </c>
      <c r="J181" s="19"/>
    </row>
    <row r="182" spans="1:10" x14ac:dyDescent="0.75">
      <c r="A182" s="12">
        <v>6220</v>
      </c>
      <c r="B182" s="13" t="s">
        <v>629</v>
      </c>
      <c r="C182" s="3">
        <f>SUMIF('Raw Data 10-31-2020'!$A$6:$A$256,'Q4 TB-20'!A182,'Raw Data 10-31-2020'!C$6:C$256)</f>
        <v>8632.43</v>
      </c>
      <c r="D182" s="4"/>
      <c r="E182" s="3">
        <f>SUMIF('Raw Data 10-31-2020'!$A$6:$A$256,'Q4 TB-20'!A182,'Raw Data 10-31-2020'!D$6:D$256)</f>
        <v>0</v>
      </c>
      <c r="F182" s="3"/>
      <c r="G182" s="3">
        <f t="shared" si="4"/>
        <v>8632.43</v>
      </c>
      <c r="H182" s="85" t="s">
        <v>439</v>
      </c>
      <c r="J182" s="19"/>
    </row>
    <row r="183" spans="1:10" x14ac:dyDescent="0.75">
      <c r="A183" s="12">
        <v>6225</v>
      </c>
      <c r="B183" s="13" t="s">
        <v>630</v>
      </c>
      <c r="C183" s="3">
        <f>SUMIF('Raw Data 10-31-2020'!$A$6:$A$256,'Q4 TB-20'!A183,'Raw Data 10-31-2020'!C$6:C$256)</f>
        <v>0</v>
      </c>
      <c r="D183" s="4"/>
      <c r="E183" s="3">
        <f>SUMIF('Raw Data 10-31-2020'!$A$6:$A$256,'Q4 TB-20'!A183,'Raw Data 10-31-2020'!D$6:D$256)</f>
        <v>0</v>
      </c>
      <c r="F183" s="3"/>
      <c r="G183" s="3">
        <f t="shared" si="4"/>
        <v>0</v>
      </c>
      <c r="H183" s="85" t="s">
        <v>439</v>
      </c>
      <c r="J183" s="19"/>
    </row>
    <row r="184" spans="1:10" x14ac:dyDescent="0.75">
      <c r="A184" s="12">
        <v>6230</v>
      </c>
      <c r="B184" s="13" t="s">
        <v>631</v>
      </c>
      <c r="C184" s="3">
        <f>SUMIF('Raw Data 10-31-2020'!$A$6:$A$256,'Q4 TB-20'!A184,'Raw Data 10-31-2020'!C$6:C$256)</f>
        <v>0</v>
      </c>
      <c r="D184" s="4"/>
      <c r="E184" s="3">
        <f>SUMIF('Raw Data 10-31-2020'!$A$6:$A$256,'Q4 TB-20'!A184,'Raw Data 10-31-2020'!D$6:D$256)</f>
        <v>0</v>
      </c>
      <c r="F184" s="3"/>
      <c r="G184" s="3">
        <f t="shared" si="4"/>
        <v>0</v>
      </c>
      <c r="H184" s="85" t="s">
        <v>439</v>
      </c>
      <c r="J184" s="19"/>
    </row>
    <row r="185" spans="1:10" x14ac:dyDescent="0.75">
      <c r="A185" s="12">
        <v>6235</v>
      </c>
      <c r="B185" s="13" t="s">
        <v>632</v>
      </c>
      <c r="C185" s="3">
        <f>SUMIF('Raw Data 10-31-2020'!$A$6:$A$256,'Q4 TB-20'!A185,'Raw Data 10-31-2020'!C$6:C$256)</f>
        <v>0</v>
      </c>
      <c r="D185" s="4"/>
      <c r="E185" s="3">
        <f>SUMIF('Raw Data 10-31-2020'!$A$6:$A$256,'Q4 TB-20'!A185,'Raw Data 10-31-2020'!D$6:D$256)</f>
        <v>0</v>
      </c>
      <c r="F185" s="3"/>
      <c r="G185" s="3">
        <f t="shared" si="4"/>
        <v>0</v>
      </c>
      <c r="H185" s="85" t="s">
        <v>439</v>
      </c>
      <c r="J185" s="19"/>
    </row>
    <row r="186" spans="1:10" x14ac:dyDescent="0.75">
      <c r="A186" s="12">
        <v>6240</v>
      </c>
      <c r="B186" s="13" t="s">
        <v>633</v>
      </c>
      <c r="C186" s="3">
        <f>SUMIF('Raw Data 10-31-2020'!$A$6:$A$256,'Q4 TB-20'!A186,'Raw Data 10-31-2020'!C$6:C$256)</f>
        <v>0</v>
      </c>
      <c r="D186" s="4"/>
      <c r="E186" s="3">
        <f>SUMIF('Raw Data 10-31-2020'!$A$6:$A$256,'Q4 TB-20'!A186,'Raw Data 10-31-2020'!D$6:D$256)</f>
        <v>0</v>
      </c>
      <c r="F186" s="3"/>
      <c r="G186" s="3">
        <f t="shared" si="4"/>
        <v>0</v>
      </c>
      <c r="H186" s="85" t="s">
        <v>439</v>
      </c>
      <c r="J186" s="19"/>
    </row>
    <row r="187" spans="1:10" x14ac:dyDescent="0.75">
      <c r="A187" s="12">
        <v>6245</v>
      </c>
      <c r="B187" s="13" t="s">
        <v>634</v>
      </c>
      <c r="C187" s="3">
        <f>SUMIF('Raw Data 10-31-2020'!$A$6:$A$256,'Q4 TB-20'!A187,'Raw Data 10-31-2020'!C$6:C$256)</f>
        <v>1892.34</v>
      </c>
      <c r="D187" s="4"/>
      <c r="E187" s="3">
        <f>SUMIF('Raw Data 10-31-2020'!$A$6:$A$256,'Q4 TB-20'!A187,'Raw Data 10-31-2020'!D$6:D$256)</f>
        <v>0</v>
      </c>
      <c r="F187" s="3"/>
      <c r="G187" s="3">
        <f t="shared" si="4"/>
        <v>1892.34</v>
      </c>
      <c r="H187" s="85" t="s">
        <v>439</v>
      </c>
      <c r="J187" s="19"/>
    </row>
    <row r="188" spans="1:10" x14ac:dyDescent="0.75">
      <c r="A188" s="12">
        <v>6250</v>
      </c>
      <c r="B188" s="13" t="s">
        <v>635</v>
      </c>
      <c r="C188" s="3">
        <f>SUMIF('Raw Data 10-31-2020'!$A$6:$A$256,'Q4 TB-20'!A188,'Raw Data 10-31-2020'!C$6:C$256)</f>
        <v>0</v>
      </c>
      <c r="D188" s="4"/>
      <c r="E188" s="3">
        <f>SUMIF('Raw Data 10-31-2020'!$A$6:$A$256,'Q4 TB-20'!A188,'Raw Data 10-31-2020'!D$6:D$256)</f>
        <v>0</v>
      </c>
      <c r="F188" s="3"/>
      <c r="G188" s="3">
        <f t="shared" si="4"/>
        <v>0</v>
      </c>
      <c r="H188" s="85" t="s">
        <v>439</v>
      </c>
      <c r="J188" s="19"/>
    </row>
    <row r="189" spans="1:10" x14ac:dyDescent="0.75">
      <c r="A189" s="14">
        <v>6255</v>
      </c>
      <c r="B189" s="13" t="s">
        <v>636</v>
      </c>
      <c r="C189" s="3">
        <f>SUMIF('Raw Data 10-31-2020'!$A$6:$A$256,'Q4 TB-20'!A189,'Raw Data 10-31-2020'!C$6:C$256)</f>
        <v>40.22</v>
      </c>
      <c r="D189" s="4"/>
      <c r="E189" s="3">
        <f>SUMIF('Raw Data 10-31-2020'!$A$6:$A$256,'Q4 TB-20'!A189,'Raw Data 10-31-2020'!D$6:D$256)</f>
        <v>0</v>
      </c>
      <c r="F189" s="3"/>
      <c r="G189" s="3">
        <f t="shared" si="4"/>
        <v>40.22</v>
      </c>
      <c r="H189" s="85" t="s">
        <v>439</v>
      </c>
      <c r="J189" s="19"/>
    </row>
    <row r="190" spans="1:10" x14ac:dyDescent="0.75">
      <c r="A190" s="14">
        <v>6260</v>
      </c>
      <c r="B190" s="13" t="s">
        <v>637</v>
      </c>
      <c r="C190" s="3">
        <f>SUMIF('Raw Data 10-31-2020'!$A$6:$A$256,'Q4 TB-20'!A190,'Raw Data 10-31-2020'!C$6:C$256)</f>
        <v>640.27</v>
      </c>
      <c r="D190" s="4"/>
      <c r="E190" s="3">
        <f>SUMIF('Raw Data 10-31-2020'!$A$6:$A$256,'Q4 TB-20'!A190,'Raw Data 10-31-2020'!D$6:D$256)</f>
        <v>0</v>
      </c>
      <c r="F190" s="3"/>
      <c r="G190" s="3">
        <f t="shared" si="4"/>
        <v>640.27</v>
      </c>
      <c r="H190" s="85" t="s">
        <v>439</v>
      </c>
      <c r="J190" s="19"/>
    </row>
    <row r="191" spans="1:10" x14ac:dyDescent="0.75">
      <c r="A191" s="14">
        <v>6265</v>
      </c>
      <c r="B191" s="13" t="s">
        <v>638</v>
      </c>
      <c r="C191" s="3">
        <f>SUMIF('Raw Data 10-31-2020'!$A$6:$A$256,'Q4 TB-20'!A191,'Raw Data 10-31-2020'!C$6:C$256)</f>
        <v>0</v>
      </c>
      <c r="D191" s="4"/>
      <c r="E191" s="3">
        <f>SUMIF('Raw Data 10-31-2020'!$A$6:$A$256,'Q4 TB-20'!A191,'Raw Data 10-31-2020'!D$6:D$256)</f>
        <v>0</v>
      </c>
      <c r="F191" s="3"/>
      <c r="G191" s="3">
        <f t="shared" si="4"/>
        <v>0</v>
      </c>
      <c r="H191" s="85" t="s">
        <v>439</v>
      </c>
      <c r="J191" s="19"/>
    </row>
    <row r="192" spans="1:10" x14ac:dyDescent="0.75">
      <c r="A192" s="14">
        <v>6270</v>
      </c>
      <c r="B192" s="13" t="s">
        <v>639</v>
      </c>
      <c r="C192" s="3">
        <f>SUMIF('Raw Data 10-31-2020'!$A$6:$A$256,'Q4 TB-20'!A192,'Raw Data 10-31-2020'!C$6:C$256)</f>
        <v>300405.34000000003</v>
      </c>
      <c r="D192" s="4"/>
      <c r="E192" s="3">
        <f>SUMIF('Raw Data 10-31-2020'!$A$6:$A$256,'Q4 TB-20'!A192,'Raw Data 10-31-2020'!D$6:D$256)</f>
        <v>0</v>
      </c>
      <c r="F192" s="3"/>
      <c r="G192" s="3">
        <f t="shared" si="4"/>
        <v>300405.34000000003</v>
      </c>
      <c r="H192" s="85" t="s">
        <v>439</v>
      </c>
      <c r="J192" s="19"/>
    </row>
    <row r="193" spans="1:10" s="6" customFormat="1" x14ac:dyDescent="0.75">
      <c r="A193" s="12">
        <v>6275</v>
      </c>
      <c r="B193" s="13" t="s">
        <v>640</v>
      </c>
      <c r="C193" s="3">
        <f>SUMIF('Raw Data 10-31-2020'!$A$6:$A$256,'Q4 TB-20'!A193,'Raw Data 10-31-2020'!C$6:C$256)</f>
        <v>110633.46</v>
      </c>
      <c r="D193" s="4"/>
      <c r="E193" s="3">
        <f>SUMIF('Raw Data 10-31-2020'!$A$6:$A$256,'Q4 TB-20'!A193,'Raw Data 10-31-2020'!D$6:D$256)</f>
        <v>0</v>
      </c>
      <c r="F193" s="3"/>
      <c r="G193" s="3">
        <f t="shared" si="4"/>
        <v>110633.46</v>
      </c>
      <c r="H193" s="85" t="s">
        <v>439</v>
      </c>
      <c r="I193" s="85"/>
      <c r="J193" s="19"/>
    </row>
    <row r="194" spans="1:10" x14ac:dyDescent="0.75">
      <c r="A194" s="14">
        <v>6280</v>
      </c>
      <c r="B194" s="13" t="s">
        <v>641</v>
      </c>
      <c r="C194" s="3">
        <f>SUMIF('Raw Data 10-31-2020'!$A$6:$A$256,'Q4 TB-20'!A194,'Raw Data 10-31-2020'!C$6:C$256)</f>
        <v>40097.67</v>
      </c>
      <c r="D194" s="4"/>
      <c r="E194" s="3">
        <f>SUMIF('Raw Data 10-31-2020'!$A$6:$A$256,'Q4 TB-20'!A194,'Raw Data 10-31-2020'!D$6:D$256)</f>
        <v>0</v>
      </c>
      <c r="F194" s="3"/>
      <c r="G194" s="3">
        <f t="shared" si="4"/>
        <v>40097.67</v>
      </c>
      <c r="H194" s="85" t="s">
        <v>439</v>
      </c>
      <c r="J194" s="19"/>
    </row>
    <row r="195" spans="1:10" x14ac:dyDescent="0.75">
      <c r="A195" s="12">
        <v>6285</v>
      </c>
      <c r="B195" s="13" t="s">
        <v>642</v>
      </c>
      <c r="C195" s="3">
        <f>SUMIF('Raw Data 10-31-2020'!$A$6:$A$256,'Q4 TB-20'!A195,'Raw Data 10-31-2020'!C$6:C$256)</f>
        <v>0</v>
      </c>
      <c r="D195" s="4"/>
      <c r="E195" s="3">
        <f>SUMIF('Raw Data 10-31-2020'!$A$6:$A$256,'Q4 TB-20'!A195,'Raw Data 10-31-2020'!D$6:D$256)</f>
        <v>0</v>
      </c>
      <c r="F195" s="3"/>
      <c r="G195" s="3">
        <f t="shared" si="4"/>
        <v>0</v>
      </c>
      <c r="H195" s="85" t="s">
        <v>439</v>
      </c>
      <c r="J195" s="19"/>
    </row>
    <row r="196" spans="1:10" x14ac:dyDescent="0.75">
      <c r="A196" s="14">
        <v>6290</v>
      </c>
      <c r="B196" s="13" t="s">
        <v>643</v>
      </c>
      <c r="C196" s="3">
        <f>SUMIF('Raw Data 10-31-2020'!$A$6:$A$256,'Q4 TB-20'!A196,'Raw Data 10-31-2020'!C$6:C$256)</f>
        <v>0</v>
      </c>
      <c r="D196" s="4"/>
      <c r="E196" s="3">
        <f>SUMIF('Raw Data 10-31-2020'!$A$6:$A$256,'Q4 TB-20'!A196,'Raw Data 10-31-2020'!D$6:D$256)</f>
        <v>0</v>
      </c>
      <c r="F196" s="3"/>
      <c r="G196" s="3">
        <f t="shared" si="4"/>
        <v>0</v>
      </c>
      <c r="H196" s="85" t="s">
        <v>439</v>
      </c>
      <c r="J196" s="19"/>
    </row>
    <row r="197" spans="1:10" x14ac:dyDescent="0.75">
      <c r="A197" s="14">
        <v>6295</v>
      </c>
      <c r="B197" s="13" t="s">
        <v>644</v>
      </c>
      <c r="C197" s="3">
        <f>SUMIF('Raw Data 10-31-2020'!$A$6:$A$256,'Q4 TB-20'!A197,'Raw Data 10-31-2020'!C$6:C$256)</f>
        <v>5553.5</v>
      </c>
      <c r="D197" s="4"/>
      <c r="E197" s="3">
        <f>SUMIF('Raw Data 10-31-2020'!$A$6:$A$256,'Q4 TB-20'!A197,'Raw Data 10-31-2020'!D$6:D$256)</f>
        <v>0</v>
      </c>
      <c r="F197" s="3"/>
      <c r="G197" s="3">
        <f t="shared" si="4"/>
        <v>5553.5</v>
      </c>
      <c r="H197" s="85" t="s">
        <v>439</v>
      </c>
      <c r="I197" s="6"/>
      <c r="J197" s="19"/>
    </row>
    <row r="198" spans="1:10" x14ac:dyDescent="0.75">
      <c r="A198" s="14">
        <v>6300</v>
      </c>
      <c r="B198" s="13" t="s">
        <v>645</v>
      </c>
      <c r="C198" s="3">
        <f>SUMIF('Raw Data 10-31-2020'!$A$6:$A$256,'Q4 TB-20'!A198,'Raw Data 10-31-2020'!C$6:C$256)</f>
        <v>7728.72</v>
      </c>
      <c r="D198" s="4"/>
      <c r="E198" s="3">
        <f>SUMIF('Raw Data 10-31-2020'!$A$6:$A$256,'Q4 TB-20'!A198,'Raw Data 10-31-2020'!D$6:D$256)</f>
        <v>0</v>
      </c>
      <c r="F198" s="3"/>
      <c r="G198" s="3">
        <f t="shared" si="4"/>
        <v>7728.72</v>
      </c>
      <c r="H198" s="85" t="s">
        <v>439</v>
      </c>
      <c r="J198" s="19"/>
    </row>
    <row r="199" spans="1:10" x14ac:dyDescent="0.75">
      <c r="A199" s="14">
        <v>6305</v>
      </c>
      <c r="B199" s="13" t="s">
        <v>646</v>
      </c>
      <c r="C199" s="3">
        <f>SUMIF('Raw Data 10-31-2020'!$A$6:$A$256,'Q4 TB-20'!A199,'Raw Data 10-31-2020'!C$6:C$256)</f>
        <v>0</v>
      </c>
      <c r="D199" s="4"/>
      <c r="E199" s="3">
        <f>SUMIF('Raw Data 10-31-2020'!$A$6:$A$256,'Q4 TB-20'!A199,'Raw Data 10-31-2020'!D$6:D$256)</f>
        <v>0</v>
      </c>
      <c r="F199" s="3"/>
      <c r="G199" s="3">
        <f t="shared" si="4"/>
        <v>0</v>
      </c>
      <c r="H199" s="85" t="s">
        <v>439</v>
      </c>
      <c r="J199" s="19"/>
    </row>
    <row r="200" spans="1:10" x14ac:dyDescent="0.75">
      <c r="A200" s="12">
        <v>6310</v>
      </c>
      <c r="B200" s="13" t="s">
        <v>647</v>
      </c>
      <c r="C200" s="3">
        <f>SUMIF('Raw Data 10-31-2020'!$A$6:$A$256,'Q4 TB-20'!A200,'Raw Data 10-31-2020'!C$6:C$256)</f>
        <v>0</v>
      </c>
      <c r="D200" s="4"/>
      <c r="E200" s="3">
        <f>SUMIF('Raw Data 10-31-2020'!$A$6:$A$256,'Q4 TB-20'!A200,'Raw Data 10-31-2020'!D$6:D$256)</f>
        <v>0</v>
      </c>
      <c r="F200" s="3"/>
      <c r="G200" s="3">
        <f t="shared" si="4"/>
        <v>0</v>
      </c>
      <c r="H200" s="85" t="s">
        <v>439</v>
      </c>
      <c r="J200" s="19"/>
    </row>
    <row r="201" spans="1:10" x14ac:dyDescent="0.75">
      <c r="A201" s="14">
        <v>6315</v>
      </c>
      <c r="B201" s="13" t="s">
        <v>648</v>
      </c>
      <c r="C201" s="3">
        <f>SUMIF('Raw Data 10-31-2020'!$A$6:$A$256,'Q4 TB-20'!A201,'Raw Data 10-31-2020'!C$6:C$256)</f>
        <v>65175.48</v>
      </c>
      <c r="D201" s="4"/>
      <c r="E201" s="3">
        <f>SUMIF('Raw Data 10-31-2020'!$A$6:$A$256,'Q4 TB-20'!A201,'Raw Data 10-31-2020'!D$6:D$256)</f>
        <v>0</v>
      </c>
      <c r="F201" s="3"/>
      <c r="G201" s="3">
        <f t="shared" si="4"/>
        <v>65175.48</v>
      </c>
      <c r="H201" s="85" t="s">
        <v>439</v>
      </c>
      <c r="J201" s="19"/>
    </row>
    <row r="202" spans="1:10" x14ac:dyDescent="0.75">
      <c r="A202" s="12">
        <v>6320</v>
      </c>
      <c r="B202" s="13" t="s">
        <v>649</v>
      </c>
      <c r="C202" s="3">
        <f>SUMIF('Raw Data 10-31-2020'!$A$6:$A$256,'Q4 TB-20'!A202,'Raw Data 10-31-2020'!C$6:C$256)</f>
        <v>0</v>
      </c>
      <c r="D202" s="4"/>
      <c r="E202" s="3">
        <f>SUMIF('Raw Data 10-31-2020'!$A$6:$A$256,'Q4 TB-20'!A202,'Raw Data 10-31-2020'!D$6:D$256)</f>
        <v>0</v>
      </c>
      <c r="F202" s="3"/>
      <c r="G202" s="3">
        <f t="shared" si="4"/>
        <v>0</v>
      </c>
      <c r="H202" s="85" t="s">
        <v>439</v>
      </c>
      <c r="J202" s="19"/>
    </row>
    <row r="203" spans="1:10" x14ac:dyDescent="0.75">
      <c r="A203" s="12">
        <v>6325</v>
      </c>
      <c r="B203" s="13" t="s">
        <v>650</v>
      </c>
      <c r="C203" s="3">
        <f>SUMIF('Raw Data 10-31-2020'!$A$6:$A$256,'Q4 TB-20'!A203,'Raw Data 10-31-2020'!C$6:C$256)</f>
        <v>0</v>
      </c>
      <c r="D203" s="4"/>
      <c r="E203" s="3">
        <f>SUMIF('Raw Data 10-31-2020'!$A$6:$A$256,'Q4 TB-20'!A203,'Raw Data 10-31-2020'!D$6:D$256)</f>
        <v>0</v>
      </c>
      <c r="F203" s="3"/>
      <c r="G203" s="3">
        <f t="shared" si="4"/>
        <v>0</v>
      </c>
      <c r="H203" s="85" t="s">
        <v>439</v>
      </c>
      <c r="J203" s="19"/>
    </row>
    <row r="204" spans="1:10" x14ac:dyDescent="0.75">
      <c r="A204" s="12">
        <v>6330</v>
      </c>
      <c r="B204" s="13" t="s">
        <v>651</v>
      </c>
      <c r="C204" s="3">
        <f>SUMIF('Raw Data 10-31-2020'!$A$6:$A$256,'Q4 TB-20'!A204,'Raw Data 10-31-2020'!C$6:C$256)</f>
        <v>858.92</v>
      </c>
      <c r="D204" s="4"/>
      <c r="E204" s="3">
        <f>SUMIF('Raw Data 10-31-2020'!$A$6:$A$256,'Q4 TB-20'!A204,'Raw Data 10-31-2020'!D$6:D$256)</f>
        <v>0</v>
      </c>
      <c r="F204" s="3"/>
      <c r="G204" s="3">
        <f t="shared" si="4"/>
        <v>858.92</v>
      </c>
      <c r="H204" s="85" t="s">
        <v>439</v>
      </c>
      <c r="J204" s="19"/>
    </row>
    <row r="205" spans="1:10" x14ac:dyDescent="0.75">
      <c r="A205" s="14">
        <v>6335</v>
      </c>
      <c r="B205" s="18" t="s">
        <v>652</v>
      </c>
      <c r="C205" s="3">
        <f>SUMIF('Raw Data 10-31-2020'!$A$6:$A$256,'Q4 TB-20'!A205,'Raw Data 10-31-2020'!C$6:C$256)</f>
        <v>223.5</v>
      </c>
      <c r="D205" s="4"/>
      <c r="E205" s="3">
        <f>SUMIF('Raw Data 10-31-2020'!$A$6:$A$256,'Q4 TB-20'!A205,'Raw Data 10-31-2020'!D$6:D$256)</f>
        <v>0</v>
      </c>
      <c r="F205" s="3"/>
      <c r="G205" s="3">
        <f t="shared" si="4"/>
        <v>223.5</v>
      </c>
      <c r="H205" s="85" t="s">
        <v>439</v>
      </c>
      <c r="J205" s="19"/>
    </row>
    <row r="206" spans="1:10" x14ac:dyDescent="0.75">
      <c r="A206" s="14">
        <v>6340</v>
      </c>
      <c r="B206" s="18" t="s">
        <v>653</v>
      </c>
      <c r="C206" s="3">
        <f>SUMIF('Raw Data 10-31-2020'!$A$6:$A$256,'Q4 TB-20'!A206,'Raw Data 10-31-2020'!C$6:C$256)</f>
        <v>5822.07</v>
      </c>
      <c r="D206" s="4"/>
      <c r="E206" s="3">
        <f>SUMIF('Raw Data 10-31-2020'!$A$6:$A$256,'Q4 TB-20'!A206,'Raw Data 10-31-2020'!D$6:D$256)</f>
        <v>0</v>
      </c>
      <c r="F206" s="5"/>
      <c r="G206" s="3">
        <f>C206-E206</f>
        <v>5822.07</v>
      </c>
      <c r="H206" s="85" t="s">
        <v>439</v>
      </c>
      <c r="J206" s="19"/>
    </row>
    <row r="207" spans="1:10" x14ac:dyDescent="0.75">
      <c r="A207" s="14">
        <v>6345</v>
      </c>
      <c r="B207" s="18" t="s">
        <v>654</v>
      </c>
      <c r="C207" s="3">
        <f>SUMIF('Raw Data 10-31-2020'!$A$6:$A$256,'Q4 TB-20'!A207,'Raw Data 10-31-2020'!C$6:C$256)</f>
        <v>3412.5</v>
      </c>
      <c r="D207" s="4"/>
      <c r="E207" s="3">
        <f>SUMIF('Raw Data 10-31-2020'!$A$6:$A$256,'Q4 TB-20'!A207,'Raw Data 10-31-2020'!D$6:D$256)</f>
        <v>0</v>
      </c>
      <c r="F207" s="5"/>
      <c r="G207" s="3">
        <f>C207-E207</f>
        <v>3412.5</v>
      </c>
      <c r="H207" s="85" t="s">
        <v>439</v>
      </c>
      <c r="J207" s="19"/>
    </row>
    <row r="208" spans="1:10" x14ac:dyDescent="0.75">
      <c r="A208" s="14">
        <v>6350</v>
      </c>
      <c r="B208" s="18" t="s">
        <v>655</v>
      </c>
      <c r="C208" s="3">
        <f>SUMIF('Raw Data 10-31-2020'!$A$6:$A$256,'Q4 TB-20'!A208,'Raw Data 10-31-2020'!C$6:C$256)</f>
        <v>1590.1</v>
      </c>
      <c r="D208" s="4"/>
      <c r="E208" s="3">
        <f>SUMIF('Raw Data 10-31-2020'!$A$6:$A$256,'Q4 TB-20'!A208,'Raw Data 10-31-2020'!D$6:D$256)</f>
        <v>0</v>
      </c>
      <c r="F208" s="5"/>
      <c r="G208" s="3">
        <f>C208-E208</f>
        <v>1590.1</v>
      </c>
      <c r="H208" s="85" t="s">
        <v>439</v>
      </c>
      <c r="J208" s="19"/>
    </row>
    <row r="209" spans="1:8" x14ac:dyDescent="0.75">
      <c r="A209" s="14">
        <v>6355</v>
      </c>
      <c r="B209" s="18" t="s">
        <v>656</v>
      </c>
      <c r="C209" s="3">
        <f>SUMIF('Raw Data 10-31-2020'!$A$6:$A$256,'Q4 TB-20'!A209,'Raw Data 10-31-2020'!C$6:C$256)</f>
        <v>0</v>
      </c>
      <c r="D209" s="4"/>
      <c r="E209" s="3">
        <f>SUMIF('Raw Data 10-31-2020'!$A$6:$A$256,'Q4 TB-20'!A209,'Raw Data 10-31-2020'!D$6:D$256)</f>
        <v>0</v>
      </c>
      <c r="F209" s="5"/>
      <c r="G209" s="3">
        <f t="shared" ref="G209:G254" si="5">C209-E209</f>
        <v>0</v>
      </c>
      <c r="H209" s="85" t="s">
        <v>439</v>
      </c>
    </row>
    <row r="210" spans="1:8" x14ac:dyDescent="0.75">
      <c r="A210" s="14">
        <v>6400</v>
      </c>
      <c r="B210" s="18" t="s">
        <v>657</v>
      </c>
      <c r="C210" s="3">
        <f>SUMIF('Raw Data 10-31-2020'!$A$6:$A$256,'Q4 TB-20'!A210,'Raw Data 10-31-2020'!C$6:C$256)</f>
        <v>354113.13</v>
      </c>
      <c r="D210" s="4"/>
      <c r="E210" s="3">
        <f>SUMIF('Raw Data 10-31-2020'!$A$6:$A$256,'Q4 TB-20'!A210,'Raw Data 10-31-2020'!D$6:D$256)</f>
        <v>0</v>
      </c>
      <c r="F210" s="5"/>
      <c r="G210" s="3">
        <f t="shared" si="5"/>
        <v>354113.13</v>
      </c>
      <c r="H210" s="85" t="s">
        <v>439</v>
      </c>
    </row>
    <row r="211" spans="1:8" x14ac:dyDescent="0.75">
      <c r="A211" s="14">
        <v>6405</v>
      </c>
      <c r="B211" s="18" t="s">
        <v>658</v>
      </c>
      <c r="C211" s="3">
        <f>SUMIF('Raw Data 10-31-2020'!$A$6:$A$256,'Q4 TB-20'!A211,'Raw Data 10-31-2020'!C$6:C$256)</f>
        <v>0</v>
      </c>
      <c r="D211" s="4"/>
      <c r="E211" s="3">
        <f>SUMIF('Raw Data 10-31-2020'!$A$6:$A$256,'Q4 TB-20'!A211,'Raw Data 10-31-2020'!D$6:D$256)</f>
        <v>0</v>
      </c>
      <c r="F211" s="5"/>
      <c r="G211" s="3">
        <f t="shared" si="5"/>
        <v>0</v>
      </c>
      <c r="H211" s="85" t="s">
        <v>439</v>
      </c>
    </row>
    <row r="212" spans="1:8" x14ac:dyDescent="0.75">
      <c r="A212" s="14">
        <v>6410</v>
      </c>
      <c r="B212" s="18" t="s">
        <v>659</v>
      </c>
      <c r="C212" s="3">
        <f>SUMIF('Raw Data 10-31-2020'!$A$6:$A$256,'Q4 TB-20'!A212,'Raw Data 10-31-2020'!C$6:C$256)</f>
        <v>0</v>
      </c>
      <c r="D212" s="4"/>
      <c r="E212" s="3">
        <f>SUMIF('Raw Data 10-31-2020'!$A$6:$A$256,'Q4 TB-20'!A212,'Raw Data 10-31-2020'!D$6:D$256)</f>
        <v>0</v>
      </c>
      <c r="F212" s="5"/>
      <c r="G212" s="3">
        <f t="shared" si="5"/>
        <v>0</v>
      </c>
      <c r="H212" s="85" t="s">
        <v>439</v>
      </c>
    </row>
    <row r="213" spans="1:8" x14ac:dyDescent="0.75">
      <c r="A213" s="14">
        <v>6415</v>
      </c>
      <c r="B213" s="18" t="s">
        <v>660</v>
      </c>
      <c r="C213" s="3">
        <f>SUMIF('Raw Data 10-31-2020'!$A$6:$A$256,'Q4 TB-20'!A213,'Raw Data 10-31-2020'!C$6:C$256)</f>
        <v>0</v>
      </c>
      <c r="D213" s="4"/>
      <c r="E213" s="3">
        <f>SUMIF('Raw Data 10-31-2020'!$A$6:$A$256,'Q4 TB-20'!A213,'Raw Data 10-31-2020'!D$6:D$256)</f>
        <v>0</v>
      </c>
      <c r="F213" s="5"/>
      <c r="G213" s="3">
        <f t="shared" si="5"/>
        <v>0</v>
      </c>
      <c r="H213" s="85" t="s">
        <v>439</v>
      </c>
    </row>
    <row r="214" spans="1:8" x14ac:dyDescent="0.75">
      <c r="A214" s="14">
        <v>6420</v>
      </c>
      <c r="B214" s="18" t="s">
        <v>661</v>
      </c>
      <c r="C214" s="3">
        <f>SUMIF('Raw Data 10-31-2020'!$A$6:$A$256,'Q4 TB-20'!A214,'Raw Data 10-31-2020'!C$6:C$256)</f>
        <v>0</v>
      </c>
      <c r="D214" s="4"/>
      <c r="E214" s="3">
        <f>SUMIF('Raw Data 10-31-2020'!$A$6:$A$256,'Q4 TB-20'!A214,'Raw Data 10-31-2020'!D$6:D$256)</f>
        <v>7773</v>
      </c>
      <c r="F214" s="5"/>
      <c r="G214" s="3">
        <f t="shared" si="5"/>
        <v>-7773</v>
      </c>
      <c r="H214" s="85" t="s">
        <v>439</v>
      </c>
    </row>
    <row r="215" spans="1:8" x14ac:dyDescent="0.75">
      <c r="A215" s="14">
        <v>6425</v>
      </c>
      <c r="B215" s="18" t="s">
        <v>662</v>
      </c>
      <c r="C215" s="3">
        <f>SUMIF('Raw Data 10-31-2020'!$A$6:$A$256,'Q4 TB-20'!A215,'Raw Data 10-31-2020'!C$6:C$256)</f>
        <v>0</v>
      </c>
      <c r="D215" s="4"/>
      <c r="E215" s="3">
        <f>SUMIF('Raw Data 10-31-2020'!$A$6:$A$256,'Q4 TB-20'!A215,'Raw Data 10-31-2020'!D$6:D$256)</f>
        <v>0</v>
      </c>
      <c r="F215" s="5"/>
      <c r="G215" s="3">
        <f t="shared" si="5"/>
        <v>0</v>
      </c>
      <c r="H215" s="85" t="s">
        <v>439</v>
      </c>
    </row>
    <row r="216" spans="1:8" x14ac:dyDescent="0.75">
      <c r="A216" s="14">
        <v>6430</v>
      </c>
      <c r="B216" s="18" t="s">
        <v>663</v>
      </c>
      <c r="C216" s="3">
        <f>SUMIF('Raw Data 10-31-2020'!$A$6:$A$256,'Q4 TB-20'!A216,'Raw Data 10-31-2020'!C$6:C$256)</f>
        <v>215795.8</v>
      </c>
      <c r="D216" s="4"/>
      <c r="E216" s="3">
        <f>SUMIF('Raw Data 10-31-2020'!$A$6:$A$256,'Q4 TB-20'!A216,'Raw Data 10-31-2020'!D$6:D$256)</f>
        <v>0</v>
      </c>
      <c r="F216" s="5"/>
      <c r="G216" s="3">
        <f t="shared" si="5"/>
        <v>215795.8</v>
      </c>
      <c r="H216" s="85" t="s">
        <v>439</v>
      </c>
    </row>
    <row r="217" spans="1:8" x14ac:dyDescent="0.75">
      <c r="A217" s="14">
        <v>6435</v>
      </c>
      <c r="B217" s="18" t="s">
        <v>664</v>
      </c>
      <c r="C217" s="3">
        <f>SUMIF('Raw Data 10-31-2020'!$A$6:$A$256,'Q4 TB-20'!A217,'Raw Data 10-31-2020'!C$6:C$256)</f>
        <v>16896.57</v>
      </c>
      <c r="D217" s="4"/>
      <c r="E217" s="3">
        <f>SUMIF('Raw Data 10-31-2020'!$A$6:$A$256,'Q4 TB-20'!A217,'Raw Data 10-31-2020'!D$6:D$256)</f>
        <v>0</v>
      </c>
      <c r="F217" s="5"/>
      <c r="G217" s="3">
        <f t="shared" si="5"/>
        <v>16896.57</v>
      </c>
      <c r="H217" s="85" t="s">
        <v>439</v>
      </c>
    </row>
    <row r="218" spans="1:8" x14ac:dyDescent="0.75">
      <c r="A218" s="14">
        <v>6440</v>
      </c>
      <c r="B218" s="18" t="s">
        <v>665</v>
      </c>
      <c r="C218" s="3">
        <f>SUMIF('Raw Data 10-31-2020'!$A$6:$A$256,'Q4 TB-20'!A218,'Raw Data 10-31-2020'!C$6:C$256)</f>
        <v>317547.43</v>
      </c>
      <c r="D218" s="4"/>
      <c r="E218" s="3">
        <f>SUMIF('Raw Data 10-31-2020'!$A$6:$A$256,'Q4 TB-20'!A218,'Raw Data 10-31-2020'!D$6:D$256)</f>
        <v>0</v>
      </c>
      <c r="F218" s="5"/>
      <c r="G218" s="3">
        <f t="shared" si="5"/>
        <v>317547.43</v>
      </c>
      <c r="H218" s="85" t="s">
        <v>439</v>
      </c>
    </row>
    <row r="219" spans="1:8" x14ac:dyDescent="0.75">
      <c r="A219" s="14">
        <v>6445</v>
      </c>
      <c r="B219" s="18" t="s">
        <v>666</v>
      </c>
      <c r="C219" s="3">
        <f>SUMIF('Raw Data 10-31-2020'!$A$6:$A$256,'Q4 TB-20'!A219,'Raw Data 10-31-2020'!C$6:C$256)</f>
        <v>41310.86</v>
      </c>
      <c r="D219" s="4"/>
      <c r="E219" s="3">
        <f>SUMIF('Raw Data 10-31-2020'!$A$6:$A$256,'Q4 TB-20'!A219,'Raw Data 10-31-2020'!D$6:D$256)</f>
        <v>0</v>
      </c>
      <c r="F219" s="5"/>
      <c r="G219" s="3">
        <f t="shared" si="5"/>
        <v>41310.86</v>
      </c>
      <c r="H219" s="85" t="s">
        <v>439</v>
      </c>
    </row>
    <row r="220" spans="1:8" x14ac:dyDescent="0.75">
      <c r="A220" s="14">
        <v>6450</v>
      </c>
      <c r="B220" s="18" t="s">
        <v>667</v>
      </c>
      <c r="C220" s="3">
        <f>SUMIF('Raw Data 10-31-2020'!$A$6:$A$256,'Q4 TB-20'!A220,'Raw Data 10-31-2020'!C$6:C$256)</f>
        <v>0</v>
      </c>
      <c r="D220" s="4"/>
      <c r="E220" s="3">
        <f>SUMIF('Raw Data 10-31-2020'!$A$6:$A$256,'Q4 TB-20'!A220,'Raw Data 10-31-2020'!D$6:D$256)</f>
        <v>0</v>
      </c>
      <c r="F220" s="5"/>
      <c r="G220" s="3">
        <f t="shared" si="5"/>
        <v>0</v>
      </c>
      <c r="H220" s="85" t="s">
        <v>439</v>
      </c>
    </row>
    <row r="221" spans="1:8" x14ac:dyDescent="0.75">
      <c r="A221" s="14">
        <v>6455</v>
      </c>
      <c r="B221" s="18" t="s">
        <v>668</v>
      </c>
      <c r="C221" s="3">
        <f>SUMIF('Raw Data 10-31-2020'!$A$6:$A$256,'Q4 TB-20'!A221,'Raw Data 10-31-2020'!C$6:C$256)</f>
        <v>0</v>
      </c>
      <c r="D221" s="4"/>
      <c r="E221" s="3">
        <f>SUMIF('Raw Data 10-31-2020'!$A$6:$A$256,'Q4 TB-20'!A221,'Raw Data 10-31-2020'!D$6:D$256)</f>
        <v>0</v>
      </c>
      <c r="F221" s="5"/>
      <c r="G221" s="3">
        <f t="shared" si="5"/>
        <v>0</v>
      </c>
      <c r="H221" s="85" t="s">
        <v>439</v>
      </c>
    </row>
    <row r="222" spans="1:8" x14ac:dyDescent="0.75">
      <c r="A222" s="14">
        <v>6460</v>
      </c>
      <c r="B222" s="18" t="s">
        <v>669</v>
      </c>
      <c r="C222" s="3">
        <f>SUMIF('Raw Data 10-31-2020'!$A$6:$A$256,'Q4 TB-20'!A222,'Raw Data 10-31-2020'!C$6:C$256)</f>
        <v>0</v>
      </c>
      <c r="D222" s="4"/>
      <c r="E222" s="3">
        <f>SUMIF('Raw Data 10-31-2020'!$A$6:$A$256,'Q4 TB-20'!A222,'Raw Data 10-31-2020'!D$6:D$256)</f>
        <v>0</v>
      </c>
      <c r="F222" s="5"/>
      <c r="G222" s="3">
        <f t="shared" si="5"/>
        <v>0</v>
      </c>
      <c r="H222" s="85" t="s">
        <v>439</v>
      </c>
    </row>
    <row r="223" spans="1:8" x14ac:dyDescent="0.75">
      <c r="A223" s="14">
        <v>6500</v>
      </c>
      <c r="B223" s="18" t="s">
        <v>670</v>
      </c>
      <c r="C223" s="3">
        <f>SUMIF('Raw Data 10-31-2020'!$A$6:$A$256,'Q4 TB-20'!A223,'Raw Data 10-31-2020'!C$6:C$256)</f>
        <v>0</v>
      </c>
      <c r="D223" s="4"/>
      <c r="E223" s="3">
        <f>SUMIF('Raw Data 10-31-2020'!$A$6:$A$256,'Q4 TB-20'!A223,'Raw Data 10-31-2020'!D$6:D$256)</f>
        <v>0</v>
      </c>
      <c r="F223" s="5"/>
      <c r="G223" s="3">
        <f t="shared" si="5"/>
        <v>0</v>
      </c>
      <c r="H223" s="85" t="s">
        <v>439</v>
      </c>
    </row>
    <row r="224" spans="1:8" x14ac:dyDescent="0.75">
      <c r="A224" s="14">
        <v>6505</v>
      </c>
      <c r="B224" s="18" t="s">
        <v>671</v>
      </c>
      <c r="C224" s="3">
        <f>SUMIF('Raw Data 10-31-2020'!$A$6:$A$256,'Q4 TB-20'!A224,'Raw Data 10-31-2020'!C$6:C$256)</f>
        <v>0</v>
      </c>
      <c r="D224" s="4"/>
      <c r="E224" s="3">
        <f>SUMIF('Raw Data 10-31-2020'!$A$6:$A$256,'Q4 TB-20'!A224,'Raw Data 10-31-2020'!D$6:D$256)</f>
        <v>0</v>
      </c>
      <c r="F224" s="5"/>
      <c r="G224" s="3">
        <f t="shared" si="5"/>
        <v>0</v>
      </c>
      <c r="H224" s="85" t="s">
        <v>439</v>
      </c>
    </row>
    <row r="225" spans="1:8" x14ac:dyDescent="0.75">
      <c r="A225" s="14">
        <v>6510</v>
      </c>
      <c r="B225" s="18" t="s">
        <v>672</v>
      </c>
      <c r="C225" s="3">
        <f>SUMIF('Raw Data 10-31-2020'!$A$6:$A$256,'Q4 TB-20'!A225,'Raw Data 10-31-2020'!C$6:C$256)</f>
        <v>19194.509999999998</v>
      </c>
      <c r="D225" s="4"/>
      <c r="E225" s="3">
        <f>SUMIF('Raw Data 10-31-2020'!$A$6:$A$256,'Q4 TB-20'!A225,'Raw Data 10-31-2020'!D$6:D$256)</f>
        <v>0</v>
      </c>
      <c r="F225" s="5"/>
      <c r="G225" s="3">
        <f t="shared" si="5"/>
        <v>19194.509999999998</v>
      </c>
      <c r="H225" s="85" t="s">
        <v>439</v>
      </c>
    </row>
    <row r="226" spans="1:8" x14ac:dyDescent="0.75">
      <c r="A226" s="14">
        <v>6515</v>
      </c>
      <c r="B226" s="18" t="s">
        <v>673</v>
      </c>
      <c r="C226" s="3">
        <f>SUMIF('Raw Data 10-31-2020'!$A$6:$A$256,'Q4 TB-20'!A226,'Raw Data 10-31-2020'!C$6:C$256)</f>
        <v>0</v>
      </c>
      <c r="D226" s="4"/>
      <c r="E226" s="3">
        <f>SUMIF('Raw Data 10-31-2020'!$A$6:$A$256,'Q4 TB-20'!A226,'Raw Data 10-31-2020'!D$6:D$256)</f>
        <v>0</v>
      </c>
      <c r="F226" s="5"/>
      <c r="G226" s="3">
        <f t="shared" si="5"/>
        <v>0</v>
      </c>
      <c r="H226" s="85" t="s">
        <v>439</v>
      </c>
    </row>
    <row r="227" spans="1:8" x14ac:dyDescent="0.75">
      <c r="A227" s="14">
        <v>6520</v>
      </c>
      <c r="B227" s="18" t="s">
        <v>674</v>
      </c>
      <c r="C227" s="3">
        <f>SUMIF('Raw Data 10-31-2020'!$A$6:$A$256,'Q4 TB-20'!A227,'Raw Data 10-31-2020'!C$6:C$256)</f>
        <v>0</v>
      </c>
      <c r="D227" s="4"/>
      <c r="E227" s="3">
        <f>SUMIF('Raw Data 10-31-2020'!$A$6:$A$256,'Q4 TB-20'!A227,'Raw Data 10-31-2020'!D$6:D$256)</f>
        <v>0</v>
      </c>
      <c r="F227" s="5"/>
      <c r="G227" s="3">
        <f t="shared" si="5"/>
        <v>0</v>
      </c>
      <c r="H227" s="85" t="s">
        <v>439</v>
      </c>
    </row>
    <row r="228" spans="1:8" x14ac:dyDescent="0.75">
      <c r="A228" s="14">
        <v>6525</v>
      </c>
      <c r="B228" s="18" t="s">
        <v>675</v>
      </c>
      <c r="C228" s="3">
        <f>SUMIF('Raw Data 10-31-2020'!$A$6:$A$256,'Q4 TB-20'!A228,'Raw Data 10-31-2020'!C$6:C$256)</f>
        <v>5552.29</v>
      </c>
      <c r="D228" s="4"/>
      <c r="E228" s="3">
        <f>SUMIF('Raw Data 10-31-2020'!$A$6:$A$256,'Q4 TB-20'!A228,'Raw Data 10-31-2020'!D$6:D$256)</f>
        <v>0</v>
      </c>
      <c r="F228" s="5"/>
      <c r="G228" s="3">
        <f t="shared" si="5"/>
        <v>5552.29</v>
      </c>
      <c r="H228" s="85" t="s">
        <v>439</v>
      </c>
    </row>
    <row r="229" spans="1:8" x14ac:dyDescent="0.75">
      <c r="A229" s="14">
        <v>6530</v>
      </c>
      <c r="B229" s="18" t="s">
        <v>676</v>
      </c>
      <c r="C229" s="3">
        <f>SUMIF('Raw Data 10-31-2020'!$A$6:$A$256,'Q4 TB-20'!A229,'Raw Data 10-31-2020'!C$6:C$256)</f>
        <v>0</v>
      </c>
      <c r="D229" s="4"/>
      <c r="E229" s="3">
        <f>SUMIF('Raw Data 10-31-2020'!$A$6:$A$256,'Q4 TB-20'!A229,'Raw Data 10-31-2020'!D$6:D$256)</f>
        <v>0</v>
      </c>
      <c r="F229" s="5"/>
      <c r="G229" s="3">
        <f t="shared" si="5"/>
        <v>0</v>
      </c>
      <c r="H229" s="85" t="s">
        <v>439</v>
      </c>
    </row>
    <row r="230" spans="1:8" x14ac:dyDescent="0.75">
      <c r="A230" s="14">
        <v>6535</v>
      </c>
      <c r="B230" s="18" t="s">
        <v>677</v>
      </c>
      <c r="C230" s="3">
        <f>SUMIF('Raw Data 10-31-2020'!$A$6:$A$256,'Q4 TB-20'!A230,'Raw Data 10-31-2020'!C$6:C$256)</f>
        <v>0</v>
      </c>
      <c r="D230" s="4"/>
      <c r="E230" s="3">
        <f>SUMIF('Raw Data 10-31-2020'!$A$6:$A$256,'Q4 TB-20'!A230,'Raw Data 10-31-2020'!D$6:D$256)</f>
        <v>0</v>
      </c>
      <c r="F230" s="5"/>
      <c r="G230" s="3">
        <f t="shared" si="5"/>
        <v>0</v>
      </c>
      <c r="H230" s="85" t="s">
        <v>439</v>
      </c>
    </row>
    <row r="231" spans="1:8" x14ac:dyDescent="0.75">
      <c r="A231" s="14">
        <v>6540</v>
      </c>
      <c r="B231" s="18" t="s">
        <v>678</v>
      </c>
      <c r="C231" s="3">
        <f>SUMIF('Raw Data 10-31-2020'!$A$6:$A$256,'Q4 TB-20'!A231,'Raw Data 10-31-2020'!C$6:C$256)</f>
        <v>0</v>
      </c>
      <c r="D231" s="4"/>
      <c r="E231" s="3">
        <f>SUMIF('Raw Data 10-31-2020'!$A$6:$A$256,'Q4 TB-20'!A231,'Raw Data 10-31-2020'!D$6:D$256)</f>
        <v>0</v>
      </c>
      <c r="F231" s="5"/>
      <c r="G231" s="3">
        <f t="shared" si="5"/>
        <v>0</v>
      </c>
      <c r="H231" s="85" t="s">
        <v>439</v>
      </c>
    </row>
    <row r="232" spans="1:8" x14ac:dyDescent="0.75">
      <c r="A232" s="14">
        <v>6545</v>
      </c>
      <c r="B232" s="18" t="s">
        <v>679</v>
      </c>
      <c r="C232" s="3">
        <f>SUMIF('Raw Data 10-31-2020'!$A$6:$A$256,'Q4 TB-20'!A232,'Raw Data 10-31-2020'!C$6:C$256)</f>
        <v>1577.77</v>
      </c>
      <c r="D232" s="4"/>
      <c r="E232" s="3">
        <f>SUMIF('Raw Data 10-31-2020'!$A$6:$A$256,'Q4 TB-20'!A232,'Raw Data 10-31-2020'!D$6:D$256)</f>
        <v>0</v>
      </c>
      <c r="F232" s="5"/>
      <c r="G232" s="3">
        <f t="shared" si="5"/>
        <v>1577.77</v>
      </c>
      <c r="H232" s="85" t="s">
        <v>439</v>
      </c>
    </row>
    <row r="233" spans="1:8" x14ac:dyDescent="0.75">
      <c r="A233" s="14">
        <v>6550</v>
      </c>
      <c r="B233" s="18" t="s">
        <v>680</v>
      </c>
      <c r="C233" s="3">
        <f>SUMIF('Raw Data 10-31-2020'!$A$6:$A$256,'Q4 TB-20'!A233,'Raw Data 10-31-2020'!C$6:C$256)</f>
        <v>12483.79</v>
      </c>
      <c r="D233" s="4"/>
      <c r="E233" s="3">
        <f>SUMIF('Raw Data 10-31-2020'!$A$6:$A$256,'Q4 TB-20'!A233,'Raw Data 10-31-2020'!D$6:D$256)</f>
        <v>0</v>
      </c>
      <c r="F233" s="5"/>
      <c r="G233" s="3">
        <f t="shared" si="5"/>
        <v>12483.79</v>
      </c>
      <c r="H233" s="85" t="s">
        <v>439</v>
      </c>
    </row>
    <row r="234" spans="1:8" x14ac:dyDescent="0.75">
      <c r="A234" s="14">
        <v>6555</v>
      </c>
      <c r="B234" s="18" t="s">
        <v>681</v>
      </c>
      <c r="C234" s="3">
        <f>SUMIF('Raw Data 10-31-2020'!$A$6:$A$256,'Q4 TB-20'!A234,'Raw Data 10-31-2020'!C$6:C$256)</f>
        <v>1901.09</v>
      </c>
      <c r="D234" s="4"/>
      <c r="E234" s="3">
        <f>SUMIF('Raw Data 10-31-2020'!$A$6:$A$256,'Q4 TB-20'!A234,'Raw Data 10-31-2020'!D$6:D$256)</f>
        <v>0</v>
      </c>
      <c r="F234" s="5"/>
      <c r="G234" s="3">
        <f t="shared" si="5"/>
        <v>1901.09</v>
      </c>
      <c r="H234" s="85" t="s">
        <v>439</v>
      </c>
    </row>
    <row r="235" spans="1:8" x14ac:dyDescent="0.75">
      <c r="A235" s="14">
        <v>6560</v>
      </c>
      <c r="B235" s="18" t="s">
        <v>682</v>
      </c>
      <c r="C235" s="3">
        <f>SUMIF('Raw Data 10-31-2020'!$A$6:$A$256,'Q4 TB-20'!A235,'Raw Data 10-31-2020'!C$6:C$256)</f>
        <v>0</v>
      </c>
      <c r="D235" s="4"/>
      <c r="E235" s="3">
        <f>SUMIF('Raw Data 10-31-2020'!$A$6:$A$256,'Q4 TB-20'!A235,'Raw Data 10-31-2020'!D$6:D$256)</f>
        <v>0</v>
      </c>
      <c r="F235" s="5"/>
      <c r="G235" s="3">
        <f t="shared" si="5"/>
        <v>0</v>
      </c>
      <c r="H235" s="85" t="s">
        <v>439</v>
      </c>
    </row>
    <row r="236" spans="1:8" x14ac:dyDescent="0.75">
      <c r="A236" s="14">
        <v>6565</v>
      </c>
      <c r="B236" s="18" t="s">
        <v>683</v>
      </c>
      <c r="C236" s="3">
        <f>SUMIF('Raw Data 10-31-2020'!$A$6:$A$256,'Q4 TB-20'!A236,'Raw Data 10-31-2020'!C$6:C$256)</f>
        <v>0</v>
      </c>
      <c r="D236" s="4"/>
      <c r="E236" s="3">
        <f>SUMIF('Raw Data 10-31-2020'!$A$6:$A$256,'Q4 TB-20'!A236,'Raw Data 10-31-2020'!D$6:D$256)</f>
        <v>0</v>
      </c>
      <c r="F236" s="5"/>
      <c r="G236" s="3">
        <f t="shared" si="5"/>
        <v>0</v>
      </c>
      <c r="H236" s="85" t="s">
        <v>439</v>
      </c>
    </row>
    <row r="237" spans="1:8" x14ac:dyDescent="0.75">
      <c r="A237" s="14">
        <v>6570</v>
      </c>
      <c r="B237" s="18" t="s">
        <v>684</v>
      </c>
      <c r="C237" s="3">
        <f>SUMIF('Raw Data 10-31-2020'!$A$6:$A$256,'Q4 TB-20'!A237,'Raw Data 10-31-2020'!C$6:C$256)</f>
        <v>0</v>
      </c>
      <c r="D237" s="4"/>
      <c r="E237" s="3">
        <f>SUMIF('Raw Data 10-31-2020'!$A$6:$A$256,'Q4 TB-20'!A237,'Raw Data 10-31-2020'!D$6:D$256)</f>
        <v>0</v>
      </c>
      <c r="F237" s="5"/>
      <c r="G237" s="3">
        <f t="shared" si="5"/>
        <v>0</v>
      </c>
      <c r="H237" s="85" t="s">
        <v>439</v>
      </c>
    </row>
    <row r="238" spans="1:8" x14ac:dyDescent="0.75">
      <c r="A238" s="14">
        <v>6575</v>
      </c>
      <c r="B238" s="18" t="s">
        <v>685</v>
      </c>
      <c r="C238" s="3">
        <f>SUMIF('Raw Data 10-31-2020'!$A$6:$A$256,'Q4 TB-20'!A238,'Raw Data 10-31-2020'!C$6:C$256)</f>
        <v>0</v>
      </c>
      <c r="D238" s="4"/>
      <c r="E238" s="3">
        <f>SUMIF('Raw Data 10-31-2020'!$A$6:$A$256,'Q4 TB-20'!A238,'Raw Data 10-31-2020'!D$6:D$256)</f>
        <v>0</v>
      </c>
      <c r="F238" s="5"/>
      <c r="G238" s="3">
        <f t="shared" si="5"/>
        <v>0</v>
      </c>
      <c r="H238" s="85" t="s">
        <v>439</v>
      </c>
    </row>
    <row r="239" spans="1:8" x14ac:dyDescent="0.75">
      <c r="A239" s="14">
        <v>6580</v>
      </c>
      <c r="B239" s="18" t="s">
        <v>686</v>
      </c>
      <c r="C239" s="3">
        <f>SUMIF('Raw Data 10-31-2020'!$A$6:$A$256,'Q4 TB-20'!A239,'Raw Data 10-31-2020'!C$6:C$256)</f>
        <v>0</v>
      </c>
      <c r="D239" s="4"/>
      <c r="E239" s="3">
        <f>SUMIF('Raw Data 10-31-2020'!$A$6:$A$256,'Q4 TB-20'!A239,'Raw Data 10-31-2020'!D$6:D$256)</f>
        <v>0</v>
      </c>
      <c r="F239" s="5"/>
      <c r="G239" s="3">
        <f t="shared" si="5"/>
        <v>0</v>
      </c>
      <c r="H239" s="85" t="s">
        <v>439</v>
      </c>
    </row>
    <row r="240" spans="1:8" x14ac:dyDescent="0.75">
      <c r="A240" s="14">
        <v>6585</v>
      </c>
      <c r="B240" s="18" t="s">
        <v>687</v>
      </c>
      <c r="C240" s="3">
        <f>SUMIF('Raw Data 10-31-2020'!$A$6:$A$256,'Q4 TB-20'!A240,'Raw Data 10-31-2020'!C$6:C$256)</f>
        <v>0</v>
      </c>
      <c r="D240" s="4"/>
      <c r="E240" s="3">
        <f>SUMIF('Raw Data 10-31-2020'!$A$6:$A$256,'Q4 TB-20'!A240,'Raw Data 10-31-2020'!D$6:D$256)</f>
        <v>0</v>
      </c>
      <c r="F240" s="5"/>
      <c r="G240" s="3">
        <f t="shared" si="5"/>
        <v>0</v>
      </c>
      <c r="H240" s="85" t="s">
        <v>439</v>
      </c>
    </row>
    <row r="241" spans="1:8" x14ac:dyDescent="0.75">
      <c r="A241" s="14">
        <v>6590</v>
      </c>
      <c r="B241" s="18" t="s">
        <v>688</v>
      </c>
      <c r="C241" s="3">
        <f>SUMIF('Raw Data 10-31-2020'!$A$6:$A$256,'Q4 TB-20'!A241,'Raw Data 10-31-2020'!C$6:C$256)</f>
        <v>0</v>
      </c>
      <c r="D241" s="4"/>
      <c r="E241" s="3">
        <f>SUMIF('Raw Data 10-31-2020'!$A$6:$A$256,'Q4 TB-20'!A241,'Raw Data 10-31-2020'!D$6:D$256)</f>
        <v>0</v>
      </c>
      <c r="F241" s="5"/>
      <c r="G241" s="3">
        <f t="shared" si="5"/>
        <v>0</v>
      </c>
      <c r="H241" s="85" t="s">
        <v>439</v>
      </c>
    </row>
    <row r="242" spans="1:8" x14ac:dyDescent="0.75">
      <c r="A242" s="14">
        <v>7100</v>
      </c>
      <c r="B242" s="18" t="s">
        <v>689</v>
      </c>
      <c r="C242" s="3">
        <f>SUMIF('Raw Data 10-31-2020'!$A$6:$A$256,'Q4 TB-20'!A242,'Raw Data 10-31-2020'!C$6:C$256)</f>
        <v>0</v>
      </c>
      <c r="D242" s="4"/>
      <c r="E242" s="3">
        <f>SUMIF('Raw Data 10-31-2020'!$A$6:$A$256,'Q4 TB-20'!A242,'Raw Data 10-31-2020'!D$6:D$256)</f>
        <v>216.05</v>
      </c>
      <c r="F242" s="5"/>
      <c r="G242" s="3">
        <f t="shared" si="5"/>
        <v>-216.05</v>
      </c>
      <c r="H242" s="85" t="s">
        <v>439</v>
      </c>
    </row>
    <row r="243" spans="1:8" x14ac:dyDescent="0.75">
      <c r="A243" s="14">
        <v>7200</v>
      </c>
      <c r="B243" s="18" t="s">
        <v>690</v>
      </c>
      <c r="C243" s="3">
        <f>SUMIF('Raw Data 10-31-2020'!$A$6:$A$256,'Q4 TB-20'!A243,'Raw Data 10-31-2020'!C$6:C$256)</f>
        <v>0</v>
      </c>
      <c r="D243" s="4"/>
      <c r="E243" s="3">
        <f>SUMIF('Raw Data 10-31-2020'!$A$6:$A$256,'Q4 TB-20'!A243,'Raw Data 10-31-2020'!D$6:D$256)</f>
        <v>0</v>
      </c>
      <c r="F243" s="5"/>
      <c r="G243" s="3">
        <f t="shared" si="5"/>
        <v>0</v>
      </c>
      <c r="H243" s="85" t="s">
        <v>439</v>
      </c>
    </row>
    <row r="244" spans="1:8" x14ac:dyDescent="0.75">
      <c r="A244" s="14">
        <v>7300</v>
      </c>
      <c r="B244" s="18" t="s">
        <v>691</v>
      </c>
      <c r="C244" s="3">
        <f>SUMIF('Raw Data 10-31-2020'!$A$6:$A$256,'Q4 TB-20'!A244,'Raw Data 10-31-2020'!C$6:C$256)</f>
        <v>0</v>
      </c>
      <c r="D244" s="4"/>
      <c r="E244" s="3">
        <f>SUMIF('Raw Data 10-31-2020'!$A$6:$A$256,'Q4 TB-20'!A244,'Raw Data 10-31-2020'!D$6:D$256)</f>
        <v>0</v>
      </c>
      <c r="F244" s="5"/>
      <c r="G244" s="3">
        <f t="shared" si="5"/>
        <v>0</v>
      </c>
      <c r="H244" s="85" t="s">
        <v>439</v>
      </c>
    </row>
    <row r="245" spans="1:8" x14ac:dyDescent="0.75">
      <c r="A245" s="14">
        <v>7310</v>
      </c>
      <c r="B245" s="18" t="s">
        <v>692</v>
      </c>
      <c r="C245" s="3">
        <f>SUMIF('Raw Data 10-31-2020'!$A$6:$A$256,'Q4 TB-20'!A245,'Raw Data 10-31-2020'!C$6:C$256)</f>
        <v>0</v>
      </c>
      <c r="D245" s="4"/>
      <c r="E245" s="3">
        <f>SUMIF('Raw Data 10-31-2020'!$A$6:$A$256,'Q4 TB-20'!A245,'Raw Data 10-31-2020'!D$6:D$256)</f>
        <v>0</v>
      </c>
      <c r="F245" s="5"/>
      <c r="G245" s="3">
        <f t="shared" si="5"/>
        <v>0</v>
      </c>
      <c r="H245" s="85" t="s">
        <v>439</v>
      </c>
    </row>
    <row r="246" spans="1:8" x14ac:dyDescent="0.75">
      <c r="A246" s="14">
        <v>7400</v>
      </c>
      <c r="B246" s="18" t="s">
        <v>693</v>
      </c>
      <c r="C246" s="3">
        <f>SUMIF('Raw Data 10-31-2020'!$A$6:$A$256,'Q4 TB-20'!A246,'Raw Data 10-31-2020'!C$6:C$256)</f>
        <v>0</v>
      </c>
      <c r="D246" s="4"/>
      <c r="E246" s="3">
        <f>SUMIF('Raw Data 10-31-2020'!$A$6:$A$256,'Q4 TB-20'!A246,'Raw Data 10-31-2020'!D$6:D$256)</f>
        <v>0</v>
      </c>
      <c r="F246" s="5"/>
      <c r="G246" s="3">
        <f t="shared" si="5"/>
        <v>0</v>
      </c>
      <c r="H246" s="85" t="s">
        <v>951</v>
      </c>
    </row>
    <row r="247" spans="1:8" x14ac:dyDescent="0.75">
      <c r="A247" s="12">
        <v>7500</v>
      </c>
      <c r="B247" s="13" t="s">
        <v>620</v>
      </c>
      <c r="C247" s="3">
        <f>SUMIF('Raw Data 10-31-2020'!$A$6:$A$256,'Q4 TB-20'!A247,'Raw Data 10-31-2020'!C$6:C$256)</f>
        <v>0</v>
      </c>
      <c r="D247" s="4"/>
      <c r="E247" s="3">
        <f>SUMIF('Raw Data 10-31-2020'!$A$6:$A$256,'Q4 TB-20'!A247,'Raw Data 10-31-2020'!D$6:D$256)</f>
        <v>0</v>
      </c>
      <c r="F247" s="5"/>
      <c r="G247" s="3">
        <f t="shared" si="5"/>
        <v>0</v>
      </c>
      <c r="H247" s="85" t="s">
        <v>441</v>
      </c>
    </row>
    <row r="248" spans="1:8" x14ac:dyDescent="0.75">
      <c r="A248" s="12">
        <v>7510</v>
      </c>
      <c r="B248" s="13" t="s">
        <v>621</v>
      </c>
      <c r="C248" s="3">
        <f>SUMIF('Raw Data 10-31-2020'!$A$6:$A$256,'Q4 TB-20'!A248,'Raw Data 10-31-2020'!C$6:C$256)</f>
        <v>4627.59</v>
      </c>
      <c r="D248" s="4"/>
      <c r="E248" s="3">
        <f>SUMIF('Raw Data 10-31-2020'!$A$6:$A$256,'Q4 TB-20'!A248,'Raw Data 10-31-2020'!D$6:D$256)</f>
        <v>0</v>
      </c>
      <c r="F248" s="5"/>
      <c r="G248" s="3">
        <f t="shared" si="5"/>
        <v>4627.59</v>
      </c>
      <c r="H248" s="85" t="s">
        <v>441</v>
      </c>
    </row>
    <row r="249" spans="1:8" x14ac:dyDescent="0.75">
      <c r="A249" s="12">
        <v>7520</v>
      </c>
      <c r="B249" s="13" t="s">
        <v>622</v>
      </c>
      <c r="C249" s="3">
        <f>SUMIF('Raw Data 10-31-2020'!$A$6:$A$256,'Q4 TB-20'!A249,'Raw Data 10-31-2020'!C$6:C$256)</f>
        <v>14029.29</v>
      </c>
      <c r="D249" s="4"/>
      <c r="E249" s="3">
        <f>SUMIF('Raw Data 10-31-2020'!$A$6:$A$256,'Q4 TB-20'!A249,'Raw Data 10-31-2020'!D$6:D$256)</f>
        <v>0</v>
      </c>
      <c r="F249" s="5"/>
      <c r="G249" s="3">
        <f t="shared" si="5"/>
        <v>14029.29</v>
      </c>
      <c r="H249" s="85" t="s">
        <v>441</v>
      </c>
    </row>
    <row r="250" spans="1:8" x14ac:dyDescent="0.75">
      <c r="A250" s="12">
        <v>7530</v>
      </c>
      <c r="B250" s="13" t="s">
        <v>623</v>
      </c>
      <c r="C250" s="3">
        <f>SUMIF('Raw Data 10-31-2020'!$A$6:$A$256,'Q4 TB-20'!A250,'Raw Data 10-31-2020'!C$6:C$256)</f>
        <v>37177.719999999994</v>
      </c>
      <c r="D250" s="4"/>
      <c r="E250" s="3">
        <f>SUMIF('Raw Data 10-31-2020'!$A$6:$A$256,'Q4 TB-20'!A250,'Raw Data 10-31-2020'!D$6:D$256)</f>
        <v>0</v>
      </c>
      <c r="F250" s="5"/>
      <c r="G250" s="3">
        <f t="shared" si="5"/>
        <v>37177.719999999994</v>
      </c>
      <c r="H250" s="85" t="s">
        <v>441</v>
      </c>
    </row>
    <row r="251" spans="1:8" x14ac:dyDescent="0.75">
      <c r="A251" s="12">
        <v>7540</v>
      </c>
      <c r="B251" s="13" t="s">
        <v>624</v>
      </c>
      <c r="C251" s="3">
        <f>SUMIF('Raw Data 10-31-2020'!$A$6:$A$256,'Q4 TB-20'!A251,'Raw Data 10-31-2020'!C$6:C$256)</f>
        <v>87341.31</v>
      </c>
      <c r="D251" s="4"/>
      <c r="E251" s="3">
        <f>SUMIF('Raw Data 10-31-2020'!$A$6:$A$256,'Q4 TB-20'!A251,'Raw Data 10-31-2020'!D$6:D$256)</f>
        <v>0</v>
      </c>
      <c r="F251" s="5"/>
      <c r="G251" s="3">
        <f t="shared" si="5"/>
        <v>87341.31</v>
      </c>
      <c r="H251" s="85" t="s">
        <v>441</v>
      </c>
    </row>
    <row r="252" spans="1:8" x14ac:dyDescent="0.75">
      <c r="A252" s="12" t="s">
        <v>945</v>
      </c>
      <c r="B252" s="13" t="s">
        <v>946</v>
      </c>
      <c r="C252" s="3">
        <f>SUMIF('Raw Data 10-31-2020'!$A$6:$A$256,'Q4 TB-20'!A252,'Raw Data 10-31-2020'!C$6:C$256)</f>
        <v>150907</v>
      </c>
      <c r="D252" s="4"/>
      <c r="E252" s="3">
        <f>SUMIF('Raw Data 10-31-2020'!$A$6:$A$256,'Q4 TB-20'!A252,'Raw Data 10-31-2020'!D$6:D$256)</f>
        <v>0</v>
      </c>
      <c r="F252" s="5"/>
      <c r="G252" s="3">
        <f t="shared" si="5"/>
        <v>150907</v>
      </c>
      <c r="H252" s="85" t="s">
        <v>441</v>
      </c>
    </row>
    <row r="253" spans="1:8" x14ac:dyDescent="0.75">
      <c r="A253" s="14">
        <v>7600</v>
      </c>
      <c r="B253" s="18" t="s">
        <v>694</v>
      </c>
      <c r="C253" s="3">
        <f>SUMIF('Raw Data 10-31-2020'!$A$6:$A$256,'Q4 TB-20'!A253,'Raw Data 10-31-2020'!C$6:C$256)</f>
        <v>0</v>
      </c>
      <c r="D253" s="4"/>
      <c r="E253" s="3">
        <f>SUMIF('Raw Data 10-31-2020'!$A$6:$A$256,'Q4 TB-20'!A253,'Raw Data 10-31-2020'!D$6:D$256)</f>
        <v>0</v>
      </c>
      <c r="F253" s="5"/>
      <c r="G253" s="3">
        <f t="shared" si="5"/>
        <v>0</v>
      </c>
      <c r="H253" s="85" t="s">
        <v>439</v>
      </c>
    </row>
    <row r="254" spans="1:8" x14ac:dyDescent="0.75">
      <c r="A254" s="14">
        <v>7700</v>
      </c>
      <c r="B254" s="18" t="s">
        <v>695</v>
      </c>
      <c r="C254" s="3">
        <f>SUMIF('Raw Data 10-31-2020'!$A$6:$A$256,'Q4 TB-20'!A254,'Raw Data 10-31-2020'!C$6:C$256)</f>
        <v>0</v>
      </c>
      <c r="D254" s="4"/>
      <c r="E254" s="3">
        <f>SUMIF('Raw Data 10-31-2020'!$A$6:$A$256,'Q4 TB-20'!A254,'Raw Data 10-31-2020'!D$6:D$256)</f>
        <v>0</v>
      </c>
      <c r="F254" s="5"/>
      <c r="G254" s="3">
        <f t="shared" si="5"/>
        <v>0</v>
      </c>
      <c r="H254" s="85" t="s">
        <v>439</v>
      </c>
    </row>
    <row r="255" spans="1:8" x14ac:dyDescent="0.75">
      <c r="C255" s="51">
        <f>SUM(C6:C254)</f>
        <v>13689840.759999996</v>
      </c>
      <c r="E255" s="51">
        <f>SUM(E6:E254)</f>
        <v>13689840.76</v>
      </c>
      <c r="G255" s="51">
        <f>SUM(G6:G254)</f>
        <v>-5.5588316172361374E-9</v>
      </c>
    </row>
  </sheetData>
  <autoFilter ref="A5:H255" xr:uid="{E3A31939-DB05-4DC4-A568-D85A8E740C3C}"/>
  <mergeCells count="3">
    <mergeCell ref="B1:D1"/>
    <mergeCell ref="B2:D2"/>
    <mergeCell ref="B3:D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58369" r:id="rId4" name="FILT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58369" r:id="rId4" name="FILTER"/>
      </mc:Fallback>
    </mc:AlternateContent>
    <mc:AlternateContent xmlns:mc="http://schemas.openxmlformats.org/markup-compatibility/2006">
      <mc:Choice Requires="x14">
        <control shapeId="58370" r:id="rId6" name="HEAD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58370" r:id="rId6" name="HEADER"/>
      </mc:Fallback>
    </mc:AlternateContent>
  </control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D7AF-D577-4D08-B621-9B9F560ACCE0}">
  <sheetPr codeName="Sheet1"/>
  <dimension ref="A1:J255"/>
  <sheetViews>
    <sheetView zoomScaleNormal="100" workbookViewId="0">
      <pane xSplit="2" ySplit="5" topLeftCell="C101" activePane="bottomRight" state="frozenSplit"/>
      <selection activeCell="B77" sqref="B77"/>
      <selection pane="topRight" activeCell="B77" sqref="B77"/>
      <selection pane="bottomLeft" activeCell="B77" sqref="B77"/>
      <selection pane="bottomRight" activeCell="B77" sqref="B77"/>
    </sheetView>
  </sheetViews>
  <sheetFormatPr defaultRowHeight="14.75" x14ac:dyDescent="0.75"/>
  <cols>
    <col min="1" max="1" width="11.86328125" style="14" customWidth="1"/>
    <col min="2" max="2" width="40.26953125" style="18" customWidth="1"/>
    <col min="3" max="3" width="14.1328125" style="10" customWidth="1"/>
    <col min="4" max="4" width="2.1328125" style="10" customWidth="1"/>
    <col min="5" max="5" width="15.40625" style="10" customWidth="1"/>
    <col min="6" max="6" width="4.26953125" style="10" customWidth="1"/>
    <col min="7" max="7" width="15.40625" style="10" customWidth="1"/>
    <col min="8" max="8" width="17.54296875" bestFit="1" customWidth="1"/>
  </cols>
  <sheetData>
    <row r="1" spans="1:10" ht="18" x14ac:dyDescent="0.8">
      <c r="B1" s="195" t="s">
        <v>696</v>
      </c>
      <c r="C1" s="197"/>
      <c r="D1" s="197"/>
    </row>
    <row r="2" spans="1:10" ht="18" x14ac:dyDescent="0.8">
      <c r="B2" s="195" t="s">
        <v>697</v>
      </c>
      <c r="C2" s="197"/>
      <c r="D2" s="197"/>
    </row>
    <row r="3" spans="1:10" ht="15.75" x14ac:dyDescent="0.75">
      <c r="B3" s="196" t="str">
        <f>'Raw Data 01-31-2019'!B3:D3</f>
        <v>As of January 31, 2019</v>
      </c>
      <c r="C3" s="196"/>
      <c r="D3" s="196"/>
    </row>
    <row r="4" spans="1:10" ht="15.5" thickBot="1" x14ac:dyDescent="0.9">
      <c r="A4" s="12"/>
      <c r="B4" s="13"/>
      <c r="C4" s="15"/>
      <c r="D4" s="1"/>
      <c r="E4" s="2"/>
      <c r="F4" s="2"/>
      <c r="G4" s="2"/>
    </row>
    <row r="5" spans="1:10" s="9" customFormat="1" ht="16.25" thickTop="1" thickBot="1" x14ac:dyDescent="0.9">
      <c r="A5" s="12" t="s">
        <v>4</v>
      </c>
      <c r="B5" s="17" t="s">
        <v>3</v>
      </c>
      <c r="C5" s="7" t="s">
        <v>0</v>
      </c>
      <c r="D5" s="8"/>
      <c r="E5" s="7" t="s">
        <v>1</v>
      </c>
      <c r="F5" s="15"/>
      <c r="G5" s="15" t="s">
        <v>170</v>
      </c>
      <c r="H5" s="35" t="s">
        <v>799</v>
      </c>
    </row>
    <row r="6" spans="1:10" ht="15.5" thickTop="1" x14ac:dyDescent="0.75">
      <c r="A6" s="12">
        <v>1005</v>
      </c>
      <c r="B6" s="13" t="s">
        <v>457</v>
      </c>
      <c r="C6" s="3">
        <f>SUMIF('Raw Data 01-31-2019'!$A$6:$A$254,'Q1 TB-19'!A6,'Raw Data 01-31-2019'!C$6:C$254)</f>
        <v>0</v>
      </c>
      <c r="D6" s="4"/>
      <c r="E6" s="3">
        <f>SUMIF('Raw Data 01-31-2019'!$A$6:$A$254,'Q1 TB-19'!A6,'Raw Data 01-31-2019'!D$6:D$254)</f>
        <v>0</v>
      </c>
      <c r="F6" s="3"/>
      <c r="G6" s="3">
        <f>C6-E6</f>
        <v>0</v>
      </c>
      <c r="H6" s="53" t="s">
        <v>171</v>
      </c>
      <c r="J6" s="19"/>
    </row>
    <row r="7" spans="1:10" x14ac:dyDescent="0.75">
      <c r="A7" s="12">
        <v>1010</v>
      </c>
      <c r="B7" s="13" t="s">
        <v>458</v>
      </c>
      <c r="C7" s="3">
        <f>SUMIF('Raw Data 01-31-2019'!$A$6:$A$254,'Q1 TB-19'!A7,'Raw Data 01-31-2019'!C$6:C$254)</f>
        <v>26718.58</v>
      </c>
      <c r="D7" s="4"/>
      <c r="E7" s="3">
        <f>SUMIF('Raw Data 01-31-2019'!$A$6:$A$254,'Q1 TB-19'!A7,'Raw Data 01-31-2019'!D$6:D$254)</f>
        <v>0</v>
      </c>
      <c r="F7" s="3"/>
      <c r="G7" s="3">
        <f t="shared" ref="G7:G72" si="0">C7-E7</f>
        <v>26718.58</v>
      </c>
      <c r="H7" s="53" t="s">
        <v>171</v>
      </c>
      <c r="J7" s="19"/>
    </row>
    <row r="8" spans="1:10" x14ac:dyDescent="0.75">
      <c r="A8" s="12">
        <v>1020</v>
      </c>
      <c r="B8" s="13" t="s">
        <v>459</v>
      </c>
      <c r="C8" s="3">
        <f>SUMIF('Raw Data 01-31-2019'!$A$6:$A$254,'Q1 TB-19'!A8,'Raw Data 01-31-2019'!C$6:C$254)</f>
        <v>152689.32999999999</v>
      </c>
      <c r="D8" s="4"/>
      <c r="E8" s="3">
        <f>SUMIF('Raw Data 01-31-2019'!$A$6:$A$254,'Q1 TB-19'!A8,'Raw Data 01-31-2019'!D$6:D$254)</f>
        <v>0</v>
      </c>
      <c r="F8" s="3"/>
      <c r="G8" s="3">
        <f t="shared" si="0"/>
        <v>152689.32999999999</v>
      </c>
      <c r="H8" s="53" t="s">
        <v>171</v>
      </c>
      <c r="J8" s="19"/>
    </row>
    <row r="9" spans="1:10" x14ac:dyDescent="0.75">
      <c r="A9" s="12">
        <v>1200</v>
      </c>
      <c r="B9" s="13" t="s">
        <v>460</v>
      </c>
      <c r="C9" s="3">
        <f>SUMIF('Raw Data 01-31-2019'!$A$6:$A$254,'Q1 TB-19'!A9,'Raw Data 01-31-2019'!C$6:C$254)</f>
        <v>134199.51999999999</v>
      </c>
      <c r="D9" s="4"/>
      <c r="E9" s="3">
        <f>SUMIF('Raw Data 01-31-2019'!$A$6:$A$254,'Q1 TB-19'!A9,'Raw Data 01-31-2019'!D$6:D$254)</f>
        <v>0</v>
      </c>
      <c r="F9" s="3"/>
      <c r="G9" s="3">
        <f t="shared" si="0"/>
        <v>134199.51999999999</v>
      </c>
      <c r="H9" s="53" t="s">
        <v>172</v>
      </c>
      <c r="I9" s="55"/>
      <c r="J9" s="19"/>
    </row>
    <row r="10" spans="1:10" x14ac:dyDescent="0.75">
      <c r="A10" s="12">
        <v>1210</v>
      </c>
      <c r="B10" s="13" t="s">
        <v>461</v>
      </c>
      <c r="C10" s="3">
        <f>SUMIF('Raw Data 01-31-2019'!$A$6:$A$254,'Q1 TB-19'!A10,'Raw Data 01-31-2019'!C$6:C$254)</f>
        <v>0</v>
      </c>
      <c r="D10" s="4"/>
      <c r="E10" s="3">
        <f>SUMIF('Raw Data 01-31-2019'!$A$6:$A$254,'Q1 TB-19'!A10,'Raw Data 01-31-2019'!D$6:D$254)</f>
        <v>0</v>
      </c>
      <c r="F10" s="3"/>
      <c r="G10" s="3">
        <f t="shared" si="0"/>
        <v>0</v>
      </c>
      <c r="H10" s="53" t="s">
        <v>172</v>
      </c>
      <c r="J10" s="19"/>
    </row>
    <row r="11" spans="1:10" x14ac:dyDescent="0.75">
      <c r="A11" s="12">
        <v>1250</v>
      </c>
      <c r="B11" s="13" t="s">
        <v>462</v>
      </c>
      <c r="C11" s="3">
        <f>SUMIF('Raw Data 01-31-2019'!$A$6:$A$254,'Q1 TB-19'!A11,'Raw Data 01-31-2019'!C$6:C$254)</f>
        <v>0</v>
      </c>
      <c r="D11" s="4"/>
      <c r="E11" s="3">
        <f>SUMIF('Raw Data 01-31-2019'!$A$6:$A$254,'Q1 TB-19'!A11,'Raw Data 01-31-2019'!D$6:D$254)</f>
        <v>0</v>
      </c>
      <c r="F11" s="3"/>
      <c r="G11" s="3">
        <f t="shared" si="0"/>
        <v>0</v>
      </c>
      <c r="H11" s="53" t="s">
        <v>172</v>
      </c>
      <c r="J11" s="19"/>
    </row>
    <row r="12" spans="1:10" x14ac:dyDescent="0.75">
      <c r="A12" s="12">
        <v>1280</v>
      </c>
      <c r="B12" s="13" t="s">
        <v>468</v>
      </c>
      <c r="C12" s="3">
        <f>SUMIF('Raw Data 01-31-2019'!$A$6:$A$254,'Q1 TB-19'!A12,'Raw Data 01-31-2019'!C$6:C$254)</f>
        <v>0</v>
      </c>
      <c r="D12" s="4"/>
      <c r="E12" s="3">
        <f>SUMIF('Raw Data 01-31-2019'!$A$6:$A$254,'Q1 TB-19'!A12,'Raw Data 01-31-2019'!D$6:D$254)</f>
        <v>0</v>
      </c>
      <c r="F12" s="3"/>
      <c r="G12" s="3">
        <f t="shared" si="0"/>
        <v>0</v>
      </c>
      <c r="H12" s="53" t="s">
        <v>175</v>
      </c>
      <c r="J12" s="19"/>
    </row>
    <row r="13" spans="1:10" x14ac:dyDescent="0.75">
      <c r="A13" s="12">
        <v>1290</v>
      </c>
      <c r="B13" s="13" t="s">
        <v>469</v>
      </c>
      <c r="C13" s="3">
        <f>SUMIF('Raw Data 01-31-2019'!$A$6:$A$254,'Q1 TB-19'!A13,'Raw Data 01-31-2019'!C$6:C$254)</f>
        <v>0</v>
      </c>
      <c r="D13" s="4"/>
      <c r="E13" s="3">
        <f>SUMIF('Raw Data 01-31-2019'!$A$6:$A$254,'Q1 TB-19'!A13,'Raw Data 01-31-2019'!D$6:D$254)</f>
        <v>0</v>
      </c>
      <c r="F13" s="3"/>
      <c r="G13" s="3">
        <f t="shared" si="0"/>
        <v>0</v>
      </c>
      <c r="H13" s="53" t="s">
        <v>172</v>
      </c>
      <c r="J13" s="19"/>
    </row>
    <row r="14" spans="1:10" x14ac:dyDescent="0.75">
      <c r="A14" s="12">
        <v>1300</v>
      </c>
      <c r="B14" s="13" t="s">
        <v>463</v>
      </c>
      <c r="C14" s="3">
        <f>SUMIF('Raw Data 01-31-2019'!$A$6:$A$254,'Q1 TB-19'!A14,'Raw Data 01-31-2019'!C$6:C$254)</f>
        <v>0</v>
      </c>
      <c r="D14" s="4"/>
      <c r="E14" s="3">
        <f>SUMIF('Raw Data 01-31-2019'!$A$6:$A$254,'Q1 TB-19'!A14,'Raw Data 01-31-2019'!D$6:D$254)</f>
        <v>0</v>
      </c>
      <c r="F14" s="3"/>
      <c r="G14" s="3">
        <f t="shared" si="0"/>
        <v>0</v>
      </c>
      <c r="H14" s="53" t="s">
        <v>174</v>
      </c>
      <c r="J14" s="19"/>
    </row>
    <row r="15" spans="1:10" x14ac:dyDescent="0.75">
      <c r="A15" s="12">
        <v>1310</v>
      </c>
      <c r="B15" s="13" t="s">
        <v>467</v>
      </c>
      <c r="C15" s="3">
        <f>SUMIF('Raw Data 01-31-2019'!$A$6:$A$254,'Q1 TB-19'!A15,'Raw Data 01-31-2019'!C$6:C$254)</f>
        <v>41082.230000000003</v>
      </c>
      <c r="D15" s="4"/>
      <c r="E15" s="3">
        <f>SUMIF('Raw Data 01-31-2019'!$A$6:$A$254,'Q1 TB-19'!A15,'Raw Data 01-31-2019'!D$6:D$254)</f>
        <v>0</v>
      </c>
      <c r="F15" s="3"/>
      <c r="G15" s="3">
        <f t="shared" si="0"/>
        <v>41082.230000000003</v>
      </c>
      <c r="H15" s="53" t="s">
        <v>174</v>
      </c>
      <c r="J15" s="19"/>
    </row>
    <row r="16" spans="1:10" x14ac:dyDescent="0.75">
      <c r="A16" s="12">
        <v>1320</v>
      </c>
      <c r="B16" s="13" t="s">
        <v>466</v>
      </c>
      <c r="C16" s="3">
        <f>SUMIF('Raw Data 01-31-2019'!$A$6:$A$254,'Q1 TB-19'!A16,'Raw Data 01-31-2019'!C$6:C$254)</f>
        <v>0</v>
      </c>
      <c r="D16" s="4"/>
      <c r="E16" s="3">
        <f>SUMIF('Raw Data 01-31-2019'!$A$6:$A$254,'Q1 TB-19'!A16,'Raw Data 01-31-2019'!D$6:D$254)</f>
        <v>0</v>
      </c>
      <c r="F16" s="3"/>
      <c r="G16" s="3">
        <f t="shared" si="0"/>
        <v>0</v>
      </c>
      <c r="H16" s="53" t="s">
        <v>174</v>
      </c>
      <c r="J16" s="19"/>
    </row>
    <row r="17" spans="1:10" x14ac:dyDescent="0.75">
      <c r="A17" s="12">
        <v>1330</v>
      </c>
      <c r="B17" s="13" t="s">
        <v>464</v>
      </c>
      <c r="C17" s="3">
        <f>SUMIF('Raw Data 01-31-2019'!$A$6:$A$254,'Q1 TB-19'!A17,'Raw Data 01-31-2019'!C$6:C$254)</f>
        <v>0</v>
      </c>
      <c r="D17" s="4"/>
      <c r="E17" s="3">
        <f>SUMIF('Raw Data 01-31-2019'!$A$6:$A$254,'Q1 TB-19'!A17,'Raw Data 01-31-2019'!D$6:D$254)</f>
        <v>0</v>
      </c>
      <c r="F17" s="3"/>
      <c r="G17" s="3">
        <f t="shared" si="0"/>
        <v>0</v>
      </c>
      <c r="H17" s="53" t="s">
        <v>174</v>
      </c>
      <c r="J17" s="19"/>
    </row>
    <row r="18" spans="1:10" x14ac:dyDescent="0.75">
      <c r="A18" s="12">
        <v>1340</v>
      </c>
      <c r="B18" s="13" t="s">
        <v>465</v>
      </c>
      <c r="C18" s="3">
        <f>SUMIF('Raw Data 01-31-2019'!$A$6:$A$254,'Q1 TB-19'!A18,'Raw Data 01-31-2019'!C$6:C$254)</f>
        <v>0</v>
      </c>
      <c r="D18" s="4"/>
      <c r="E18" s="3">
        <f>SUMIF('Raw Data 01-31-2019'!$A$6:$A$254,'Q1 TB-19'!A18,'Raw Data 01-31-2019'!D$6:D$254)</f>
        <v>0</v>
      </c>
      <c r="F18" s="3"/>
      <c r="G18" s="3">
        <f t="shared" si="0"/>
        <v>0</v>
      </c>
      <c r="H18" s="53" t="s">
        <v>174</v>
      </c>
      <c r="J18" s="19"/>
    </row>
    <row r="19" spans="1:10" x14ac:dyDescent="0.75">
      <c r="A19" s="12">
        <v>1410</v>
      </c>
      <c r="B19" s="13" t="s">
        <v>470</v>
      </c>
      <c r="C19" s="3">
        <f>SUMIF('Raw Data 01-31-2019'!$A$6:$A$254,'Q1 TB-19'!A19,'Raw Data 01-31-2019'!C$6:C$254)</f>
        <v>42608.54</v>
      </c>
      <c r="D19" s="4"/>
      <c r="E19" s="3">
        <f>SUMIF('Raw Data 01-31-2019'!$A$6:$A$254,'Q1 TB-19'!A19,'Raw Data 01-31-2019'!D$6:D$254)</f>
        <v>0</v>
      </c>
      <c r="F19" s="3"/>
      <c r="G19" s="3">
        <f t="shared" si="0"/>
        <v>42608.54</v>
      </c>
      <c r="H19" s="53" t="s">
        <v>175</v>
      </c>
      <c r="J19" s="19"/>
    </row>
    <row r="20" spans="1:10" x14ac:dyDescent="0.75">
      <c r="A20" s="12">
        <v>1420</v>
      </c>
      <c r="B20" s="13" t="s">
        <v>471</v>
      </c>
      <c r="C20" s="3">
        <f>SUMIF('Raw Data 01-31-2019'!$A$6:$A$254,'Q1 TB-19'!A20,'Raw Data 01-31-2019'!C$6:C$254)</f>
        <v>0</v>
      </c>
      <c r="D20" s="4"/>
      <c r="E20" s="3">
        <f>SUMIF('Raw Data 01-31-2019'!$A$6:$A$254,'Q1 TB-19'!A20,'Raw Data 01-31-2019'!D$6:D$254)</f>
        <v>0</v>
      </c>
      <c r="F20" s="3"/>
      <c r="G20" s="3">
        <f t="shared" si="0"/>
        <v>0</v>
      </c>
      <c r="H20" s="53" t="s">
        <v>175</v>
      </c>
      <c r="J20" s="19"/>
    </row>
    <row r="21" spans="1:10" x14ac:dyDescent="0.75">
      <c r="A21" s="12">
        <v>1430</v>
      </c>
      <c r="B21" s="13" t="s">
        <v>472</v>
      </c>
      <c r="C21" s="3">
        <f>SUMIF('Raw Data 01-31-2019'!$A$6:$A$254,'Q1 TB-19'!A21,'Raw Data 01-31-2019'!C$6:C$254)</f>
        <v>0</v>
      </c>
      <c r="D21" s="4"/>
      <c r="E21" s="3">
        <f>SUMIF('Raw Data 01-31-2019'!$A$6:$A$254,'Q1 TB-19'!A21,'Raw Data 01-31-2019'!D$6:D$254)</f>
        <v>0</v>
      </c>
      <c r="F21" s="3"/>
      <c r="G21" s="3">
        <f t="shared" si="0"/>
        <v>0</v>
      </c>
      <c r="H21" s="53" t="s">
        <v>175</v>
      </c>
      <c r="J21" s="19"/>
    </row>
    <row r="22" spans="1:10" x14ac:dyDescent="0.75">
      <c r="A22" s="12">
        <v>1710</v>
      </c>
      <c r="B22" s="13" t="s">
        <v>481</v>
      </c>
      <c r="C22" s="3">
        <f>SUMIF('Raw Data 01-31-2019'!$A$6:$A$254,'Q1 TB-19'!A22,'Raw Data 01-31-2019'!C$6:C$254)</f>
        <v>97384.17</v>
      </c>
      <c r="D22" s="4"/>
      <c r="E22" s="3">
        <f>SUMIF('Raw Data 01-31-2019'!$A$6:$A$254,'Q1 TB-19'!A22,'Raw Data 01-31-2019'!D$6:D$254)</f>
        <v>0</v>
      </c>
      <c r="F22" s="3"/>
      <c r="G22" s="3">
        <f t="shared" si="0"/>
        <v>97384.17</v>
      </c>
      <c r="H22" s="53" t="s">
        <v>173</v>
      </c>
      <c r="J22" s="19"/>
    </row>
    <row r="23" spans="1:10" x14ac:dyDescent="0.75">
      <c r="A23" s="12">
        <v>1715</v>
      </c>
      <c r="B23" s="13" t="s">
        <v>483</v>
      </c>
      <c r="C23" s="3">
        <f>SUMIF('Raw Data 01-31-2019'!$A$6:$A$254,'Q1 TB-19'!A23,'Raw Data 01-31-2019'!C$6:C$254)</f>
        <v>0</v>
      </c>
      <c r="D23" s="4"/>
      <c r="E23" s="3">
        <f>SUMIF('Raw Data 01-31-2019'!$A$6:$A$254,'Q1 TB-19'!A23,'Raw Data 01-31-2019'!D$6:D$254)</f>
        <v>0</v>
      </c>
      <c r="F23" s="3"/>
      <c r="G23" s="3">
        <f t="shared" si="0"/>
        <v>0</v>
      </c>
      <c r="H23" s="53" t="s">
        <v>173</v>
      </c>
      <c r="J23" s="19"/>
    </row>
    <row r="24" spans="1:10" x14ac:dyDescent="0.75">
      <c r="A24" s="12">
        <v>1720</v>
      </c>
      <c r="B24" s="13" t="s">
        <v>484</v>
      </c>
      <c r="C24" s="3">
        <f>SUMIF('Raw Data 01-31-2019'!$A$6:$A$254,'Q1 TB-19'!A24,'Raw Data 01-31-2019'!C$6:C$254)</f>
        <v>0</v>
      </c>
      <c r="D24" s="4"/>
      <c r="E24" s="3">
        <f>SUMIF('Raw Data 01-31-2019'!$A$6:$A$254,'Q1 TB-19'!A24,'Raw Data 01-31-2019'!D$6:D$254)</f>
        <v>0</v>
      </c>
      <c r="F24" s="3"/>
      <c r="G24" s="3">
        <f t="shared" si="0"/>
        <v>0</v>
      </c>
      <c r="H24" s="53" t="s">
        <v>173</v>
      </c>
      <c r="J24" s="19"/>
    </row>
    <row r="25" spans="1:10" x14ac:dyDescent="0.75">
      <c r="A25" s="12">
        <v>1725</v>
      </c>
      <c r="B25" s="13" t="s">
        <v>485</v>
      </c>
      <c r="C25" s="3">
        <f>SUMIF('Raw Data 01-31-2019'!$A$6:$A$254,'Q1 TB-19'!A25,'Raw Data 01-31-2019'!C$6:C$254)</f>
        <v>2446.33</v>
      </c>
      <c r="D25" s="4"/>
      <c r="E25" s="3">
        <f>SUMIF('Raw Data 01-31-2019'!$A$6:$A$254,'Q1 TB-19'!A25,'Raw Data 01-31-2019'!D$6:D$254)</f>
        <v>0</v>
      </c>
      <c r="F25" s="3"/>
      <c r="G25" s="3">
        <f t="shared" si="0"/>
        <v>2446.33</v>
      </c>
      <c r="H25" s="53" t="s">
        <v>173</v>
      </c>
      <c r="J25" s="19"/>
    </row>
    <row r="26" spans="1:10" x14ac:dyDescent="0.75">
      <c r="A26" s="12">
        <v>1735</v>
      </c>
      <c r="B26" s="13" t="s">
        <v>487</v>
      </c>
      <c r="C26" s="3">
        <f>SUMIF('Raw Data 01-31-2019'!$A$6:$A$254,'Q1 TB-19'!A26,'Raw Data 01-31-2019'!C$6:C$254)</f>
        <v>4977.6499999999996</v>
      </c>
      <c r="D26" s="4"/>
      <c r="E26" s="3">
        <f>SUMIF('Raw Data 01-31-2019'!$A$6:$A$254,'Q1 TB-19'!A26,'Raw Data 01-31-2019'!D$6:D$254)</f>
        <v>0</v>
      </c>
      <c r="F26" s="3"/>
      <c r="G26" s="3">
        <f t="shared" si="0"/>
        <v>4977.6499999999996</v>
      </c>
      <c r="H26" s="53" t="s">
        <v>173</v>
      </c>
      <c r="J26" s="19"/>
    </row>
    <row r="27" spans="1:10" s="53" customFormat="1" x14ac:dyDescent="0.75">
      <c r="A27" s="12">
        <v>1740</v>
      </c>
      <c r="B27" s="13" t="s">
        <v>488</v>
      </c>
      <c r="C27" s="3">
        <f>SUMIF('Raw Data 01-31-2019'!$A$6:$A$254,'Q1 TB-19'!A27,'Raw Data 01-31-2019'!C$6:C$254)</f>
        <v>0</v>
      </c>
      <c r="D27" s="4"/>
      <c r="E27" s="3">
        <f>SUMIF('Raw Data 01-31-2019'!$A$6:$A$254,'Q1 TB-19'!A27,'Raw Data 01-31-2019'!D$6:D$254)</f>
        <v>0</v>
      </c>
      <c r="F27" s="3"/>
      <c r="G27" s="3">
        <f t="shared" ref="G27" si="1">C27-E27</f>
        <v>0</v>
      </c>
      <c r="H27" s="53" t="s">
        <v>173</v>
      </c>
      <c r="J27" s="19"/>
    </row>
    <row r="28" spans="1:10" x14ac:dyDescent="0.75">
      <c r="A28" s="12">
        <v>1745</v>
      </c>
      <c r="B28" s="13" t="s">
        <v>489</v>
      </c>
      <c r="C28" s="3">
        <f>SUMIF('Raw Data 01-31-2019'!$A$6:$A$254,'Q1 TB-19'!A28,'Raw Data 01-31-2019'!C$6:C$254)</f>
        <v>179916.22</v>
      </c>
      <c r="D28" s="4"/>
      <c r="E28" s="3">
        <f>SUMIF('Raw Data 01-31-2019'!$A$6:$A$254,'Q1 TB-19'!A28,'Raw Data 01-31-2019'!D$6:D$254)</f>
        <v>0</v>
      </c>
      <c r="F28" s="3"/>
      <c r="G28" s="3">
        <f t="shared" si="0"/>
        <v>179916.22</v>
      </c>
      <c r="H28" s="53" t="s">
        <v>173</v>
      </c>
      <c r="J28" s="19"/>
    </row>
    <row r="29" spans="1:10" x14ac:dyDescent="0.75">
      <c r="A29" s="12">
        <v>1750</v>
      </c>
      <c r="B29" s="13" t="s">
        <v>490</v>
      </c>
      <c r="C29" s="3">
        <f>SUMIF('Raw Data 01-31-2019'!$A$6:$A$254,'Q1 TB-19'!A29,'Raw Data 01-31-2019'!C$6:C$254)</f>
        <v>10394.01</v>
      </c>
      <c r="D29" s="4"/>
      <c r="E29" s="3">
        <f>SUMIF('Raw Data 01-31-2019'!$A$6:$A$254,'Q1 TB-19'!A29,'Raw Data 01-31-2019'!D$6:D$254)</f>
        <v>0</v>
      </c>
      <c r="F29" s="3"/>
      <c r="G29" s="3">
        <f t="shared" si="0"/>
        <v>10394.01</v>
      </c>
      <c r="H29" s="53" t="s">
        <v>173</v>
      </c>
      <c r="J29" s="19"/>
    </row>
    <row r="30" spans="1:10" x14ac:dyDescent="0.75">
      <c r="A30" s="12">
        <v>1755</v>
      </c>
      <c r="B30" s="13" t="s">
        <v>491</v>
      </c>
      <c r="C30" s="3">
        <f>SUMIF('Raw Data 01-31-2019'!$A$6:$A$254,'Q1 TB-19'!A30,'Raw Data 01-31-2019'!C$6:C$254)</f>
        <v>787.91</v>
      </c>
      <c r="D30" s="4"/>
      <c r="E30" s="3">
        <f>SUMIF('Raw Data 01-31-2019'!$A$6:$A$254,'Q1 TB-19'!A30,'Raw Data 01-31-2019'!D$6:D$254)</f>
        <v>0</v>
      </c>
      <c r="F30" s="3"/>
      <c r="G30" s="3">
        <f t="shared" si="0"/>
        <v>787.91</v>
      </c>
      <c r="H30" s="53" t="s">
        <v>173</v>
      </c>
      <c r="J30" s="19"/>
    </row>
    <row r="31" spans="1:10" x14ac:dyDescent="0.75">
      <c r="A31" s="12">
        <v>1760</v>
      </c>
      <c r="B31" s="13" t="s">
        <v>492</v>
      </c>
      <c r="C31" s="3">
        <f>SUMIF('Raw Data 01-31-2019'!$A$6:$A$254,'Q1 TB-19'!A31,'Raw Data 01-31-2019'!C$6:C$254)</f>
        <v>20105.95</v>
      </c>
      <c r="D31" s="4"/>
      <c r="E31" s="3">
        <f>SUMIF('Raw Data 01-31-2019'!$A$6:$A$254,'Q1 TB-19'!A31,'Raw Data 01-31-2019'!D$6:D$254)</f>
        <v>0</v>
      </c>
      <c r="F31" s="3"/>
      <c r="G31" s="3">
        <f t="shared" si="0"/>
        <v>20105.95</v>
      </c>
      <c r="H31" s="53" t="s">
        <v>173</v>
      </c>
      <c r="J31" s="19"/>
    </row>
    <row r="32" spans="1:10" x14ac:dyDescent="0.75">
      <c r="A32" s="12">
        <v>1765</v>
      </c>
      <c r="B32" s="13" t="s">
        <v>493</v>
      </c>
      <c r="C32" s="3">
        <f>SUMIF('Raw Data 01-31-2019'!$A$6:$A$254,'Q1 TB-19'!A32,'Raw Data 01-31-2019'!C$6:C$254)</f>
        <v>1015.31</v>
      </c>
      <c r="D32" s="4"/>
      <c r="E32" s="3">
        <f>SUMIF('Raw Data 01-31-2019'!$A$6:$A$254,'Q1 TB-19'!A32,'Raw Data 01-31-2019'!D$6:D$254)</f>
        <v>0</v>
      </c>
      <c r="F32" s="3"/>
      <c r="G32" s="3">
        <f t="shared" si="0"/>
        <v>1015.31</v>
      </c>
      <c r="H32" s="53" t="s">
        <v>173</v>
      </c>
      <c r="J32" s="19"/>
    </row>
    <row r="33" spans="1:10" x14ac:dyDescent="0.75">
      <c r="A33" s="12">
        <v>1781</v>
      </c>
      <c r="B33" s="13" t="s">
        <v>482</v>
      </c>
      <c r="C33" s="3">
        <f>SUMIF('Raw Data 01-31-2019'!$A$6:$A$254,'Q1 TB-19'!A33,'Raw Data 01-31-2019'!C$6:C$254)</f>
        <v>0</v>
      </c>
      <c r="D33" s="4"/>
      <c r="E33" s="3">
        <f>SUMIF('Raw Data 01-31-2019'!$A$6:$A$254,'Q1 TB-19'!A33,'Raw Data 01-31-2019'!D$6:D$254)</f>
        <v>28417.3</v>
      </c>
      <c r="F33" s="3"/>
      <c r="G33" s="3">
        <f t="shared" si="0"/>
        <v>-28417.3</v>
      </c>
      <c r="H33" s="53" t="s">
        <v>173</v>
      </c>
      <c r="J33" s="19"/>
    </row>
    <row r="34" spans="1:10" x14ac:dyDescent="0.75">
      <c r="A34" s="12">
        <v>1782</v>
      </c>
      <c r="B34" s="13" t="s">
        <v>473</v>
      </c>
      <c r="C34" s="3">
        <f>SUMIF('Raw Data 01-31-2019'!$A$6:$A$254,'Q1 TB-19'!A34,'Raw Data 01-31-2019'!C$6:C$254)</f>
        <v>0</v>
      </c>
      <c r="D34" s="4"/>
      <c r="E34" s="3">
        <f>SUMIF('Raw Data 01-31-2019'!$A$6:$A$254,'Q1 TB-19'!A34,'Raw Data 01-31-2019'!D$6:D$254)</f>
        <v>0</v>
      </c>
      <c r="F34" s="3"/>
      <c r="G34" s="3">
        <f t="shared" si="0"/>
        <v>0</v>
      </c>
      <c r="H34" s="53" t="s">
        <v>173</v>
      </c>
      <c r="J34" s="19"/>
    </row>
    <row r="35" spans="1:10" x14ac:dyDescent="0.75">
      <c r="A35" s="12">
        <v>1783</v>
      </c>
      <c r="B35" s="13" t="s">
        <v>474</v>
      </c>
      <c r="C35" s="3">
        <f>SUMIF('Raw Data 01-31-2019'!$A$6:$A$254,'Q1 TB-19'!A35,'Raw Data 01-31-2019'!C$6:C$254)</f>
        <v>0</v>
      </c>
      <c r="D35" s="4"/>
      <c r="E35" s="3">
        <f>SUMIF('Raw Data 01-31-2019'!$A$6:$A$254,'Q1 TB-19'!A35,'Raw Data 01-31-2019'!D$6:D$254)</f>
        <v>0</v>
      </c>
      <c r="F35" s="3"/>
      <c r="G35" s="3">
        <f t="shared" si="0"/>
        <v>0</v>
      </c>
      <c r="H35" s="53" t="s">
        <v>173</v>
      </c>
      <c r="J35" s="19"/>
    </row>
    <row r="36" spans="1:10" x14ac:dyDescent="0.75">
      <c r="A36" s="12">
        <v>1784</v>
      </c>
      <c r="B36" s="13" t="s">
        <v>486</v>
      </c>
      <c r="C36" s="3">
        <f>SUMIF('Raw Data 01-31-2019'!$A$6:$A$254,'Q1 TB-19'!A36,'Raw Data 01-31-2019'!C$6:C$254)</f>
        <v>0</v>
      </c>
      <c r="D36" s="4"/>
      <c r="E36" s="3">
        <f>SUMIF('Raw Data 01-31-2019'!$A$6:$A$254,'Q1 TB-19'!A36,'Raw Data 01-31-2019'!D$6:D$254)</f>
        <v>69.819999999999993</v>
      </c>
      <c r="F36" s="3"/>
      <c r="G36" s="3">
        <f t="shared" si="0"/>
        <v>-69.819999999999993</v>
      </c>
      <c r="H36" s="53" t="s">
        <v>173</v>
      </c>
      <c r="J36" s="19"/>
    </row>
    <row r="37" spans="1:10" x14ac:dyDescent="0.75">
      <c r="A37" s="12">
        <v>1785</v>
      </c>
      <c r="B37" s="13" t="s">
        <v>476</v>
      </c>
      <c r="C37" s="3">
        <f>SUMIF('Raw Data 01-31-2019'!$A$6:$A$254,'Q1 TB-19'!A37,'Raw Data 01-31-2019'!C$6:C$254)</f>
        <v>0</v>
      </c>
      <c r="D37" s="4"/>
      <c r="E37" s="3">
        <f>SUMIF('Raw Data 01-31-2019'!$A$6:$A$254,'Q1 TB-19'!A37,'Raw Data 01-31-2019'!D$6:D$254)</f>
        <v>3550.67</v>
      </c>
      <c r="F37" s="3"/>
      <c r="G37" s="3">
        <f t="shared" si="0"/>
        <v>-3550.67</v>
      </c>
      <c r="H37" s="53" t="s">
        <v>173</v>
      </c>
      <c r="J37" s="19"/>
    </row>
    <row r="38" spans="1:10" x14ac:dyDescent="0.75">
      <c r="A38" s="12">
        <v>1786</v>
      </c>
      <c r="B38" s="13" t="s">
        <v>475</v>
      </c>
      <c r="C38" s="3">
        <f>SUMIF('Raw Data 01-31-2019'!$A$6:$A$254,'Q1 TB-19'!A38,'Raw Data 01-31-2019'!C$6:C$254)</f>
        <v>0</v>
      </c>
      <c r="D38" s="4"/>
      <c r="E38" s="3">
        <f>SUMIF('Raw Data 01-31-2019'!$A$6:$A$254,'Q1 TB-19'!A38,'Raw Data 01-31-2019'!D$6:D$254)</f>
        <v>0</v>
      </c>
      <c r="F38" s="3"/>
      <c r="G38" s="3">
        <f t="shared" si="0"/>
        <v>0</v>
      </c>
      <c r="H38" s="53" t="s">
        <v>173</v>
      </c>
      <c r="J38" s="19"/>
    </row>
    <row r="39" spans="1:10" x14ac:dyDescent="0.75">
      <c r="A39" s="12">
        <v>1787</v>
      </c>
      <c r="B39" s="13" t="s">
        <v>477</v>
      </c>
      <c r="C39" s="3">
        <f>SUMIF('Raw Data 01-31-2019'!$A$6:$A$254,'Q1 TB-19'!A39,'Raw Data 01-31-2019'!C$6:C$254)</f>
        <v>0</v>
      </c>
      <c r="D39" s="4"/>
      <c r="E39" s="3">
        <f>SUMIF('Raw Data 01-31-2019'!$A$6:$A$254,'Q1 TB-19'!A39,'Raw Data 01-31-2019'!D$6:D$254)</f>
        <v>157984.21</v>
      </c>
      <c r="F39" s="3"/>
      <c r="G39" s="3">
        <f t="shared" si="0"/>
        <v>-157984.21</v>
      </c>
      <c r="H39" s="53" t="s">
        <v>173</v>
      </c>
      <c r="J39" s="19"/>
    </row>
    <row r="40" spans="1:10" x14ac:dyDescent="0.75">
      <c r="A40" s="12" t="s">
        <v>863</v>
      </c>
      <c r="B40" s="13" t="s">
        <v>864</v>
      </c>
      <c r="C40" s="3">
        <f>SUMIF('Raw Data 01-31-2019'!$A$6:$A$254,'Q1 TB-19'!A40,'Raw Data 01-31-2019'!C$6:C$254)</f>
        <v>0</v>
      </c>
      <c r="D40" s="4"/>
      <c r="E40" s="3">
        <f>SUMIF('Raw Data 01-31-2019'!$A$6:$A$254,'Q1 TB-19'!A40,'Raw Data 01-31-2019'!D$6:D$254)</f>
        <v>10394.01</v>
      </c>
      <c r="F40" s="3"/>
      <c r="G40" s="3">
        <f t="shared" si="0"/>
        <v>-10394.01</v>
      </c>
      <c r="H40" s="53" t="s">
        <v>173</v>
      </c>
      <c r="J40" s="19"/>
    </row>
    <row r="41" spans="1:10" x14ac:dyDescent="0.75">
      <c r="A41" s="12">
        <v>1789</v>
      </c>
      <c r="B41" s="13" t="s">
        <v>478</v>
      </c>
      <c r="C41" s="3">
        <f>SUMIF('Raw Data 01-31-2019'!$A$6:$A$254,'Q1 TB-19'!A41,'Raw Data 01-31-2019'!C$6:C$254)</f>
        <v>0</v>
      </c>
      <c r="D41" s="4"/>
      <c r="E41" s="3">
        <f>SUMIF('Raw Data 01-31-2019'!$A$6:$A$254,'Q1 TB-19'!A41,'Raw Data 01-31-2019'!D$6:D$254)</f>
        <v>787.91</v>
      </c>
      <c r="F41" s="3"/>
      <c r="G41" s="3">
        <f t="shared" si="0"/>
        <v>-787.91</v>
      </c>
      <c r="H41" s="53" t="s">
        <v>173</v>
      </c>
      <c r="J41" s="19"/>
    </row>
    <row r="42" spans="1:10" x14ac:dyDescent="0.75">
      <c r="A42" s="12">
        <v>1790</v>
      </c>
      <c r="B42" s="13" t="s">
        <v>479</v>
      </c>
      <c r="C42" s="3">
        <f>SUMIF('Raw Data 01-31-2019'!$A$6:$A$254,'Q1 TB-19'!A42,'Raw Data 01-31-2019'!C$6:C$254)</f>
        <v>0</v>
      </c>
      <c r="D42" s="4"/>
      <c r="E42" s="3">
        <f>SUMIF('Raw Data 01-31-2019'!$A$6:$A$254,'Q1 TB-19'!A42,'Raw Data 01-31-2019'!D$6:D$254)</f>
        <v>1015.31</v>
      </c>
      <c r="F42" s="3"/>
      <c r="G42" s="3">
        <f t="shared" si="0"/>
        <v>-1015.31</v>
      </c>
      <c r="H42" s="53" t="s">
        <v>173</v>
      </c>
      <c r="J42" s="19"/>
    </row>
    <row r="43" spans="1:10" x14ac:dyDescent="0.75">
      <c r="A43" s="12">
        <v>1791</v>
      </c>
      <c r="B43" s="13" t="s">
        <v>480</v>
      </c>
      <c r="C43" s="3">
        <f>SUMIF('Raw Data 01-31-2019'!$A$6:$A$254,'Q1 TB-19'!A43,'Raw Data 01-31-2019'!C$6:C$254)</f>
        <v>0</v>
      </c>
      <c r="D43" s="4"/>
      <c r="E43" s="3">
        <f>SUMIF('Raw Data 01-31-2019'!$A$6:$A$254,'Q1 TB-19'!A43,'Raw Data 01-31-2019'!D$6:D$254)</f>
        <v>19314.3</v>
      </c>
      <c r="F43" s="3"/>
      <c r="G43" s="3">
        <f t="shared" si="0"/>
        <v>-19314.3</v>
      </c>
      <c r="H43" s="53" t="s">
        <v>173</v>
      </c>
      <c r="J43" s="19"/>
    </row>
    <row r="44" spans="1:10" s="85" customFormat="1" x14ac:dyDescent="0.75">
      <c r="A44" s="12" t="s">
        <v>67</v>
      </c>
      <c r="B44" s="13" t="s">
        <v>921</v>
      </c>
      <c r="C44" s="3">
        <f>SUMIF('Raw Data 01-31-2019'!$A$6:$A$254,'Q1 TB-19'!A44,'Raw Data 01-31-2019'!C$6:C$254)</f>
        <v>80171</v>
      </c>
      <c r="D44" s="4"/>
      <c r="E44" s="3">
        <f>SUMIF('Raw Data 01-31-2019'!$A$6:$A$254,'Q1 TB-19'!A44,'Raw Data 01-31-2019'!D$6:D$254)</f>
        <v>0</v>
      </c>
      <c r="F44" s="3"/>
      <c r="G44" s="3">
        <f t="shared" ref="G44" si="2">C44-E44</f>
        <v>80171</v>
      </c>
      <c r="H44" s="85" t="s">
        <v>922</v>
      </c>
      <c r="J44" s="19"/>
    </row>
    <row r="45" spans="1:10" x14ac:dyDescent="0.75">
      <c r="A45" s="12">
        <v>1820</v>
      </c>
      <c r="B45" s="13" t="s">
        <v>495</v>
      </c>
      <c r="C45" s="3">
        <f>SUMIF('Raw Data 01-31-2019'!$A$6:$A$254,'Q1 TB-19'!A45,'Raw Data 01-31-2019'!C$6:C$254)</f>
        <v>0</v>
      </c>
      <c r="D45" s="4"/>
      <c r="E45" s="3">
        <f>SUMIF('Raw Data 01-31-2019'!$A$6:$A$254,'Q1 TB-19'!A45,'Raw Data 01-31-2019'!D$6:D$254)</f>
        <v>0</v>
      </c>
      <c r="F45" s="3"/>
      <c r="G45" s="3">
        <f t="shared" si="0"/>
        <v>0</v>
      </c>
      <c r="H45" s="53" t="s">
        <v>444</v>
      </c>
      <c r="J45" s="19"/>
    </row>
    <row r="46" spans="1:10" x14ac:dyDescent="0.75">
      <c r="A46" s="12">
        <v>1830</v>
      </c>
      <c r="B46" s="13" t="s">
        <v>496</v>
      </c>
      <c r="C46" s="3">
        <f>SUMIF('Raw Data 01-31-2019'!$A$6:$A$254,'Q1 TB-19'!A46,'Raw Data 01-31-2019'!C$6:C$254)</f>
        <v>0</v>
      </c>
      <c r="D46" s="4"/>
      <c r="E46" s="3">
        <f>SUMIF('Raw Data 01-31-2019'!$A$6:$A$254,'Q1 TB-19'!A46,'Raw Data 01-31-2019'!D$6:D$254)</f>
        <v>0</v>
      </c>
      <c r="F46" s="3"/>
      <c r="G46" s="3">
        <f t="shared" si="0"/>
        <v>0</v>
      </c>
      <c r="H46" s="53" t="s">
        <v>444</v>
      </c>
      <c r="J46" s="19"/>
    </row>
    <row r="47" spans="1:10" x14ac:dyDescent="0.75">
      <c r="A47" s="12">
        <v>1840</v>
      </c>
      <c r="B47" s="13" t="s">
        <v>497</v>
      </c>
      <c r="C47" s="3">
        <f>SUMIF('Raw Data 01-31-2019'!$A$6:$A$254,'Q1 TB-19'!A47,'Raw Data 01-31-2019'!C$6:C$254)</f>
        <v>0</v>
      </c>
      <c r="D47" s="4"/>
      <c r="E47" s="3">
        <f>SUMIF('Raw Data 01-31-2019'!$A$6:$A$254,'Q1 TB-19'!A47,'Raw Data 01-31-2019'!D$6:D$254)</f>
        <v>0</v>
      </c>
      <c r="F47" s="3"/>
      <c r="G47" s="3">
        <f t="shared" si="0"/>
        <v>0</v>
      </c>
      <c r="H47" s="53" t="s">
        <v>444</v>
      </c>
      <c r="J47" s="19"/>
    </row>
    <row r="48" spans="1:10" x14ac:dyDescent="0.75">
      <c r="A48" s="12">
        <v>1900</v>
      </c>
      <c r="B48" s="13" t="s">
        <v>498</v>
      </c>
      <c r="C48" s="3">
        <f>SUMIF('Raw Data 01-31-2019'!$A$6:$A$254,'Q1 TB-19'!A48,'Raw Data 01-31-2019'!C$6:C$254)</f>
        <v>5980</v>
      </c>
      <c r="D48" s="4"/>
      <c r="E48" s="3">
        <f>SUMIF('Raw Data 01-31-2019'!$A$6:$A$254,'Q1 TB-19'!A48,'Raw Data 01-31-2019'!D$6:D$254)</f>
        <v>0</v>
      </c>
      <c r="F48" s="3"/>
      <c r="G48" s="3">
        <f t="shared" si="0"/>
        <v>5980</v>
      </c>
      <c r="H48" s="53" t="s">
        <v>176</v>
      </c>
      <c r="J48" s="19"/>
    </row>
    <row r="49" spans="1:10" x14ac:dyDescent="0.75">
      <c r="A49" s="12">
        <v>1902</v>
      </c>
      <c r="B49" s="13" t="s">
        <v>499</v>
      </c>
      <c r="C49" s="3">
        <f>SUMIF('Raw Data 01-31-2019'!$A$6:$A$254,'Q1 TB-19'!A49,'Raw Data 01-31-2019'!C$6:C$254)</f>
        <v>3245</v>
      </c>
      <c r="D49" s="4"/>
      <c r="E49" s="3">
        <f>SUMIF('Raw Data 01-31-2019'!$A$6:$A$254,'Q1 TB-19'!A49,'Raw Data 01-31-2019'!D$6:D$254)</f>
        <v>0</v>
      </c>
      <c r="F49" s="3"/>
      <c r="G49" s="3">
        <f t="shared" si="0"/>
        <v>3245</v>
      </c>
      <c r="H49" s="53" t="s">
        <v>176</v>
      </c>
      <c r="J49" s="19"/>
    </row>
    <row r="50" spans="1:10" x14ac:dyDescent="0.75">
      <c r="A50" s="12">
        <v>1904</v>
      </c>
      <c r="B50" s="13" t="s">
        <v>500</v>
      </c>
      <c r="C50" s="3">
        <f>SUMIF('Raw Data 01-31-2019'!$A$6:$A$254,'Q1 TB-19'!A50,'Raw Data 01-31-2019'!C$6:C$254)</f>
        <v>0</v>
      </c>
      <c r="D50" s="4"/>
      <c r="E50" s="3">
        <f>SUMIF('Raw Data 01-31-2019'!$A$6:$A$254,'Q1 TB-19'!A50,'Raw Data 01-31-2019'!D$6:D$254)</f>
        <v>0</v>
      </c>
      <c r="F50" s="3"/>
      <c r="G50" s="3">
        <f t="shared" si="0"/>
        <v>0</v>
      </c>
      <c r="H50" s="53" t="s">
        <v>176</v>
      </c>
      <c r="J50" s="19"/>
    </row>
    <row r="51" spans="1:10" x14ac:dyDescent="0.75">
      <c r="A51" s="12">
        <v>1906</v>
      </c>
      <c r="B51" s="13" t="s">
        <v>501</v>
      </c>
      <c r="C51" s="3">
        <f>SUMIF('Raw Data 01-31-2019'!$A$6:$A$254,'Q1 TB-19'!A51,'Raw Data 01-31-2019'!C$6:C$254)</f>
        <v>0</v>
      </c>
      <c r="D51" s="4"/>
      <c r="E51" s="3">
        <f>SUMIF('Raw Data 01-31-2019'!$A$6:$A$254,'Q1 TB-19'!A51,'Raw Data 01-31-2019'!D$6:D$254)</f>
        <v>0</v>
      </c>
      <c r="F51" s="3"/>
      <c r="G51" s="3">
        <f t="shared" si="0"/>
        <v>0</v>
      </c>
      <c r="H51" s="53" t="s">
        <v>176</v>
      </c>
      <c r="J51" s="19"/>
    </row>
    <row r="52" spans="1:10" x14ac:dyDescent="0.75">
      <c r="A52" s="12">
        <v>1908</v>
      </c>
      <c r="B52" s="13" t="s">
        <v>502</v>
      </c>
      <c r="C52" s="3">
        <f>SUMIF('Raw Data 01-31-2019'!$A$6:$A$254,'Q1 TB-19'!A52,'Raw Data 01-31-2019'!C$6:C$254)</f>
        <v>0</v>
      </c>
      <c r="D52" s="4"/>
      <c r="E52" s="3">
        <f>SUMIF('Raw Data 01-31-2019'!$A$6:$A$254,'Q1 TB-19'!A52,'Raw Data 01-31-2019'!D$6:D$254)</f>
        <v>0</v>
      </c>
      <c r="F52" s="3"/>
      <c r="G52" s="3">
        <f t="shared" si="0"/>
        <v>0</v>
      </c>
      <c r="H52" s="53" t="s">
        <v>176</v>
      </c>
      <c r="J52" s="19"/>
    </row>
    <row r="53" spans="1:10" x14ac:dyDescent="0.75">
      <c r="A53" s="12">
        <v>1910</v>
      </c>
      <c r="B53" s="13" t="s">
        <v>503</v>
      </c>
      <c r="C53" s="3">
        <f>SUMIF('Raw Data 01-31-2019'!$A$6:$A$254,'Q1 TB-19'!A53,'Raw Data 01-31-2019'!C$6:C$254)</f>
        <v>2500</v>
      </c>
      <c r="D53" s="4"/>
      <c r="E53" s="3">
        <f>SUMIF('Raw Data 01-31-2019'!$A$6:$A$254,'Q1 TB-19'!A53,'Raw Data 01-31-2019'!D$6:D$254)</f>
        <v>0</v>
      </c>
      <c r="F53" s="3"/>
      <c r="G53" s="3">
        <f t="shared" si="0"/>
        <v>2500</v>
      </c>
      <c r="H53" s="53" t="s">
        <v>176</v>
      </c>
      <c r="J53" s="19"/>
    </row>
    <row r="54" spans="1:10" x14ac:dyDescent="0.75">
      <c r="A54" s="12">
        <v>1912</v>
      </c>
      <c r="B54" s="13" t="s">
        <v>504</v>
      </c>
      <c r="C54" s="3">
        <f>SUMIF('Raw Data 01-31-2019'!$A$6:$A$254,'Q1 TB-19'!A54,'Raw Data 01-31-2019'!C$6:C$254)</f>
        <v>0</v>
      </c>
      <c r="D54" s="4"/>
      <c r="E54" s="3">
        <f>SUMIF('Raw Data 01-31-2019'!$A$6:$A$254,'Q1 TB-19'!A54,'Raw Data 01-31-2019'!D$6:D$254)</f>
        <v>0</v>
      </c>
      <c r="F54" s="3"/>
      <c r="G54" s="3">
        <f t="shared" si="0"/>
        <v>0</v>
      </c>
      <c r="H54" s="53" t="s">
        <v>176</v>
      </c>
      <c r="J54" s="19"/>
    </row>
    <row r="55" spans="1:10" x14ac:dyDescent="0.75">
      <c r="A55" s="12">
        <v>1914</v>
      </c>
      <c r="B55" s="13" t="s">
        <v>505</v>
      </c>
      <c r="C55" s="3">
        <f>SUMIF('Raw Data 01-31-2019'!$A$6:$A$254,'Q1 TB-19'!A55,'Raw Data 01-31-2019'!C$6:C$254)</f>
        <v>0</v>
      </c>
      <c r="D55" s="4"/>
      <c r="E55" s="3">
        <f>SUMIF('Raw Data 01-31-2019'!$A$6:$A$254,'Q1 TB-19'!A55,'Raw Data 01-31-2019'!D$6:D$254)</f>
        <v>0</v>
      </c>
      <c r="F55" s="3"/>
      <c r="G55" s="3">
        <f t="shared" si="0"/>
        <v>0</v>
      </c>
      <c r="H55" s="53" t="s">
        <v>176</v>
      </c>
      <c r="J55" s="19"/>
    </row>
    <row r="56" spans="1:10" x14ac:dyDescent="0.75">
      <c r="A56" s="12">
        <v>1916</v>
      </c>
      <c r="B56" s="13" t="s">
        <v>506</v>
      </c>
      <c r="C56" s="3">
        <f>SUMIF('Raw Data 01-31-2019'!$A$6:$A$254,'Q1 TB-19'!A56,'Raw Data 01-31-2019'!C$6:C$254)</f>
        <v>0</v>
      </c>
      <c r="D56" s="4"/>
      <c r="E56" s="3">
        <f>SUMIF('Raw Data 01-31-2019'!$A$6:$A$254,'Q1 TB-19'!A56,'Raw Data 01-31-2019'!D$6:D$254)</f>
        <v>0</v>
      </c>
      <c r="F56" s="3"/>
      <c r="G56" s="3">
        <f t="shared" si="0"/>
        <v>0</v>
      </c>
      <c r="H56" s="53" t="s">
        <v>176</v>
      </c>
      <c r="J56" s="19"/>
    </row>
    <row r="57" spans="1:10" x14ac:dyDescent="0.75">
      <c r="A57" s="12">
        <v>1918</v>
      </c>
      <c r="B57" s="13" t="s">
        <v>507</v>
      </c>
      <c r="C57" s="3">
        <f>SUMIF('Raw Data 01-31-2019'!$A$6:$A$254,'Q1 TB-19'!A57,'Raw Data 01-31-2019'!C$6:C$254)</f>
        <v>0</v>
      </c>
      <c r="D57" s="4"/>
      <c r="E57" s="3">
        <f>SUMIF('Raw Data 01-31-2019'!$A$6:$A$254,'Q1 TB-19'!A57,'Raw Data 01-31-2019'!D$6:D$254)</f>
        <v>0</v>
      </c>
      <c r="F57" s="3"/>
      <c r="G57" s="3">
        <f t="shared" si="0"/>
        <v>0</v>
      </c>
      <c r="H57" s="53" t="s">
        <v>176</v>
      </c>
      <c r="J57" s="19"/>
    </row>
    <row r="58" spans="1:10" x14ac:dyDescent="0.75">
      <c r="A58" s="12">
        <v>1920</v>
      </c>
      <c r="B58" s="13" t="s">
        <v>508</v>
      </c>
      <c r="C58" s="3">
        <f>SUMIF('Raw Data 01-31-2019'!$A$6:$A$254,'Q1 TB-19'!A58,'Raw Data 01-31-2019'!C$6:C$254)</f>
        <v>0</v>
      </c>
      <c r="D58" s="4"/>
      <c r="E58" s="3">
        <f>SUMIF('Raw Data 01-31-2019'!$A$6:$A$254,'Q1 TB-19'!A58,'Raw Data 01-31-2019'!D$6:D$254)</f>
        <v>0</v>
      </c>
      <c r="F58" s="3"/>
      <c r="G58" s="3">
        <f t="shared" si="0"/>
        <v>0</v>
      </c>
      <c r="H58" s="53" t="s">
        <v>176</v>
      </c>
      <c r="J58" s="19"/>
    </row>
    <row r="59" spans="1:10" x14ac:dyDescent="0.75">
      <c r="A59" s="12">
        <v>1922</v>
      </c>
      <c r="B59" s="13" t="s">
        <v>509</v>
      </c>
      <c r="C59" s="3">
        <f>SUMIF('Raw Data 01-31-2019'!$A$6:$A$254,'Q1 TB-19'!A59,'Raw Data 01-31-2019'!C$6:C$254)</f>
        <v>0</v>
      </c>
      <c r="D59" s="4"/>
      <c r="E59" s="3">
        <f>SUMIF('Raw Data 01-31-2019'!$A$6:$A$254,'Q1 TB-19'!A59,'Raw Data 01-31-2019'!D$6:D$254)</f>
        <v>0</v>
      </c>
      <c r="F59" s="3"/>
      <c r="G59" s="3">
        <f t="shared" si="0"/>
        <v>0</v>
      </c>
      <c r="H59" s="53" t="s">
        <v>176</v>
      </c>
      <c r="J59" s="19"/>
    </row>
    <row r="60" spans="1:10" x14ac:dyDescent="0.75">
      <c r="A60" s="12">
        <v>1924</v>
      </c>
      <c r="B60" s="13" t="s">
        <v>510</v>
      </c>
      <c r="C60" s="3">
        <f>SUMIF('Raw Data 01-31-2019'!$A$6:$A$254,'Q1 TB-19'!A60,'Raw Data 01-31-2019'!C$6:C$254)</f>
        <v>16253.59</v>
      </c>
      <c r="D60" s="4"/>
      <c r="E60" s="3">
        <f>SUMIF('Raw Data 01-31-2019'!$A$6:$A$254,'Q1 TB-19'!A60,'Raw Data 01-31-2019'!D$6:D$254)</f>
        <v>0</v>
      </c>
      <c r="F60" s="3"/>
      <c r="G60" s="3">
        <f t="shared" si="0"/>
        <v>16253.59</v>
      </c>
      <c r="H60" s="53" t="s">
        <v>176</v>
      </c>
      <c r="J60" s="19"/>
    </row>
    <row r="61" spans="1:10" x14ac:dyDescent="0.75">
      <c r="A61" s="12">
        <v>1926</v>
      </c>
      <c r="B61" s="13" t="s">
        <v>511</v>
      </c>
      <c r="C61" s="3">
        <f>SUMIF('Raw Data 01-31-2019'!$A$6:$A$254,'Q1 TB-19'!A61,'Raw Data 01-31-2019'!C$6:C$254)</f>
        <v>0</v>
      </c>
      <c r="D61" s="4"/>
      <c r="E61" s="3">
        <f>SUMIF('Raw Data 01-31-2019'!$A$6:$A$254,'Q1 TB-19'!A61,'Raw Data 01-31-2019'!D$6:D$254)</f>
        <v>0</v>
      </c>
      <c r="F61" s="3"/>
      <c r="G61" s="3">
        <f t="shared" si="0"/>
        <v>0</v>
      </c>
      <c r="H61" s="53" t="s">
        <v>176</v>
      </c>
      <c r="J61" s="19"/>
    </row>
    <row r="62" spans="1:10" x14ac:dyDescent="0.75">
      <c r="A62" s="12">
        <v>1928</v>
      </c>
      <c r="B62" s="13" t="s">
        <v>512</v>
      </c>
      <c r="C62" s="3">
        <f>SUMIF('Raw Data 01-31-2019'!$A$6:$A$254,'Q1 TB-19'!A62,'Raw Data 01-31-2019'!C$6:C$254)</f>
        <v>43132.88</v>
      </c>
      <c r="D62" s="4"/>
      <c r="E62" s="3">
        <f>SUMIF('Raw Data 01-31-2019'!$A$6:$A$254,'Q1 TB-19'!A62,'Raw Data 01-31-2019'!D$6:D$254)</f>
        <v>0</v>
      </c>
      <c r="F62" s="3"/>
      <c r="G62" s="3">
        <f t="shared" si="0"/>
        <v>43132.88</v>
      </c>
      <c r="H62" s="53" t="s">
        <v>176</v>
      </c>
      <c r="J62" s="19"/>
    </row>
    <row r="63" spans="1:10" x14ac:dyDescent="0.75">
      <c r="A63" s="12">
        <v>1930</v>
      </c>
      <c r="B63" s="13" t="s">
        <v>513</v>
      </c>
      <c r="C63" s="3">
        <f>SUMIF('Raw Data 01-31-2019'!$A$6:$A$254,'Q1 TB-19'!A63,'Raw Data 01-31-2019'!C$6:C$254)</f>
        <v>0</v>
      </c>
      <c r="D63" s="4"/>
      <c r="E63" s="3">
        <f>SUMIF('Raw Data 01-31-2019'!$A$6:$A$254,'Q1 TB-19'!A63,'Raw Data 01-31-2019'!D$6:D$254)</f>
        <v>0</v>
      </c>
      <c r="F63" s="3"/>
      <c r="G63" s="3">
        <f t="shared" si="0"/>
        <v>0</v>
      </c>
      <c r="H63" s="53" t="s">
        <v>176</v>
      </c>
      <c r="J63" s="19"/>
    </row>
    <row r="64" spans="1:10" x14ac:dyDescent="0.75">
      <c r="A64" s="12">
        <v>1932</v>
      </c>
      <c r="B64" s="13" t="s">
        <v>514</v>
      </c>
      <c r="C64" s="3">
        <f>SUMIF('Raw Data 01-31-2019'!$A$6:$A$254,'Q1 TB-19'!A64,'Raw Data 01-31-2019'!C$6:C$254)</f>
        <v>0</v>
      </c>
      <c r="D64" s="4"/>
      <c r="E64" s="3">
        <f>SUMIF('Raw Data 01-31-2019'!$A$6:$A$254,'Q1 TB-19'!A64,'Raw Data 01-31-2019'!D$6:D$254)</f>
        <v>0</v>
      </c>
      <c r="F64" s="3"/>
      <c r="G64" s="3">
        <f t="shared" si="0"/>
        <v>0</v>
      </c>
      <c r="H64" s="53" t="s">
        <v>176</v>
      </c>
      <c r="J64" s="19"/>
    </row>
    <row r="65" spans="1:10" x14ac:dyDescent="0.75">
      <c r="A65" s="12">
        <v>1950</v>
      </c>
      <c r="B65" s="13" t="s">
        <v>494</v>
      </c>
      <c r="C65" s="3">
        <f>SUMIF('Raw Data 01-31-2019'!$A$6:$A$254,'Q1 TB-19'!A65,'Raw Data 01-31-2019'!C$6:C$254)</f>
        <v>0</v>
      </c>
      <c r="D65" s="4"/>
      <c r="E65" s="3">
        <f>SUMIF('Raw Data 01-31-2019'!$A$6:$A$254,'Q1 TB-19'!A65,'Raw Data 01-31-2019'!D$6:D$254)</f>
        <v>33891.61</v>
      </c>
      <c r="F65" s="3"/>
      <c r="G65" s="3">
        <f t="shared" si="0"/>
        <v>-33891.61</v>
      </c>
      <c r="H65" s="53" t="s">
        <v>176</v>
      </c>
      <c r="J65" s="19"/>
    </row>
    <row r="66" spans="1:10" x14ac:dyDescent="0.75">
      <c r="A66" s="12">
        <v>1960</v>
      </c>
      <c r="B66" s="13" t="s">
        <v>515</v>
      </c>
      <c r="C66" s="3">
        <f>SUMIF('Raw Data 01-31-2019'!$A$6:$A$254,'Q1 TB-19'!A66,'Raw Data 01-31-2019'!C$6:C$254)</f>
        <v>0</v>
      </c>
      <c r="D66" s="4"/>
      <c r="E66" s="3">
        <f>SUMIF('Raw Data 01-31-2019'!$A$6:$A$254,'Q1 TB-19'!A66,'Raw Data 01-31-2019'!D$6:D$254)</f>
        <v>0</v>
      </c>
      <c r="F66" s="3"/>
      <c r="G66" s="3">
        <f t="shared" si="0"/>
        <v>0</v>
      </c>
      <c r="H66" s="53" t="s">
        <v>444</v>
      </c>
      <c r="J66" s="19"/>
    </row>
    <row r="67" spans="1:10" x14ac:dyDescent="0.75">
      <c r="A67" s="12">
        <v>1980</v>
      </c>
      <c r="B67" s="13" t="s">
        <v>516</v>
      </c>
      <c r="C67" s="3">
        <f>SUMIF('Raw Data 01-31-2019'!$A$6:$A$254,'Q1 TB-19'!A67,'Raw Data 01-31-2019'!C$6:C$254)</f>
        <v>0</v>
      </c>
      <c r="D67" s="4"/>
      <c r="E67" s="3">
        <f>SUMIF('Raw Data 01-31-2019'!$A$6:$A$254,'Q1 TB-19'!A67,'Raw Data 01-31-2019'!D$6:D$254)</f>
        <v>0</v>
      </c>
      <c r="F67" s="3"/>
      <c r="G67" s="3">
        <f t="shared" si="0"/>
        <v>0</v>
      </c>
      <c r="H67" s="53" t="s">
        <v>444</v>
      </c>
      <c r="J67" s="19"/>
    </row>
    <row r="68" spans="1:10" x14ac:dyDescent="0.75">
      <c r="A68" s="12">
        <v>2000</v>
      </c>
      <c r="B68" s="13" t="s">
        <v>517</v>
      </c>
      <c r="C68" s="3">
        <f>SUMIF('Raw Data 01-31-2019'!$A$6:$A$254,'Q1 TB-19'!A68,'Raw Data 01-31-2019'!C$6:C$254)</f>
        <v>0</v>
      </c>
      <c r="D68" s="4"/>
      <c r="E68" s="3">
        <f>SUMIF('Raw Data 01-31-2019'!$A$6:$A$254,'Q1 TB-19'!A68,'Raw Data 01-31-2019'!D$6:D$254)</f>
        <v>78844.149999999994</v>
      </c>
      <c r="F68" s="3"/>
      <c r="G68" s="3">
        <f t="shared" si="0"/>
        <v>-78844.149999999994</v>
      </c>
      <c r="H68" s="53" t="s">
        <v>177</v>
      </c>
      <c r="J68" s="19"/>
    </row>
    <row r="69" spans="1:10" x14ac:dyDescent="0.75">
      <c r="A69" s="12">
        <v>2010</v>
      </c>
      <c r="B69" s="13" t="s">
        <v>524</v>
      </c>
      <c r="C69" s="3">
        <f>SUMIF('Raw Data 01-31-2019'!$A$6:$A$254,'Q1 TB-19'!A69,'Raw Data 01-31-2019'!C$6:C$254)</f>
        <v>0</v>
      </c>
      <c r="D69" s="4"/>
      <c r="E69" s="3">
        <f>SUMIF('Raw Data 01-31-2019'!$A$6:$A$254,'Q1 TB-19'!A69,'Raw Data 01-31-2019'!D$6:D$254)</f>
        <v>0</v>
      </c>
      <c r="F69" s="3"/>
      <c r="G69" s="3">
        <f t="shared" si="0"/>
        <v>0</v>
      </c>
      <c r="H69" s="53" t="s">
        <v>177</v>
      </c>
      <c r="J69" s="19"/>
    </row>
    <row r="70" spans="1:10" x14ac:dyDescent="0.75">
      <c r="A70" s="12">
        <v>2020</v>
      </c>
      <c r="B70" s="13" t="s">
        <v>525</v>
      </c>
      <c r="C70" s="3">
        <f>SUMIF('Raw Data 01-31-2019'!$A$6:$A$254,'Q1 TB-19'!A70,'Raw Data 01-31-2019'!C$6:C$254)</f>
        <v>0</v>
      </c>
      <c r="D70" s="4"/>
      <c r="E70" s="3">
        <f>SUMIF('Raw Data 01-31-2019'!$A$6:$A$254,'Q1 TB-19'!A70,'Raw Data 01-31-2019'!D$6:D$254)</f>
        <v>0</v>
      </c>
      <c r="F70" s="3"/>
      <c r="G70" s="3">
        <f t="shared" si="0"/>
        <v>0</v>
      </c>
      <c r="H70" s="53" t="s">
        <v>177</v>
      </c>
      <c r="J70" s="19"/>
    </row>
    <row r="71" spans="1:10" x14ac:dyDescent="0.75">
      <c r="A71" s="12">
        <v>2101</v>
      </c>
      <c r="B71" s="13" t="s">
        <v>518</v>
      </c>
      <c r="C71" s="3">
        <f>SUMIF('Raw Data 01-31-2019'!$A$6:$A$254,'Q1 TB-19'!A71,'Raw Data 01-31-2019'!C$6:C$254)</f>
        <v>0</v>
      </c>
      <c r="D71" s="4"/>
      <c r="E71" s="3">
        <f>SUMIF('Raw Data 01-31-2019'!$A$6:$A$254,'Q1 TB-19'!A71,'Raw Data 01-31-2019'!D$6:D$254)</f>
        <v>1840.57</v>
      </c>
      <c r="F71" s="3"/>
      <c r="G71" s="3">
        <f t="shared" si="0"/>
        <v>-1840.57</v>
      </c>
      <c r="H71" s="53" t="s">
        <v>178</v>
      </c>
      <c r="J71" s="19"/>
    </row>
    <row r="72" spans="1:10" x14ac:dyDescent="0.75">
      <c r="A72" s="12">
        <v>2102</v>
      </c>
      <c r="B72" s="13" t="s">
        <v>519</v>
      </c>
      <c r="C72" s="3">
        <f>SUMIF('Raw Data 01-31-2019'!$A$6:$A$254,'Q1 TB-19'!A72,'Raw Data 01-31-2019'!C$6:C$254)</f>
        <v>0</v>
      </c>
      <c r="D72" s="4"/>
      <c r="E72" s="3">
        <f>SUMIF('Raw Data 01-31-2019'!$A$6:$A$254,'Q1 TB-19'!A72,'Raw Data 01-31-2019'!D$6:D$254)</f>
        <v>15078.2</v>
      </c>
      <c r="F72" s="3"/>
      <c r="G72" s="3">
        <f t="shared" si="0"/>
        <v>-15078.2</v>
      </c>
      <c r="H72" s="53" t="s">
        <v>178</v>
      </c>
      <c r="J72" s="19"/>
    </row>
    <row r="73" spans="1:10" x14ac:dyDescent="0.75">
      <c r="A73" s="12">
        <v>2103</v>
      </c>
      <c r="B73" s="13" t="s">
        <v>520</v>
      </c>
      <c r="C73" s="3">
        <f>SUMIF('Raw Data 01-31-2019'!$A$6:$A$254,'Q1 TB-19'!A73,'Raw Data 01-31-2019'!C$6:C$254)</f>
        <v>0</v>
      </c>
      <c r="D73" s="4"/>
      <c r="E73" s="3">
        <f>SUMIF('Raw Data 01-31-2019'!$A$6:$A$254,'Q1 TB-19'!A73,'Raw Data 01-31-2019'!D$6:D$254)</f>
        <v>8469.4</v>
      </c>
      <c r="F73" s="3"/>
      <c r="G73" s="3">
        <f t="shared" ref="G73:G141" si="3">C73-E73</f>
        <v>-8469.4</v>
      </c>
      <c r="H73" s="53" t="s">
        <v>178</v>
      </c>
      <c r="J73" s="19"/>
    </row>
    <row r="74" spans="1:10" x14ac:dyDescent="0.75">
      <c r="A74" s="12">
        <v>2104</v>
      </c>
      <c r="B74" s="13" t="s">
        <v>521</v>
      </c>
      <c r="C74" s="3">
        <f>SUMIF('Raw Data 01-31-2019'!$A$6:$A$254,'Q1 TB-19'!A74,'Raw Data 01-31-2019'!C$6:C$254)</f>
        <v>0</v>
      </c>
      <c r="D74" s="4"/>
      <c r="E74" s="3">
        <f>SUMIF('Raw Data 01-31-2019'!$A$6:$A$254,'Q1 TB-19'!A74,'Raw Data 01-31-2019'!D$6:D$254)</f>
        <v>10530.37</v>
      </c>
      <c r="F74" s="3"/>
      <c r="G74" s="3">
        <f t="shared" si="3"/>
        <v>-10530.37</v>
      </c>
      <c r="H74" s="53" t="s">
        <v>178</v>
      </c>
      <c r="J74" s="19"/>
    </row>
    <row r="75" spans="1:10" x14ac:dyDescent="0.75">
      <c r="A75" s="12">
        <v>2105</v>
      </c>
      <c r="B75" s="13" t="s">
        <v>522</v>
      </c>
      <c r="C75" s="3">
        <f>SUMIF('Raw Data 01-31-2019'!$A$6:$A$254,'Q1 TB-19'!A75,'Raw Data 01-31-2019'!C$6:C$254)</f>
        <v>0</v>
      </c>
      <c r="D75" s="4"/>
      <c r="E75" s="3">
        <f>SUMIF('Raw Data 01-31-2019'!$A$6:$A$254,'Q1 TB-19'!A75,'Raw Data 01-31-2019'!D$6:D$254)</f>
        <v>0</v>
      </c>
      <c r="F75" s="3"/>
      <c r="G75" s="3">
        <f t="shared" si="3"/>
        <v>0</v>
      </c>
      <c r="H75" s="53" t="s">
        <v>178</v>
      </c>
      <c r="J75" s="19"/>
    </row>
    <row r="76" spans="1:10" x14ac:dyDescent="0.75">
      <c r="A76" s="12">
        <v>2106</v>
      </c>
      <c r="B76" s="13" t="s">
        <v>546</v>
      </c>
      <c r="C76" s="3">
        <f>SUMIF('Raw Data 01-31-2019'!$A$6:$A$254,'Q1 TB-19'!A76,'Raw Data 01-31-2019'!C$6:C$254)</f>
        <v>0</v>
      </c>
      <c r="D76" s="4"/>
      <c r="E76" s="3">
        <f>SUMIF('Raw Data 01-31-2019'!$A$6:$A$254,'Q1 TB-19'!A76,'Raw Data 01-31-2019'!D$6:D$254)</f>
        <v>8042.28</v>
      </c>
      <c r="F76" s="3"/>
      <c r="G76" s="3">
        <f t="shared" si="3"/>
        <v>-8042.28</v>
      </c>
      <c r="H76" s="53" t="s">
        <v>178</v>
      </c>
      <c r="J76" s="19"/>
    </row>
    <row r="77" spans="1:10" x14ac:dyDescent="0.75">
      <c r="A77" s="12">
        <v>2210</v>
      </c>
      <c r="B77" s="13" t="s">
        <v>526</v>
      </c>
      <c r="C77" s="3">
        <f>SUMIF('Raw Data 01-31-2019'!$A$6:$A$254,'Q1 TB-19'!A77,'Raw Data 01-31-2019'!C$6:C$254)</f>
        <v>0</v>
      </c>
      <c r="D77" s="4"/>
      <c r="E77" s="3">
        <f>SUMIF('Raw Data 01-31-2019'!$A$6:$A$254,'Q1 TB-19'!A77,'Raw Data 01-31-2019'!D$6:D$254)</f>
        <v>600758.23</v>
      </c>
      <c r="F77" s="3"/>
      <c r="G77" s="3">
        <f t="shared" si="3"/>
        <v>-600758.23</v>
      </c>
      <c r="H77" s="53" t="s">
        <v>182</v>
      </c>
      <c r="J77" s="19"/>
    </row>
    <row r="78" spans="1:10" s="89" customFormat="1" x14ac:dyDescent="0.75">
      <c r="A78" s="12" t="s">
        <v>93</v>
      </c>
      <c r="B78" s="13" t="s">
        <v>1005</v>
      </c>
      <c r="C78" s="3">
        <f>SUMIF('Raw Data 01-31-2019'!$A$6:$A$254,'Q1 TB-19'!A78,'Raw Data 01-31-2019'!C$6:C$254)</f>
        <v>0</v>
      </c>
      <c r="D78" s="4"/>
      <c r="E78" s="3">
        <f>SUMIF('Raw Data 01-31-2019'!$A$6:$A$254,'Q1 TB-19'!A78,'Raw Data 01-31-2019'!D$6:D$254)</f>
        <v>0</v>
      </c>
      <c r="F78" s="3"/>
      <c r="G78" s="3">
        <f t="shared" ref="G78" si="4">C78-E78</f>
        <v>0</v>
      </c>
      <c r="H78" s="89" t="s">
        <v>178</v>
      </c>
      <c r="J78" s="19"/>
    </row>
    <row r="79" spans="1:10" x14ac:dyDescent="0.75">
      <c r="A79" s="12">
        <v>2231</v>
      </c>
      <c r="B79" s="13" t="s">
        <v>534</v>
      </c>
      <c r="C79" s="3">
        <f>SUMIF('Raw Data 01-31-2019'!$A$6:$A$254,'Q1 TB-19'!A79,'Raw Data 01-31-2019'!C$6:C$254)</f>
        <v>0</v>
      </c>
      <c r="D79" s="4"/>
      <c r="E79" s="3">
        <f>SUMIF('Raw Data 01-31-2019'!$A$6:$A$254,'Q1 TB-19'!A79,'Raw Data 01-31-2019'!D$6:D$254)</f>
        <v>0</v>
      </c>
      <c r="F79" s="3"/>
      <c r="G79" s="3">
        <f t="shared" si="3"/>
        <v>0</v>
      </c>
      <c r="H79" s="53" t="s">
        <v>178</v>
      </c>
      <c r="J79" s="19"/>
    </row>
    <row r="80" spans="1:10" x14ac:dyDescent="0.75">
      <c r="A80" s="12">
        <v>2232</v>
      </c>
      <c r="B80" s="13" t="s">
        <v>535</v>
      </c>
      <c r="C80" s="3">
        <f>SUMIF('Raw Data 01-31-2019'!$A$6:$A$254,'Q1 TB-19'!A80,'Raw Data 01-31-2019'!C$6:C$254)</f>
        <v>0</v>
      </c>
      <c r="D80" s="4"/>
      <c r="E80" s="3">
        <f>SUMIF('Raw Data 01-31-2019'!$A$6:$A$254,'Q1 TB-19'!A80,'Raw Data 01-31-2019'!D$6:D$254)</f>
        <v>0</v>
      </c>
      <c r="F80" s="3"/>
      <c r="G80" s="3">
        <f t="shared" si="3"/>
        <v>0</v>
      </c>
      <c r="H80" s="53" t="s">
        <v>178</v>
      </c>
      <c r="J80" s="19"/>
    </row>
    <row r="81" spans="1:10" x14ac:dyDescent="0.75">
      <c r="A81" s="12">
        <v>2233</v>
      </c>
      <c r="B81" s="13" t="s">
        <v>537</v>
      </c>
      <c r="C81" s="3">
        <f>SUMIF('Raw Data 01-31-2019'!$A$6:$A$254,'Q1 TB-19'!A81,'Raw Data 01-31-2019'!C$6:C$254)</f>
        <v>0</v>
      </c>
      <c r="D81" s="4"/>
      <c r="E81" s="3">
        <f>SUMIF('Raw Data 01-31-2019'!$A$6:$A$254,'Q1 TB-19'!A81,'Raw Data 01-31-2019'!D$6:D$254)</f>
        <v>0</v>
      </c>
      <c r="F81" s="3"/>
      <c r="G81" s="3">
        <f t="shared" si="3"/>
        <v>0</v>
      </c>
      <c r="H81" s="53" t="s">
        <v>178</v>
      </c>
      <c r="J81" s="19"/>
    </row>
    <row r="82" spans="1:10" x14ac:dyDescent="0.75">
      <c r="A82" s="12">
        <v>2235</v>
      </c>
      <c r="B82" s="13" t="s">
        <v>543</v>
      </c>
      <c r="C82" s="3">
        <f>SUMIF('Raw Data 01-31-2019'!$A$6:$A$254,'Q1 TB-19'!A82,'Raw Data 01-31-2019'!C$6:C$254)</f>
        <v>0</v>
      </c>
      <c r="D82" s="4"/>
      <c r="E82" s="3">
        <f>SUMIF('Raw Data 01-31-2019'!$A$6:$A$254,'Q1 TB-19'!A82,'Raw Data 01-31-2019'!D$6:D$254)</f>
        <v>0</v>
      </c>
      <c r="F82" s="3"/>
      <c r="G82" s="3">
        <f t="shared" si="3"/>
        <v>0</v>
      </c>
      <c r="H82" s="53" t="s">
        <v>178</v>
      </c>
      <c r="J82" s="19"/>
    </row>
    <row r="83" spans="1:10" x14ac:dyDescent="0.75">
      <c r="A83" s="12">
        <v>2236</v>
      </c>
      <c r="B83" s="13" t="s">
        <v>523</v>
      </c>
      <c r="C83" s="3">
        <f>SUMIF('Raw Data 01-31-2019'!$A$6:$A$254,'Q1 TB-19'!A83,'Raw Data 01-31-2019'!C$6:C$254)</f>
        <v>0</v>
      </c>
      <c r="D83" s="4"/>
      <c r="E83" s="3">
        <f>SUMIF('Raw Data 01-31-2019'!$A$6:$A$254,'Q1 TB-19'!A83,'Raw Data 01-31-2019'!D$6:D$254)</f>
        <v>0</v>
      </c>
      <c r="F83" s="3"/>
      <c r="G83" s="3">
        <f t="shared" si="3"/>
        <v>0</v>
      </c>
      <c r="H83" s="53" t="s">
        <v>178</v>
      </c>
      <c r="J83" s="19"/>
    </row>
    <row r="84" spans="1:10" x14ac:dyDescent="0.75">
      <c r="A84" s="12">
        <v>2250</v>
      </c>
      <c r="B84" s="13" t="s">
        <v>536</v>
      </c>
      <c r="C84" s="3">
        <f>SUMIF('Raw Data 01-31-2019'!$A$6:$A$254,'Q1 TB-19'!A84,'Raw Data 01-31-2019'!C$6:C$254)</f>
        <v>0</v>
      </c>
      <c r="D84" s="4"/>
      <c r="E84" s="3">
        <f>SUMIF('Raw Data 01-31-2019'!$A$6:$A$254,'Q1 TB-19'!A84,'Raw Data 01-31-2019'!D$6:D$254)</f>
        <v>0</v>
      </c>
      <c r="F84" s="3"/>
      <c r="G84" s="3">
        <f t="shared" si="3"/>
        <v>0</v>
      </c>
      <c r="H84" s="53" t="s">
        <v>178</v>
      </c>
      <c r="J84" s="19"/>
    </row>
    <row r="85" spans="1:10" x14ac:dyDescent="0.75">
      <c r="A85" s="12">
        <v>2270</v>
      </c>
      <c r="B85" s="13" t="s">
        <v>544</v>
      </c>
      <c r="C85" s="3">
        <f>SUMIF('Raw Data 01-31-2019'!$A$6:$A$254,'Q1 TB-19'!A85,'Raw Data 01-31-2019'!C$6:C$254)</f>
        <v>0</v>
      </c>
      <c r="D85" s="4"/>
      <c r="E85" s="3">
        <f>SUMIF('Raw Data 01-31-2019'!$A$6:$A$254,'Q1 TB-19'!A85,'Raw Data 01-31-2019'!D$6:D$254)</f>
        <v>0</v>
      </c>
      <c r="F85" s="3"/>
      <c r="G85" s="3">
        <f t="shared" si="3"/>
        <v>0</v>
      </c>
      <c r="H85" s="53" t="s">
        <v>178</v>
      </c>
      <c r="J85" s="19"/>
    </row>
    <row r="86" spans="1:10" x14ac:dyDescent="0.75">
      <c r="A86" s="12">
        <v>2280</v>
      </c>
      <c r="B86" s="13" t="s">
        <v>541</v>
      </c>
      <c r="C86" s="3">
        <f>SUMIF('Raw Data 01-31-2019'!$A$6:$A$254,'Q1 TB-19'!A86,'Raw Data 01-31-2019'!C$6:C$254)</f>
        <v>0</v>
      </c>
      <c r="D86" s="4"/>
      <c r="E86" s="3">
        <f>SUMIF('Raw Data 01-31-2019'!$A$6:$A$254,'Q1 TB-19'!A86,'Raw Data 01-31-2019'!D$6:D$254)</f>
        <v>0</v>
      </c>
      <c r="F86" s="3"/>
      <c r="G86" s="3">
        <f t="shared" si="3"/>
        <v>0</v>
      </c>
      <c r="H86" s="53" t="s">
        <v>178</v>
      </c>
      <c r="J86" s="19"/>
    </row>
    <row r="87" spans="1:10" x14ac:dyDescent="0.75">
      <c r="A87" s="12">
        <v>2285</v>
      </c>
      <c r="B87" s="13" t="s">
        <v>545</v>
      </c>
      <c r="C87" s="3">
        <f>SUMIF('Raw Data 01-31-2019'!$A$6:$A$254,'Q1 TB-19'!A87,'Raw Data 01-31-2019'!C$6:C$254)</f>
        <v>0</v>
      </c>
      <c r="D87" s="4"/>
      <c r="E87" s="3">
        <f>SUMIF('Raw Data 01-31-2019'!$A$6:$A$254,'Q1 TB-19'!A87,'Raw Data 01-31-2019'!D$6:D$254)</f>
        <v>0</v>
      </c>
      <c r="F87" s="3"/>
      <c r="G87" s="3">
        <f t="shared" si="3"/>
        <v>0</v>
      </c>
      <c r="H87" s="53" t="s">
        <v>178</v>
      </c>
      <c r="J87" s="19"/>
    </row>
    <row r="88" spans="1:10" x14ac:dyDescent="0.75">
      <c r="A88" s="12">
        <v>2290</v>
      </c>
      <c r="B88" s="13" t="s">
        <v>540</v>
      </c>
      <c r="C88" s="3">
        <f>SUMIF('Raw Data 01-31-2019'!$A$6:$A$254,'Q1 TB-19'!A88,'Raw Data 01-31-2019'!C$6:C$254)</f>
        <v>0</v>
      </c>
      <c r="D88" s="4"/>
      <c r="E88" s="3">
        <f>SUMIF('Raw Data 01-31-2019'!$A$6:$A$254,'Q1 TB-19'!A88,'Raw Data 01-31-2019'!D$6:D$254)</f>
        <v>0</v>
      </c>
      <c r="F88" s="3"/>
      <c r="G88" s="3">
        <f t="shared" si="3"/>
        <v>0</v>
      </c>
      <c r="H88" s="53" t="s">
        <v>178</v>
      </c>
      <c r="J88" s="19"/>
    </row>
    <row r="89" spans="1:10" x14ac:dyDescent="0.75">
      <c r="A89" s="12">
        <v>2305</v>
      </c>
      <c r="B89" s="13" t="s">
        <v>542</v>
      </c>
      <c r="C89" s="3">
        <f>SUMIF('Raw Data 01-31-2019'!$A$6:$A$254,'Q1 TB-19'!A89,'Raw Data 01-31-2019'!C$6:C$254)</f>
        <v>0</v>
      </c>
      <c r="D89" s="4"/>
      <c r="E89" s="3">
        <f>SUMIF('Raw Data 01-31-2019'!$A$6:$A$254,'Q1 TB-19'!A89,'Raw Data 01-31-2019'!D$6:D$254)</f>
        <v>1221957.72</v>
      </c>
      <c r="F89" s="3"/>
      <c r="G89" s="3">
        <f t="shared" si="3"/>
        <v>-1221957.72</v>
      </c>
      <c r="H89" s="53" t="s">
        <v>181</v>
      </c>
      <c r="J89" s="19"/>
    </row>
    <row r="90" spans="1:10" x14ac:dyDescent="0.75">
      <c r="A90" s="12">
        <v>2310</v>
      </c>
      <c r="B90" s="13" t="s">
        <v>538</v>
      </c>
      <c r="C90" s="3">
        <f>SUMIF('Raw Data 01-31-2019'!$A$6:$A$254,'Q1 TB-19'!A90,'Raw Data 01-31-2019'!C$6:C$254)</f>
        <v>0</v>
      </c>
      <c r="D90" s="4"/>
      <c r="E90" s="3">
        <f>SUMIF('Raw Data 01-31-2019'!$A$6:$A$254,'Q1 TB-19'!A90,'Raw Data 01-31-2019'!D$6:D$254)</f>
        <v>0</v>
      </c>
      <c r="F90" s="3"/>
      <c r="G90" s="3">
        <f t="shared" si="3"/>
        <v>0</v>
      </c>
      <c r="H90" s="53" t="s">
        <v>178</v>
      </c>
      <c r="J90" s="19"/>
    </row>
    <row r="91" spans="1:10" x14ac:dyDescent="0.75">
      <c r="A91" s="12">
        <v>2320</v>
      </c>
      <c r="B91" s="13" t="s">
        <v>539</v>
      </c>
      <c r="C91" s="3">
        <f>SUMIF('Raw Data 01-31-2019'!$A$6:$A$254,'Q1 TB-19'!A91,'Raw Data 01-31-2019'!C$6:C$254)</f>
        <v>0</v>
      </c>
      <c r="D91" s="4"/>
      <c r="E91" s="3">
        <f>SUMIF('Raw Data 01-31-2019'!$A$6:$A$254,'Q1 TB-19'!A91,'Raw Data 01-31-2019'!D$6:D$254)</f>
        <v>0</v>
      </c>
      <c r="F91" s="3"/>
      <c r="G91" s="3">
        <f t="shared" si="3"/>
        <v>0</v>
      </c>
      <c r="H91" s="53" t="s">
        <v>178</v>
      </c>
      <c r="J91" s="19"/>
    </row>
    <row r="92" spans="1:10" x14ac:dyDescent="0.75">
      <c r="A92" s="12">
        <v>2400</v>
      </c>
      <c r="B92" s="13" t="s">
        <v>527</v>
      </c>
      <c r="C92" s="3">
        <f>SUMIF('Raw Data 01-31-2019'!$A$6:$A$254,'Q1 TB-19'!A92,'Raw Data 01-31-2019'!C$6:C$254)</f>
        <v>0</v>
      </c>
      <c r="D92" s="4"/>
      <c r="E92" s="3">
        <f>SUMIF('Raw Data 01-31-2019'!$A$6:$A$254,'Q1 TB-19'!A92,'Raw Data 01-31-2019'!D$6:D$254)</f>
        <v>0</v>
      </c>
      <c r="F92" s="3"/>
      <c r="G92" s="3">
        <f t="shared" si="3"/>
        <v>0</v>
      </c>
      <c r="H92" s="53" t="s">
        <v>180</v>
      </c>
      <c r="J92" s="19"/>
    </row>
    <row r="93" spans="1:10" x14ac:dyDescent="0.75">
      <c r="A93" s="12">
        <v>2405</v>
      </c>
      <c r="B93" s="13" t="s">
        <v>528</v>
      </c>
      <c r="C93" s="3">
        <f>SUMIF('Raw Data 01-31-2019'!$A$6:$A$254,'Q1 TB-19'!A93,'Raw Data 01-31-2019'!C$6:C$254)</f>
        <v>0</v>
      </c>
      <c r="D93" s="4"/>
      <c r="E93" s="3">
        <f>SUMIF('Raw Data 01-31-2019'!$A$6:$A$254,'Q1 TB-19'!A93,'Raw Data 01-31-2019'!D$6:D$254)</f>
        <v>69243.679999999993</v>
      </c>
      <c r="F93" s="3"/>
      <c r="G93" s="3">
        <f t="shared" si="3"/>
        <v>-69243.679999999993</v>
      </c>
      <c r="H93" s="53" t="s">
        <v>180</v>
      </c>
      <c r="J93" s="19"/>
    </row>
    <row r="94" spans="1:10" x14ac:dyDescent="0.75">
      <c r="A94" s="12">
        <v>2410</v>
      </c>
      <c r="B94" s="13" t="s">
        <v>529</v>
      </c>
      <c r="C94" s="3">
        <f>SUMIF('Raw Data 01-31-2019'!$A$6:$A$254,'Q1 TB-19'!A94,'Raw Data 01-31-2019'!C$6:C$254)</f>
        <v>0</v>
      </c>
      <c r="D94" s="4"/>
      <c r="E94" s="3">
        <f>SUMIF('Raw Data 01-31-2019'!$A$6:$A$254,'Q1 TB-19'!A94,'Raw Data 01-31-2019'!D$6:D$254)</f>
        <v>0</v>
      </c>
      <c r="F94" s="3"/>
      <c r="G94" s="3">
        <f t="shared" si="3"/>
        <v>0</v>
      </c>
      <c r="H94" s="53" t="s">
        <v>180</v>
      </c>
      <c r="J94" s="19"/>
    </row>
    <row r="95" spans="1:10" x14ac:dyDescent="0.75">
      <c r="A95" s="12">
        <v>2415</v>
      </c>
      <c r="B95" s="13" t="s">
        <v>530</v>
      </c>
      <c r="C95" s="3">
        <f>SUMIF('Raw Data 01-31-2019'!$A$6:$A$254,'Q1 TB-19'!A95,'Raw Data 01-31-2019'!C$6:C$254)</f>
        <v>0</v>
      </c>
      <c r="D95" s="4"/>
      <c r="E95" s="3">
        <f>SUMIF('Raw Data 01-31-2019'!$A$6:$A$254,'Q1 TB-19'!A95,'Raw Data 01-31-2019'!D$6:D$254)</f>
        <v>0</v>
      </c>
      <c r="F95" s="3"/>
      <c r="G95" s="3">
        <f t="shared" si="3"/>
        <v>0</v>
      </c>
      <c r="H95" s="53" t="s">
        <v>180</v>
      </c>
      <c r="J95" s="19"/>
    </row>
    <row r="96" spans="1:10" x14ac:dyDescent="0.75">
      <c r="A96" s="12">
        <v>2420</v>
      </c>
      <c r="B96" s="13" t="s">
        <v>531</v>
      </c>
      <c r="C96" s="3">
        <f>SUMIF('Raw Data 01-31-2019'!$A$6:$A$254,'Q1 TB-19'!A96,'Raw Data 01-31-2019'!C$6:C$254)</f>
        <v>0</v>
      </c>
      <c r="D96" s="4"/>
      <c r="E96" s="3">
        <f>SUMIF('Raw Data 01-31-2019'!$A$6:$A$254,'Q1 TB-19'!A96,'Raw Data 01-31-2019'!D$6:D$254)</f>
        <v>0</v>
      </c>
      <c r="F96" s="3"/>
      <c r="G96" s="3">
        <f t="shared" si="3"/>
        <v>0</v>
      </c>
      <c r="H96" s="53" t="s">
        <v>180</v>
      </c>
      <c r="J96" s="19"/>
    </row>
    <row r="97" spans="1:10" x14ac:dyDescent="0.75">
      <c r="A97" s="12">
        <v>2425</v>
      </c>
      <c r="B97" s="13" t="s">
        <v>532</v>
      </c>
      <c r="C97" s="3">
        <f>SUMIF('Raw Data 01-31-2019'!$A$6:$A$254,'Q1 TB-19'!A97,'Raw Data 01-31-2019'!C$6:C$254)</f>
        <v>0</v>
      </c>
      <c r="D97" s="4"/>
      <c r="E97" s="3">
        <f>SUMIF('Raw Data 01-31-2019'!$A$6:$A$254,'Q1 TB-19'!A97,'Raw Data 01-31-2019'!D$6:D$254)</f>
        <v>0</v>
      </c>
      <c r="F97" s="3"/>
      <c r="G97" s="3">
        <f t="shared" si="3"/>
        <v>0</v>
      </c>
      <c r="H97" s="53" t="s">
        <v>180</v>
      </c>
      <c r="J97" s="19"/>
    </row>
    <row r="98" spans="1:10" x14ac:dyDescent="0.75">
      <c r="A98" s="12">
        <v>2430</v>
      </c>
      <c r="B98" s="13" t="s">
        <v>533</v>
      </c>
      <c r="C98" s="3">
        <f>SUMIF('Raw Data 01-31-2019'!$A$6:$A$254,'Q1 TB-19'!A98,'Raw Data 01-31-2019'!C$6:C$254)</f>
        <v>0</v>
      </c>
      <c r="D98" s="4"/>
      <c r="E98" s="3">
        <f>SUMIF('Raw Data 01-31-2019'!$A$6:$A$254,'Q1 TB-19'!A98,'Raw Data 01-31-2019'!D$6:D$254)</f>
        <v>0</v>
      </c>
      <c r="F98" s="3"/>
      <c r="G98" s="3">
        <f t="shared" si="3"/>
        <v>0</v>
      </c>
      <c r="H98" s="53" t="s">
        <v>180</v>
      </c>
      <c r="J98" s="19"/>
    </row>
    <row r="99" spans="1:10" s="85" customFormat="1" x14ac:dyDescent="0.75">
      <c r="A99" s="12" t="s">
        <v>952</v>
      </c>
      <c r="B99" s="13" t="s">
        <v>953</v>
      </c>
      <c r="C99" s="3">
        <f>SUMIF('Raw Data 01-31-2019'!$A$6:$A$254,'Q1 TB-19'!A99,'Raw Data 01-31-2019'!C$6:C$254)</f>
        <v>0</v>
      </c>
      <c r="D99" s="4"/>
      <c r="E99" s="3">
        <f>SUMIF('Raw Data 01-31-2019'!$A$6:$A$254,'Q1 TB-19'!A99,'Raw Data 01-31-2019'!D$6:D$254)</f>
        <v>80171</v>
      </c>
      <c r="F99" s="3"/>
      <c r="G99" s="3">
        <f t="shared" ref="G99" si="5">C99-E99</f>
        <v>-80171</v>
      </c>
      <c r="H99" s="85" t="s">
        <v>954</v>
      </c>
      <c r="J99" s="19"/>
    </row>
    <row r="100" spans="1:10" x14ac:dyDescent="0.75">
      <c r="A100" s="12">
        <v>2705</v>
      </c>
      <c r="B100" s="13" t="s">
        <v>547</v>
      </c>
      <c r="C100" s="3">
        <f>SUMIF('Raw Data 01-31-2019'!$A$6:$A$254,'Q1 TB-19'!A100,'Raw Data 01-31-2019'!C$6:C$254)</f>
        <v>0</v>
      </c>
      <c r="D100" s="4"/>
      <c r="E100" s="3">
        <f>SUMIF('Raw Data 01-31-2019'!$A$6:$A$254,'Q1 TB-19'!A100,'Raw Data 01-31-2019'!D$6:D$254)</f>
        <v>50000</v>
      </c>
      <c r="F100" s="3"/>
      <c r="G100" s="3">
        <f t="shared" si="3"/>
        <v>-50000</v>
      </c>
      <c r="H100" s="53" t="s">
        <v>800</v>
      </c>
      <c r="J100" s="19"/>
    </row>
    <row r="101" spans="1:10" x14ac:dyDescent="0.75">
      <c r="A101" s="12">
        <v>2710</v>
      </c>
      <c r="B101" s="13" t="s">
        <v>548</v>
      </c>
      <c r="C101" s="3">
        <f>SUMIF('Raw Data 01-31-2019'!$A$6:$A$254,'Q1 TB-19'!A101,'Raw Data 01-31-2019'!C$6:C$254)</f>
        <v>0</v>
      </c>
      <c r="D101" s="4"/>
      <c r="E101" s="3">
        <f>SUMIF('Raw Data 01-31-2019'!$A$6:$A$254,'Q1 TB-19'!A101,'Raw Data 01-31-2019'!D$6:D$254)</f>
        <v>15000</v>
      </c>
      <c r="F101" s="3"/>
      <c r="G101" s="3">
        <f t="shared" si="3"/>
        <v>-15000</v>
      </c>
      <c r="H101" s="53" t="s">
        <v>800</v>
      </c>
      <c r="J101" s="19"/>
    </row>
    <row r="102" spans="1:10" x14ac:dyDescent="0.75">
      <c r="A102" s="12">
        <v>2715</v>
      </c>
      <c r="B102" s="13" t="s">
        <v>549</v>
      </c>
      <c r="C102" s="3">
        <f>SUMIF('Raw Data 01-31-2019'!$A$6:$A$254,'Q1 TB-19'!A102,'Raw Data 01-31-2019'!C$6:C$254)</f>
        <v>0</v>
      </c>
      <c r="D102" s="4"/>
      <c r="E102" s="3">
        <f>SUMIF('Raw Data 01-31-2019'!$A$6:$A$254,'Q1 TB-19'!A102,'Raw Data 01-31-2019'!D$6:D$254)</f>
        <v>25000</v>
      </c>
      <c r="F102" s="3"/>
      <c r="G102" s="3">
        <f t="shared" si="3"/>
        <v>-25000</v>
      </c>
      <c r="H102" s="53" t="s">
        <v>800</v>
      </c>
      <c r="J102" s="19"/>
    </row>
    <row r="103" spans="1:10" x14ac:dyDescent="0.75">
      <c r="A103" s="12">
        <v>2720</v>
      </c>
      <c r="B103" s="13" t="s">
        <v>550</v>
      </c>
      <c r="C103" s="3">
        <f>SUMIF('Raw Data 01-31-2019'!$A$6:$A$254,'Q1 TB-19'!A103,'Raw Data 01-31-2019'!C$6:C$254)</f>
        <v>0</v>
      </c>
      <c r="D103" s="4"/>
      <c r="E103" s="3">
        <f>SUMIF('Raw Data 01-31-2019'!$A$6:$A$254,'Q1 TB-19'!A103,'Raw Data 01-31-2019'!D$6:D$254)</f>
        <v>50000</v>
      </c>
      <c r="F103" s="3"/>
      <c r="G103" s="3">
        <f t="shared" si="3"/>
        <v>-50000</v>
      </c>
      <c r="H103" s="53" t="s">
        <v>800</v>
      </c>
      <c r="J103" s="19"/>
    </row>
    <row r="104" spans="1:10" x14ac:dyDescent="0.75">
      <c r="A104" s="12">
        <v>2725</v>
      </c>
      <c r="B104" s="13" t="s">
        <v>551</v>
      </c>
      <c r="C104" s="3">
        <f>SUMIF('Raw Data 01-31-2019'!$A$6:$A$254,'Q1 TB-19'!A104,'Raw Data 01-31-2019'!C$6:C$254)</f>
        <v>0</v>
      </c>
      <c r="D104" s="4"/>
      <c r="E104" s="3">
        <f>SUMIF('Raw Data 01-31-2019'!$A$6:$A$254,'Q1 TB-19'!A104,'Raw Data 01-31-2019'!D$6:D$254)</f>
        <v>60000</v>
      </c>
      <c r="F104" s="3"/>
      <c r="G104" s="3">
        <f t="shared" si="3"/>
        <v>-60000</v>
      </c>
      <c r="H104" s="53" t="s">
        <v>800</v>
      </c>
      <c r="J104" s="19"/>
    </row>
    <row r="105" spans="1:10" x14ac:dyDescent="0.75">
      <c r="A105" s="12">
        <v>2730</v>
      </c>
      <c r="B105" s="13" t="s">
        <v>552</v>
      </c>
      <c r="C105" s="3">
        <f>SUMIF('Raw Data 01-31-2019'!$A$6:$A$254,'Q1 TB-19'!A105,'Raw Data 01-31-2019'!C$6:C$254)</f>
        <v>0</v>
      </c>
      <c r="D105" s="4"/>
      <c r="E105" s="3">
        <f>SUMIF('Raw Data 01-31-2019'!$A$6:$A$254,'Q1 TB-19'!A105,'Raw Data 01-31-2019'!D$6:D$254)</f>
        <v>100000</v>
      </c>
      <c r="F105" s="3"/>
      <c r="G105" s="3">
        <f t="shared" si="3"/>
        <v>-100000</v>
      </c>
      <c r="H105" s="53" t="s">
        <v>800</v>
      </c>
      <c r="J105" s="19"/>
    </row>
    <row r="106" spans="1:10" x14ac:dyDescent="0.75">
      <c r="A106" s="12">
        <v>2735</v>
      </c>
      <c r="B106" s="13" t="s">
        <v>553</v>
      </c>
      <c r="C106" s="3">
        <f>SUMIF('Raw Data 01-31-2019'!$A$6:$A$254,'Q1 TB-19'!A106,'Raw Data 01-31-2019'!C$6:C$254)</f>
        <v>0</v>
      </c>
      <c r="D106" s="4"/>
      <c r="E106" s="3">
        <f>SUMIF('Raw Data 01-31-2019'!$A$6:$A$254,'Q1 TB-19'!A106,'Raw Data 01-31-2019'!D$6:D$254)</f>
        <v>150000</v>
      </c>
      <c r="F106" s="3"/>
      <c r="G106" s="3">
        <f t="shared" si="3"/>
        <v>-150000</v>
      </c>
      <c r="H106" s="53" t="s">
        <v>800</v>
      </c>
      <c r="J106" s="19"/>
    </row>
    <row r="107" spans="1:10" x14ac:dyDescent="0.75">
      <c r="A107" s="12">
        <v>2740</v>
      </c>
      <c r="B107" s="13" t="s">
        <v>554</v>
      </c>
      <c r="C107" s="3">
        <f>SUMIF('Raw Data 01-31-2019'!$A$6:$A$254,'Q1 TB-19'!A107,'Raw Data 01-31-2019'!C$6:C$254)</f>
        <v>0</v>
      </c>
      <c r="D107" s="4"/>
      <c r="E107" s="3">
        <f>SUMIF('Raw Data 01-31-2019'!$A$6:$A$254,'Q1 TB-19'!A107,'Raw Data 01-31-2019'!D$6:D$254)</f>
        <v>37500</v>
      </c>
      <c r="F107" s="3"/>
      <c r="G107" s="3">
        <f t="shared" si="3"/>
        <v>-37500</v>
      </c>
      <c r="H107" s="53" t="s">
        <v>800</v>
      </c>
      <c r="J107" s="19"/>
    </row>
    <row r="108" spans="1:10" x14ac:dyDescent="0.75">
      <c r="A108" s="12">
        <v>2745</v>
      </c>
      <c r="B108" s="13" t="s">
        <v>939</v>
      </c>
      <c r="C108" s="3">
        <f>SUMIF('Raw Data 01-31-2019'!$A$6:$A$254,'Q1 TB-19'!A108,'Raw Data 01-31-2019'!C$6:C$254)</f>
        <v>0</v>
      </c>
      <c r="D108" s="4"/>
      <c r="E108" s="3">
        <f>SUMIF('Raw Data 01-31-2019'!$A$6:$A$254,'Q1 TB-19'!A108,'Raw Data 01-31-2019'!D$6:D$254)</f>
        <v>52561.64</v>
      </c>
      <c r="F108" s="3"/>
      <c r="G108" s="3">
        <f t="shared" si="3"/>
        <v>-52561.64</v>
      </c>
      <c r="H108" s="56" t="s">
        <v>182</v>
      </c>
      <c r="J108" s="19"/>
    </row>
    <row r="109" spans="1:10" x14ac:dyDescent="0.75">
      <c r="A109" s="12">
        <v>2750</v>
      </c>
      <c r="B109" s="13" t="s">
        <v>555</v>
      </c>
      <c r="C109" s="3">
        <f>SUMIF('Raw Data 01-31-2019'!$A$6:$A$254,'Q1 TB-19'!A109,'Raw Data 01-31-2019'!C$6:C$254)</f>
        <v>0</v>
      </c>
      <c r="D109" s="4"/>
      <c r="E109" s="3">
        <f>SUMIF('Raw Data 01-31-2019'!$A$6:$A$254,'Q1 TB-19'!A109,'Raw Data 01-31-2019'!D$6:D$254)</f>
        <v>50000</v>
      </c>
      <c r="F109" s="3"/>
      <c r="G109" s="3">
        <f t="shared" si="3"/>
        <v>-50000</v>
      </c>
      <c r="H109" s="53" t="s">
        <v>800</v>
      </c>
      <c r="J109" s="19"/>
    </row>
    <row r="110" spans="1:10" x14ac:dyDescent="0.75">
      <c r="A110" s="12">
        <v>2755</v>
      </c>
      <c r="B110" s="13" t="s">
        <v>556</v>
      </c>
      <c r="C110" s="3">
        <f>SUMIF('Raw Data 01-31-2019'!$A$6:$A$254,'Q1 TB-19'!A110,'Raw Data 01-31-2019'!C$6:C$254)</f>
        <v>0</v>
      </c>
      <c r="D110" s="4"/>
      <c r="E110" s="3">
        <f>SUMIF('Raw Data 01-31-2019'!$A$6:$A$254,'Q1 TB-19'!A110,'Raw Data 01-31-2019'!D$6:D$254)</f>
        <v>25000</v>
      </c>
      <c r="F110" s="3"/>
      <c r="G110" s="3">
        <f t="shared" si="3"/>
        <v>-25000</v>
      </c>
      <c r="H110" s="53" t="s">
        <v>800</v>
      </c>
      <c r="J110" s="19"/>
    </row>
    <row r="111" spans="1:10" x14ac:dyDescent="0.75">
      <c r="A111" s="12">
        <v>2760</v>
      </c>
      <c r="B111" s="13" t="s">
        <v>557</v>
      </c>
      <c r="C111" s="3">
        <f>SUMIF('Raw Data 01-31-2019'!$A$6:$A$254,'Q1 TB-19'!A111,'Raw Data 01-31-2019'!C$6:C$254)</f>
        <v>0</v>
      </c>
      <c r="D111" s="4"/>
      <c r="E111" s="3">
        <f>SUMIF('Raw Data 01-31-2019'!$A$6:$A$254,'Q1 TB-19'!A111,'Raw Data 01-31-2019'!D$6:D$254)</f>
        <v>100000</v>
      </c>
      <c r="F111" s="3"/>
      <c r="G111" s="3">
        <f t="shared" si="3"/>
        <v>-100000</v>
      </c>
      <c r="H111" s="53" t="s">
        <v>800</v>
      </c>
      <c r="J111" s="19"/>
    </row>
    <row r="112" spans="1:10" x14ac:dyDescent="0.75">
      <c r="A112" s="12">
        <v>2765</v>
      </c>
      <c r="B112" s="13" t="s">
        <v>558</v>
      </c>
      <c r="C112" s="3">
        <f>SUMIF('Raw Data 01-31-2019'!$A$6:$A$254,'Q1 TB-19'!A112,'Raw Data 01-31-2019'!C$6:C$254)</f>
        <v>0</v>
      </c>
      <c r="D112" s="4"/>
      <c r="E112" s="3">
        <f>SUMIF('Raw Data 01-31-2019'!$A$6:$A$254,'Q1 TB-19'!A112,'Raw Data 01-31-2019'!D$6:D$254)</f>
        <v>50000</v>
      </c>
      <c r="F112" s="3"/>
      <c r="G112" s="3">
        <f t="shared" si="3"/>
        <v>-50000</v>
      </c>
      <c r="H112" s="53" t="s">
        <v>800</v>
      </c>
      <c r="J112" s="19"/>
    </row>
    <row r="113" spans="1:10" x14ac:dyDescent="0.75">
      <c r="A113" s="12">
        <v>2770</v>
      </c>
      <c r="B113" s="13" t="s">
        <v>559</v>
      </c>
      <c r="C113" s="3">
        <f>SUMIF('Raw Data 01-31-2019'!$A$6:$A$254,'Q1 TB-19'!A113,'Raw Data 01-31-2019'!C$6:C$254)</f>
        <v>0</v>
      </c>
      <c r="D113" s="4"/>
      <c r="E113" s="3">
        <f>SUMIF('Raw Data 01-31-2019'!$A$6:$A$254,'Q1 TB-19'!A113,'Raw Data 01-31-2019'!D$6:D$254)</f>
        <v>2500</v>
      </c>
      <c r="F113" s="3"/>
      <c r="G113" s="3">
        <f t="shared" si="3"/>
        <v>-2500</v>
      </c>
      <c r="H113" s="53" t="s">
        <v>800</v>
      </c>
      <c r="J113" s="19"/>
    </row>
    <row r="114" spans="1:10" x14ac:dyDescent="0.75">
      <c r="A114" s="12">
        <v>2775</v>
      </c>
      <c r="B114" s="13" t="s">
        <v>560</v>
      </c>
      <c r="C114" s="3">
        <f>SUMIF('Raw Data 01-31-2019'!$A$6:$A$254,'Q1 TB-19'!A114,'Raw Data 01-31-2019'!C$6:C$254)</f>
        <v>0</v>
      </c>
      <c r="D114" s="4"/>
      <c r="E114" s="3">
        <f>SUMIF('Raw Data 01-31-2019'!$A$6:$A$254,'Q1 TB-19'!A114,'Raw Data 01-31-2019'!D$6:D$254)</f>
        <v>50000</v>
      </c>
      <c r="F114" s="3"/>
      <c r="G114" s="3">
        <f t="shared" si="3"/>
        <v>-50000</v>
      </c>
      <c r="H114" s="53" t="s">
        <v>800</v>
      </c>
      <c r="J114" s="19"/>
    </row>
    <row r="115" spans="1:10" x14ac:dyDescent="0.75">
      <c r="A115" s="12">
        <v>2780</v>
      </c>
      <c r="B115" s="13" t="s">
        <v>561</v>
      </c>
      <c r="C115" s="3">
        <f>SUMIF('Raw Data 01-31-2019'!$A$6:$A$254,'Q1 TB-19'!A115,'Raw Data 01-31-2019'!C$6:C$254)</f>
        <v>0</v>
      </c>
      <c r="D115" s="4"/>
      <c r="E115" s="3">
        <f>SUMIF('Raw Data 01-31-2019'!$A$6:$A$254,'Q1 TB-19'!A115,'Raw Data 01-31-2019'!D$6:D$254)</f>
        <v>25000</v>
      </c>
      <c r="F115" s="3"/>
      <c r="G115" s="3">
        <f t="shared" si="3"/>
        <v>-25000</v>
      </c>
      <c r="H115" s="53" t="s">
        <v>800</v>
      </c>
      <c r="J115" s="19"/>
    </row>
    <row r="116" spans="1:10" s="67" customFormat="1" x14ac:dyDescent="0.75">
      <c r="A116" s="12" t="s">
        <v>941</v>
      </c>
      <c r="B116" s="13" t="s">
        <v>942</v>
      </c>
      <c r="C116" s="3">
        <f>SUMIF('Raw Data 01-31-2019'!$A$6:$A$254,'Q1 TB-19'!A116,'Raw Data 01-31-2019'!C$6:C$254)</f>
        <v>370241</v>
      </c>
      <c r="D116" s="4"/>
      <c r="E116" s="3">
        <f>SUMIF('Raw Data 01-31-2019'!$A$6:$A$254,'Q1 TB-19'!A116,'Raw Data 01-31-2019'!D$6:D$254)</f>
        <v>0</v>
      </c>
      <c r="F116" s="3"/>
      <c r="G116" s="3">
        <f t="shared" ref="G116" si="6">C116-E116</f>
        <v>370241</v>
      </c>
      <c r="H116" s="67" t="s">
        <v>800</v>
      </c>
      <c r="J116" s="19"/>
    </row>
    <row r="117" spans="1:10" x14ac:dyDescent="0.75">
      <c r="A117" s="12">
        <v>3000</v>
      </c>
      <c r="B117" s="13" t="s">
        <v>563</v>
      </c>
      <c r="C117" s="3">
        <f>SUMIF('Raw Data 01-31-2019'!$A$6:$A$254,'Q1 TB-19'!A117,'Raw Data 01-31-2019'!C$6:C$254)</f>
        <v>0</v>
      </c>
      <c r="D117" s="4"/>
      <c r="E117" s="3">
        <f>SUMIF('Raw Data 01-31-2019'!$A$6:$A$254,'Q1 TB-19'!A117,'Raw Data 01-31-2019'!D$6:D$254)</f>
        <v>46184.14</v>
      </c>
      <c r="F117" s="3"/>
      <c r="G117" s="3">
        <f t="shared" si="3"/>
        <v>-46184.14</v>
      </c>
      <c r="H117" s="53" t="s">
        <v>183</v>
      </c>
      <c r="J117" s="19"/>
    </row>
    <row r="118" spans="1:10" x14ac:dyDescent="0.75">
      <c r="A118" s="12">
        <v>3050</v>
      </c>
      <c r="B118" s="13" t="s">
        <v>569</v>
      </c>
      <c r="C118" s="3">
        <f>SUMIF('Raw Data 01-31-2019'!$A$6:$A$254,'Q1 TB-19'!A118,'Raw Data 01-31-2019'!C$6:C$254)</f>
        <v>0</v>
      </c>
      <c r="D118" s="4"/>
      <c r="E118" s="3">
        <f>SUMIF('Raw Data 01-31-2019'!$A$6:$A$254,'Q1 TB-19'!A118,'Raw Data 01-31-2019'!D$6:D$254)</f>
        <v>0</v>
      </c>
      <c r="F118" s="3"/>
      <c r="G118" s="3">
        <f t="shared" si="3"/>
        <v>0</v>
      </c>
      <c r="H118" s="53" t="s">
        <v>802</v>
      </c>
      <c r="J118" s="19"/>
    </row>
    <row r="119" spans="1:10" x14ac:dyDescent="0.75">
      <c r="A119" s="12">
        <v>3100</v>
      </c>
      <c r="B119" s="13" t="s">
        <v>567</v>
      </c>
      <c r="C119" s="3">
        <f>SUMIF('Raw Data 01-31-2019'!$A$6:$A$254,'Q1 TB-19'!A119,'Raw Data 01-31-2019'!C$6:C$254)</f>
        <v>0</v>
      </c>
      <c r="D119" s="4"/>
      <c r="E119" s="3">
        <f>SUMIF('Raw Data 01-31-2019'!$A$6:$A$254,'Q1 TB-19'!A119,'Raw Data 01-31-2019'!D$6:D$254)</f>
        <v>7260317.1500000004</v>
      </c>
      <c r="F119" s="3"/>
      <c r="G119" s="3">
        <f t="shared" si="3"/>
        <v>-7260317.1500000004</v>
      </c>
      <c r="H119" s="53" t="s">
        <v>184</v>
      </c>
      <c r="J119" s="19"/>
    </row>
    <row r="120" spans="1:10" s="89" customFormat="1" x14ac:dyDescent="0.75">
      <c r="A120" s="12" t="s">
        <v>1003</v>
      </c>
      <c r="B120" s="13" t="s">
        <v>1004</v>
      </c>
      <c r="C120" s="3">
        <f>SUMIF('Raw Data 01-31-2019'!$A$6:$A$254,'Q1 TB-19'!A120,'Raw Data 01-31-2019'!C$6:C$254)</f>
        <v>0</v>
      </c>
      <c r="D120" s="4"/>
      <c r="E120" s="3">
        <f>SUMIF('Raw Data 01-31-2019'!$A$6:$A$254,'Q1 TB-19'!A120,'Raw Data 01-31-2019'!D$6:D$254)</f>
        <v>0</v>
      </c>
      <c r="F120" s="3"/>
      <c r="G120" s="3">
        <f t="shared" ref="G120" si="7">C120-E120</f>
        <v>0</v>
      </c>
      <c r="H120" s="89" t="s">
        <v>184</v>
      </c>
      <c r="J120" s="19"/>
    </row>
    <row r="121" spans="1:10" x14ac:dyDescent="0.75">
      <c r="A121" s="12">
        <v>3200</v>
      </c>
      <c r="B121" s="13" t="s">
        <v>562</v>
      </c>
      <c r="C121" s="3">
        <f>SUMIF('Raw Data 01-31-2019'!$A$6:$A$254,'Q1 TB-19'!A121,'Raw Data 01-31-2019'!C$6:C$254)</f>
        <v>0</v>
      </c>
      <c r="D121" s="4"/>
      <c r="E121" s="3">
        <f>SUMIF('Raw Data 01-31-2019'!$A$6:$A$254,'Q1 TB-19'!A121,'Raw Data 01-31-2019'!D$6:D$254)</f>
        <v>0</v>
      </c>
      <c r="F121" s="3"/>
      <c r="G121" s="3">
        <f t="shared" si="3"/>
        <v>0</v>
      </c>
      <c r="H121" s="53" t="s">
        <v>184</v>
      </c>
      <c r="J121" s="19"/>
    </row>
    <row r="122" spans="1:10" x14ac:dyDescent="0.75">
      <c r="A122" s="12">
        <v>3300</v>
      </c>
      <c r="B122" s="13" t="s">
        <v>564</v>
      </c>
      <c r="C122" s="3">
        <f>SUMIF('Raw Data 01-31-2019'!$A$6:$A$254,'Q1 TB-19'!A122,'Raw Data 01-31-2019'!C$6:C$254)</f>
        <v>0</v>
      </c>
      <c r="D122" s="4"/>
      <c r="E122" s="3">
        <f>SUMIF('Raw Data 01-31-2019'!$A$6:$A$254,'Q1 TB-19'!A122,'Raw Data 01-31-2019'!D$6:D$254)</f>
        <v>0</v>
      </c>
      <c r="F122" s="3"/>
      <c r="G122" s="3">
        <f t="shared" si="3"/>
        <v>0</v>
      </c>
      <c r="H122" s="53" t="s">
        <v>184</v>
      </c>
      <c r="J122" s="19"/>
    </row>
    <row r="123" spans="1:10" x14ac:dyDescent="0.75">
      <c r="A123" s="12">
        <v>3400</v>
      </c>
      <c r="B123" s="13" t="s">
        <v>565</v>
      </c>
      <c r="C123" s="3">
        <f>SUMIF('Raw Data 01-31-2019'!$A$6:$A$254,'Q1 TB-19'!A123,'Raw Data 01-31-2019'!C$6:C$254)</f>
        <v>0</v>
      </c>
      <c r="D123" s="4"/>
      <c r="E123" s="3">
        <f>SUMIF('Raw Data 01-31-2019'!$A$6:$A$254,'Q1 TB-19'!A123,'Raw Data 01-31-2019'!D$6:D$254)</f>
        <v>0</v>
      </c>
      <c r="F123" s="3"/>
      <c r="G123" s="3">
        <f t="shared" si="3"/>
        <v>0</v>
      </c>
      <c r="H123" s="53" t="s">
        <v>184</v>
      </c>
      <c r="J123" s="19"/>
    </row>
    <row r="124" spans="1:10" x14ac:dyDescent="0.75">
      <c r="A124" s="12">
        <v>3500</v>
      </c>
      <c r="B124" s="13" t="s">
        <v>566</v>
      </c>
      <c r="C124" s="3">
        <f>SUMIF('Raw Data 01-31-2019'!$A$6:$A$254,'Q1 TB-19'!A124,'Raw Data 01-31-2019'!C$6:C$254)</f>
        <v>0</v>
      </c>
      <c r="D124" s="4"/>
      <c r="E124" s="3">
        <f>SUMIF('Raw Data 01-31-2019'!$A$6:$A$254,'Q1 TB-19'!A124,'Raw Data 01-31-2019'!D$6:D$254)</f>
        <v>0</v>
      </c>
      <c r="F124" s="3"/>
      <c r="G124" s="3">
        <f t="shared" si="3"/>
        <v>0</v>
      </c>
      <c r="H124" s="53" t="s">
        <v>184</v>
      </c>
      <c r="J124" s="19"/>
    </row>
    <row r="125" spans="1:10" s="56" customFormat="1" x14ac:dyDescent="0.75">
      <c r="A125" s="12" t="s">
        <v>382</v>
      </c>
      <c r="B125" s="13" t="s">
        <v>933</v>
      </c>
      <c r="C125" s="3">
        <f>SUMIF('Raw Data 01-31-2019'!$A$6:$A$254,'Q1 TB-19'!A125,'Raw Data 01-31-2019'!C$6:C$254)</f>
        <v>94000</v>
      </c>
      <c r="D125" s="4"/>
      <c r="E125" s="3">
        <f>SUMIF('Raw Data 01-31-2019'!$A$6:$A$254,'Q1 TB-19'!A125,'Raw Data 01-31-2019'!D$6:D$254)</f>
        <v>0</v>
      </c>
      <c r="F125" s="3"/>
      <c r="G125" s="3">
        <f t="shared" ref="G125" si="8">C125-E125</f>
        <v>94000</v>
      </c>
      <c r="H125" s="56" t="s">
        <v>934</v>
      </c>
      <c r="J125" s="19"/>
    </row>
    <row r="126" spans="1:10" x14ac:dyDescent="0.75">
      <c r="A126" s="12">
        <v>3800</v>
      </c>
      <c r="B126" s="13" t="s">
        <v>568</v>
      </c>
      <c r="C126" s="3">
        <f>SUMIF('Raw Data 01-31-2019'!$A$6:$A$254,'Q1 TB-19'!A126,'Raw Data 01-31-2019'!C$6:C$254)</f>
        <v>0</v>
      </c>
      <c r="D126" s="4"/>
      <c r="E126" s="3">
        <f>SUMIF('Raw Data 01-31-2019'!$A$6:$A$254,'Q1 TB-19'!A126,'Raw Data 01-31-2019'!D$6:D$254)</f>
        <v>0</v>
      </c>
      <c r="F126" s="3"/>
      <c r="G126" s="3">
        <f t="shared" si="3"/>
        <v>0</v>
      </c>
      <c r="H126" s="53" t="s">
        <v>185</v>
      </c>
      <c r="J126" s="19"/>
    </row>
    <row r="127" spans="1:10" x14ac:dyDescent="0.75">
      <c r="A127" s="12">
        <v>3900</v>
      </c>
      <c r="B127" s="13" t="s">
        <v>400</v>
      </c>
      <c r="C127" s="3">
        <f>SUMIF('Raw Data 01-31-2019'!$A$6:$A$254,'Q1 TB-19'!A127,'Raw Data 01-31-2019'!C$6:C$254)</f>
        <v>9062703.3699999992</v>
      </c>
      <c r="D127" s="4"/>
      <c r="E127" s="3">
        <f>SUMIF('Raw Data 01-31-2019'!$A$6:$A$254,'Q1 TB-19'!A127,'Raw Data 01-31-2019'!D$6:D$254)</f>
        <v>0</v>
      </c>
      <c r="F127" s="3"/>
      <c r="G127" s="3">
        <f t="shared" si="3"/>
        <v>9062703.3699999992</v>
      </c>
      <c r="H127" s="53" t="s">
        <v>185</v>
      </c>
      <c r="J127" s="19"/>
    </row>
    <row r="128" spans="1:10" x14ac:dyDescent="0.75">
      <c r="A128" s="12">
        <v>4100</v>
      </c>
      <c r="B128" s="13" t="s">
        <v>576</v>
      </c>
      <c r="C128" s="3">
        <f>SUMIF('Raw Data 01-31-2019'!$A$6:$A$254,'Q1 TB-19'!A128,'Raw Data 01-31-2019'!C$6:C$254)</f>
        <v>0</v>
      </c>
      <c r="D128" s="4"/>
      <c r="E128" s="3">
        <f>SUMIF('Raw Data 01-31-2019'!$A$6:$A$254,'Q1 TB-19'!A128,'Raw Data 01-31-2019'!D$6:D$254)</f>
        <v>180129.42</v>
      </c>
      <c r="F128" s="3"/>
      <c r="G128" s="3">
        <f t="shared" si="3"/>
        <v>-180129.42</v>
      </c>
      <c r="H128" s="53" t="s">
        <v>437</v>
      </c>
      <c r="J128" s="19"/>
    </row>
    <row r="129" spans="1:10" x14ac:dyDescent="0.75">
      <c r="A129" s="12">
        <v>4110</v>
      </c>
      <c r="B129" s="13" t="s">
        <v>577</v>
      </c>
      <c r="C129" s="3">
        <f>SUMIF('Raw Data 01-31-2019'!$A$6:$A$254,'Q1 TB-19'!A129,'Raw Data 01-31-2019'!C$6:C$254)</f>
        <v>0</v>
      </c>
      <c r="D129" s="4"/>
      <c r="E129" s="3">
        <f>SUMIF('Raw Data 01-31-2019'!$A$6:$A$254,'Q1 TB-19'!A129,'Raw Data 01-31-2019'!D$6:D$254)</f>
        <v>0</v>
      </c>
      <c r="F129" s="3"/>
      <c r="G129" s="3">
        <f t="shared" si="3"/>
        <v>0</v>
      </c>
      <c r="H129" s="53" t="s">
        <v>437</v>
      </c>
      <c r="J129" s="19"/>
    </row>
    <row r="130" spans="1:10" x14ac:dyDescent="0.75">
      <c r="A130" s="12">
        <v>4200</v>
      </c>
      <c r="B130" s="13" t="s">
        <v>573</v>
      </c>
      <c r="C130" s="3">
        <f>SUMIF('Raw Data 01-31-2019'!$A$6:$A$254,'Q1 TB-19'!A130,'Raw Data 01-31-2019'!C$6:C$254)</f>
        <v>0</v>
      </c>
      <c r="D130" s="4"/>
      <c r="E130" s="3">
        <f>SUMIF('Raw Data 01-31-2019'!$A$6:$A$254,'Q1 TB-19'!A130,'Raw Data 01-31-2019'!D$6:D$254)</f>
        <v>0</v>
      </c>
      <c r="F130" s="3"/>
      <c r="G130" s="3">
        <f t="shared" si="3"/>
        <v>0</v>
      </c>
      <c r="H130" s="53" t="s">
        <v>437</v>
      </c>
      <c r="J130" s="19"/>
    </row>
    <row r="131" spans="1:10" x14ac:dyDescent="0.75">
      <c r="A131" s="12">
        <v>4300</v>
      </c>
      <c r="B131" s="13" t="s">
        <v>571</v>
      </c>
      <c r="C131" s="3">
        <f>SUMIF('Raw Data 01-31-2019'!$A$6:$A$254,'Q1 TB-19'!A131,'Raw Data 01-31-2019'!C$6:C$254)</f>
        <v>0</v>
      </c>
      <c r="D131" s="4"/>
      <c r="E131" s="3">
        <f>SUMIF('Raw Data 01-31-2019'!$A$6:$A$254,'Q1 TB-19'!A131,'Raw Data 01-31-2019'!D$6:D$254)</f>
        <v>0</v>
      </c>
      <c r="F131" s="3"/>
      <c r="G131" s="3">
        <f t="shared" si="3"/>
        <v>0</v>
      </c>
      <c r="H131" s="53" t="s">
        <v>437</v>
      </c>
      <c r="J131" s="19"/>
    </row>
    <row r="132" spans="1:10" x14ac:dyDescent="0.75">
      <c r="A132" s="12">
        <v>4400</v>
      </c>
      <c r="B132" s="13" t="s">
        <v>570</v>
      </c>
      <c r="C132" s="3">
        <f>SUMIF('Raw Data 01-31-2019'!$A$6:$A$254,'Q1 TB-19'!A132,'Raw Data 01-31-2019'!C$6:C$254)</f>
        <v>0</v>
      </c>
      <c r="D132" s="4"/>
      <c r="E132" s="3">
        <f>SUMIF('Raw Data 01-31-2019'!$A$6:$A$254,'Q1 TB-19'!A132,'Raw Data 01-31-2019'!D$6:D$254)</f>
        <v>0</v>
      </c>
      <c r="F132" s="3"/>
      <c r="G132" s="3">
        <f t="shared" si="3"/>
        <v>0</v>
      </c>
      <c r="H132" s="53" t="s">
        <v>437</v>
      </c>
      <c r="J132" s="19"/>
    </row>
    <row r="133" spans="1:10" x14ac:dyDescent="0.75">
      <c r="A133" s="12">
        <v>4420</v>
      </c>
      <c r="B133" s="13" t="s">
        <v>574</v>
      </c>
      <c r="C133" s="3">
        <f>SUMIF('Raw Data 01-31-2019'!$A$6:$A$254,'Q1 TB-19'!A133,'Raw Data 01-31-2019'!C$6:C$254)</f>
        <v>0</v>
      </c>
      <c r="D133" s="4"/>
      <c r="E133" s="3">
        <f>SUMIF('Raw Data 01-31-2019'!$A$6:$A$254,'Q1 TB-19'!A133,'Raw Data 01-31-2019'!D$6:D$254)</f>
        <v>0</v>
      </c>
      <c r="F133" s="3"/>
      <c r="G133" s="3">
        <f t="shared" si="3"/>
        <v>0</v>
      </c>
      <c r="H133" s="53" t="s">
        <v>437</v>
      </c>
      <c r="J133" s="19"/>
    </row>
    <row r="134" spans="1:10" x14ac:dyDescent="0.75">
      <c r="A134" s="12">
        <v>4440</v>
      </c>
      <c r="B134" s="13" t="s">
        <v>575</v>
      </c>
      <c r="C134" s="3">
        <f>SUMIF('Raw Data 01-31-2019'!$A$6:$A$254,'Q1 TB-19'!A134,'Raw Data 01-31-2019'!C$6:C$254)</f>
        <v>0</v>
      </c>
      <c r="D134" s="4"/>
      <c r="E134" s="3">
        <f>SUMIF('Raw Data 01-31-2019'!$A$6:$A$254,'Q1 TB-19'!A134,'Raw Data 01-31-2019'!D$6:D$254)</f>
        <v>0</v>
      </c>
      <c r="F134" s="3"/>
      <c r="G134" s="3">
        <f t="shared" si="3"/>
        <v>0</v>
      </c>
      <c r="H134" s="53" t="s">
        <v>437</v>
      </c>
      <c r="J134" s="19"/>
    </row>
    <row r="135" spans="1:10" x14ac:dyDescent="0.75">
      <c r="A135" s="12">
        <v>4500</v>
      </c>
      <c r="B135" s="13" t="s">
        <v>578</v>
      </c>
      <c r="C135" s="3">
        <f>SUMIF('Raw Data 01-31-2019'!$A$6:$A$254,'Q1 TB-19'!A135,'Raw Data 01-31-2019'!C$6:C$254)</f>
        <v>0</v>
      </c>
      <c r="D135" s="4"/>
      <c r="E135" s="3">
        <f>SUMIF('Raw Data 01-31-2019'!$A$6:$A$254,'Q1 TB-19'!A135,'Raw Data 01-31-2019'!D$6:D$254)</f>
        <v>9948.35</v>
      </c>
      <c r="F135" s="3"/>
      <c r="G135" s="3">
        <f t="shared" si="3"/>
        <v>-9948.35</v>
      </c>
      <c r="H135" s="53" t="s">
        <v>437</v>
      </c>
      <c r="J135" s="19"/>
    </row>
    <row r="136" spans="1:10" x14ac:dyDescent="0.75">
      <c r="A136" s="12">
        <v>4550</v>
      </c>
      <c r="B136" s="13" t="s">
        <v>579</v>
      </c>
      <c r="C136" s="3">
        <f>SUMIF('Raw Data 01-31-2019'!$A$6:$A$254,'Q1 TB-19'!A136,'Raw Data 01-31-2019'!C$6:C$254)</f>
        <v>0</v>
      </c>
      <c r="D136" s="4"/>
      <c r="E136" s="3">
        <f>SUMIF('Raw Data 01-31-2019'!$A$6:$A$254,'Q1 TB-19'!A136,'Raw Data 01-31-2019'!D$6:D$254)</f>
        <v>0</v>
      </c>
      <c r="F136" s="3"/>
      <c r="G136" s="3">
        <f t="shared" si="3"/>
        <v>0</v>
      </c>
      <c r="H136" s="53" t="s">
        <v>437</v>
      </c>
      <c r="J136" s="19"/>
    </row>
    <row r="137" spans="1:10" x14ac:dyDescent="0.75">
      <c r="A137" s="12">
        <v>4900</v>
      </c>
      <c r="B137" s="13" t="s">
        <v>572</v>
      </c>
      <c r="C137" s="3">
        <f>SUMIF('Raw Data 01-31-2019'!$A$6:$A$254,'Q1 TB-19'!A137,'Raw Data 01-31-2019'!C$6:C$254)</f>
        <v>0</v>
      </c>
      <c r="D137" s="4"/>
      <c r="E137" s="3">
        <f>SUMIF('Raw Data 01-31-2019'!$A$6:$A$254,'Q1 TB-19'!A137,'Raw Data 01-31-2019'!D$6:D$254)</f>
        <v>3835</v>
      </c>
      <c r="F137" s="3"/>
      <c r="G137" s="3">
        <f t="shared" si="3"/>
        <v>-3835</v>
      </c>
      <c r="H137" s="53" t="s">
        <v>801</v>
      </c>
      <c r="J137" s="19"/>
    </row>
    <row r="138" spans="1:10" x14ac:dyDescent="0.75">
      <c r="A138" s="12">
        <v>4950</v>
      </c>
      <c r="B138" s="13" t="s">
        <v>580</v>
      </c>
      <c r="C138" s="3">
        <f>SUMIF('Raw Data 01-31-2019'!$A$6:$A$254,'Q1 TB-19'!A138,'Raw Data 01-31-2019'!C$6:C$254)</f>
        <v>0</v>
      </c>
      <c r="D138" s="4"/>
      <c r="E138" s="3">
        <f>SUMIF('Raw Data 01-31-2019'!$A$6:$A$254,'Q1 TB-19'!A138,'Raw Data 01-31-2019'!D$6:D$254)</f>
        <v>0</v>
      </c>
      <c r="F138" s="3"/>
      <c r="G138" s="3">
        <f t="shared" si="3"/>
        <v>0</v>
      </c>
      <c r="H138" s="53" t="s">
        <v>437</v>
      </c>
      <c r="J138" s="19"/>
    </row>
    <row r="139" spans="1:10" x14ac:dyDescent="0.75">
      <c r="A139" s="12">
        <v>4980</v>
      </c>
      <c r="B139" s="13" t="s">
        <v>581</v>
      </c>
      <c r="C139" s="3">
        <f>SUMIF('Raw Data 01-31-2019'!$A$6:$A$254,'Q1 TB-19'!A139,'Raw Data 01-31-2019'!C$6:C$254)</f>
        <v>0</v>
      </c>
      <c r="D139" s="4"/>
      <c r="E139" s="3">
        <f>SUMIF('Raw Data 01-31-2019'!$A$6:$A$254,'Q1 TB-19'!A139,'Raw Data 01-31-2019'!D$6:D$254)</f>
        <v>0</v>
      </c>
      <c r="F139" s="3"/>
      <c r="G139" s="3">
        <f t="shared" si="3"/>
        <v>0</v>
      </c>
      <c r="H139" s="53" t="s">
        <v>437</v>
      </c>
      <c r="J139" s="19"/>
    </row>
    <row r="140" spans="1:10" x14ac:dyDescent="0.75">
      <c r="A140" s="12">
        <v>5000</v>
      </c>
      <c r="B140" s="13" t="s">
        <v>582</v>
      </c>
      <c r="C140" s="3">
        <f>SUMIF('Raw Data 01-31-2019'!$A$6:$A$254,'Q1 TB-19'!A140,'Raw Data 01-31-2019'!C$6:C$254)</f>
        <v>6065.06</v>
      </c>
      <c r="D140" s="4"/>
      <c r="E140" s="3">
        <f>SUMIF('Raw Data 01-31-2019'!$A$6:$A$254,'Q1 TB-19'!A140,'Raw Data 01-31-2019'!D$6:D$254)</f>
        <v>0</v>
      </c>
      <c r="F140" s="3"/>
      <c r="G140" s="3">
        <f t="shared" si="3"/>
        <v>6065.06</v>
      </c>
      <c r="H140" s="53" t="s">
        <v>438</v>
      </c>
      <c r="J140" s="19"/>
    </row>
    <row r="141" spans="1:10" x14ac:dyDescent="0.75">
      <c r="A141" s="12">
        <v>5010</v>
      </c>
      <c r="B141" s="13" t="s">
        <v>583</v>
      </c>
      <c r="C141" s="3">
        <f>SUMIF('Raw Data 01-31-2019'!$A$6:$A$254,'Q1 TB-19'!A141,'Raw Data 01-31-2019'!C$6:C$254)</f>
        <v>9235.99</v>
      </c>
      <c r="D141" s="4"/>
      <c r="E141" s="3">
        <f>SUMIF('Raw Data 01-31-2019'!$A$6:$A$254,'Q1 TB-19'!A141,'Raw Data 01-31-2019'!D$6:D$254)</f>
        <v>0</v>
      </c>
      <c r="F141" s="3"/>
      <c r="G141" s="3">
        <f t="shared" si="3"/>
        <v>9235.99</v>
      </c>
      <c r="H141" s="53" t="s">
        <v>438</v>
      </c>
      <c r="J141" s="19"/>
    </row>
    <row r="142" spans="1:10" x14ac:dyDescent="0.75">
      <c r="A142" s="12">
        <v>5020</v>
      </c>
      <c r="B142" s="13" t="s">
        <v>584</v>
      </c>
      <c r="C142" s="3">
        <f>SUMIF('Raw Data 01-31-2019'!$A$6:$A$254,'Q1 TB-19'!A142,'Raw Data 01-31-2019'!C$6:C$254)</f>
        <v>0</v>
      </c>
      <c r="D142" s="4"/>
      <c r="E142" s="3">
        <f>SUMIF('Raw Data 01-31-2019'!$A$6:$A$254,'Q1 TB-19'!A142,'Raw Data 01-31-2019'!D$6:D$254)</f>
        <v>0</v>
      </c>
      <c r="F142" s="3"/>
      <c r="G142" s="3">
        <f t="shared" ref="G142:G205" si="9">C142-E142</f>
        <v>0</v>
      </c>
      <c r="H142" s="53" t="s">
        <v>438</v>
      </c>
      <c r="J142" s="19"/>
    </row>
    <row r="143" spans="1:10" x14ac:dyDescent="0.75">
      <c r="A143" s="12">
        <v>5030</v>
      </c>
      <c r="B143" s="13" t="s">
        <v>585</v>
      </c>
      <c r="C143" s="3">
        <f>SUMIF('Raw Data 01-31-2019'!$A$6:$A$254,'Q1 TB-19'!A143,'Raw Data 01-31-2019'!C$6:C$254)</f>
        <v>0</v>
      </c>
      <c r="D143" s="4"/>
      <c r="E143" s="3">
        <f>SUMIF('Raw Data 01-31-2019'!$A$6:$A$254,'Q1 TB-19'!A143,'Raw Data 01-31-2019'!D$6:D$254)</f>
        <v>0</v>
      </c>
      <c r="F143" s="3"/>
      <c r="G143" s="3">
        <f t="shared" si="9"/>
        <v>0</v>
      </c>
      <c r="H143" s="53" t="s">
        <v>438</v>
      </c>
      <c r="J143" s="19"/>
    </row>
    <row r="144" spans="1:10" x14ac:dyDescent="0.75">
      <c r="A144" s="12">
        <v>5040</v>
      </c>
      <c r="B144" s="13" t="s">
        <v>586</v>
      </c>
      <c r="C144" s="3">
        <f>SUMIF('Raw Data 01-31-2019'!$A$6:$A$254,'Q1 TB-19'!A144,'Raw Data 01-31-2019'!C$6:C$254)</f>
        <v>0</v>
      </c>
      <c r="D144" s="4"/>
      <c r="E144" s="3">
        <f>SUMIF('Raw Data 01-31-2019'!$A$6:$A$254,'Q1 TB-19'!A144,'Raw Data 01-31-2019'!D$6:D$254)</f>
        <v>0</v>
      </c>
      <c r="F144" s="3"/>
      <c r="G144" s="3">
        <f t="shared" si="9"/>
        <v>0</v>
      </c>
      <c r="H144" s="53" t="s">
        <v>438</v>
      </c>
      <c r="J144" s="19"/>
    </row>
    <row r="145" spans="1:10" x14ac:dyDescent="0.75">
      <c r="A145" s="12">
        <v>5050</v>
      </c>
      <c r="B145" s="13" t="s">
        <v>587</v>
      </c>
      <c r="C145" s="3">
        <f>SUMIF('Raw Data 01-31-2019'!$A$6:$A$254,'Q1 TB-19'!A145,'Raw Data 01-31-2019'!C$6:C$254)</f>
        <v>36830.14</v>
      </c>
      <c r="D145" s="4"/>
      <c r="E145" s="3">
        <f>SUMIF('Raw Data 01-31-2019'!$A$6:$A$254,'Q1 TB-19'!A145,'Raw Data 01-31-2019'!D$6:D$254)</f>
        <v>0</v>
      </c>
      <c r="F145" s="3"/>
      <c r="G145" s="3">
        <f t="shared" si="9"/>
        <v>36830.14</v>
      </c>
      <c r="H145" s="53" t="s">
        <v>438</v>
      </c>
      <c r="J145" s="19"/>
    </row>
    <row r="146" spans="1:10" x14ac:dyDescent="0.75">
      <c r="A146" s="12">
        <v>5060</v>
      </c>
      <c r="B146" s="13" t="s">
        <v>588</v>
      </c>
      <c r="C146" s="3">
        <f>SUMIF('Raw Data 01-31-2019'!$A$6:$A$254,'Q1 TB-19'!A146,'Raw Data 01-31-2019'!C$6:C$254)</f>
        <v>0</v>
      </c>
      <c r="D146" s="4"/>
      <c r="E146" s="3">
        <f>SUMIF('Raw Data 01-31-2019'!$A$6:$A$254,'Q1 TB-19'!A146,'Raw Data 01-31-2019'!D$6:D$254)</f>
        <v>0</v>
      </c>
      <c r="F146" s="3"/>
      <c r="G146" s="3">
        <f t="shared" si="9"/>
        <v>0</v>
      </c>
      <c r="H146" s="53" t="s">
        <v>438</v>
      </c>
      <c r="J146" s="19"/>
    </row>
    <row r="147" spans="1:10" x14ac:dyDescent="0.75">
      <c r="A147" s="12">
        <v>5070</v>
      </c>
      <c r="B147" s="13" t="s">
        <v>589</v>
      </c>
      <c r="C147" s="3">
        <f>SUMIF('Raw Data 01-31-2019'!$A$6:$A$254,'Q1 TB-19'!A147,'Raw Data 01-31-2019'!C$6:C$254)</f>
        <v>0</v>
      </c>
      <c r="D147" s="4"/>
      <c r="E147" s="3">
        <f>SUMIF('Raw Data 01-31-2019'!$A$6:$A$254,'Q1 TB-19'!A147,'Raw Data 01-31-2019'!D$6:D$254)</f>
        <v>0</v>
      </c>
      <c r="F147" s="3"/>
      <c r="G147" s="3">
        <f t="shared" si="9"/>
        <v>0</v>
      </c>
      <c r="H147" s="53" t="s">
        <v>438</v>
      </c>
      <c r="J147" s="19"/>
    </row>
    <row r="148" spans="1:10" x14ac:dyDescent="0.75">
      <c r="A148" s="12">
        <v>5080</v>
      </c>
      <c r="B148" s="13" t="s">
        <v>597</v>
      </c>
      <c r="C148" s="3">
        <f>SUMIF('Raw Data 01-31-2019'!$A$6:$A$254,'Q1 TB-19'!A148,'Raw Data 01-31-2019'!C$6:C$254)</f>
        <v>0</v>
      </c>
      <c r="D148" s="4"/>
      <c r="E148" s="3">
        <f>SUMIF('Raw Data 01-31-2019'!$A$6:$A$254,'Q1 TB-19'!A148,'Raw Data 01-31-2019'!D$6:D$254)</f>
        <v>0</v>
      </c>
      <c r="F148" s="3"/>
      <c r="G148" s="3">
        <f t="shared" si="9"/>
        <v>0</v>
      </c>
      <c r="H148" s="53" t="s">
        <v>438</v>
      </c>
      <c r="J148" s="19"/>
    </row>
    <row r="149" spans="1:10" x14ac:dyDescent="0.75">
      <c r="A149" s="12">
        <v>5085</v>
      </c>
      <c r="B149" s="13" t="s">
        <v>598</v>
      </c>
      <c r="C149" s="3">
        <f>SUMIF('Raw Data 01-31-2019'!$A$6:$A$254,'Q1 TB-19'!A149,'Raw Data 01-31-2019'!C$6:C$254)</f>
        <v>0</v>
      </c>
      <c r="D149" s="4"/>
      <c r="E149" s="3">
        <f>SUMIF('Raw Data 01-31-2019'!$A$6:$A$254,'Q1 TB-19'!A149,'Raw Data 01-31-2019'!D$6:D$254)</f>
        <v>0</v>
      </c>
      <c r="F149" s="3"/>
      <c r="G149" s="3">
        <f t="shared" si="9"/>
        <v>0</v>
      </c>
      <c r="H149" s="53" t="s">
        <v>438</v>
      </c>
      <c r="J149" s="19"/>
    </row>
    <row r="150" spans="1:10" x14ac:dyDescent="0.75">
      <c r="A150" s="12">
        <v>6010</v>
      </c>
      <c r="B150" s="13" t="s">
        <v>590</v>
      </c>
      <c r="C150" s="3">
        <f>SUMIF('Raw Data 01-31-2019'!$A$6:$A$254,'Q1 TB-19'!A150,'Raw Data 01-31-2019'!C$6:C$254)</f>
        <v>3905.48</v>
      </c>
      <c r="D150" s="4"/>
      <c r="E150" s="3">
        <f>SUMIF('Raw Data 01-31-2019'!$A$6:$A$254,'Q1 TB-19'!A150,'Raw Data 01-31-2019'!D$6:D$254)</f>
        <v>0</v>
      </c>
      <c r="F150" s="3"/>
      <c r="G150" s="3">
        <f t="shared" si="9"/>
        <v>3905.48</v>
      </c>
      <c r="H150" s="53" t="s">
        <v>439</v>
      </c>
      <c r="J150" s="19"/>
    </row>
    <row r="151" spans="1:10" x14ac:dyDescent="0.75">
      <c r="A151" s="12">
        <v>6015</v>
      </c>
      <c r="B151" s="13" t="s">
        <v>591</v>
      </c>
      <c r="C151" s="3">
        <f>SUMIF('Raw Data 01-31-2019'!$A$6:$A$254,'Q1 TB-19'!A151,'Raw Data 01-31-2019'!C$6:C$254)</f>
        <v>0</v>
      </c>
      <c r="D151" s="4"/>
      <c r="E151" s="3">
        <f>SUMIF('Raw Data 01-31-2019'!$A$6:$A$254,'Q1 TB-19'!A151,'Raw Data 01-31-2019'!D$6:D$254)</f>
        <v>0</v>
      </c>
      <c r="F151" s="3"/>
      <c r="G151" s="3">
        <f t="shared" si="9"/>
        <v>0</v>
      </c>
      <c r="H151" s="53" t="s">
        <v>439</v>
      </c>
      <c r="J151" s="19"/>
    </row>
    <row r="152" spans="1:10" x14ac:dyDescent="0.75">
      <c r="A152" s="12">
        <v>6020</v>
      </c>
      <c r="B152" s="13" t="s">
        <v>592</v>
      </c>
      <c r="C152" s="3">
        <f>SUMIF('Raw Data 01-31-2019'!$A$6:$A$254,'Q1 TB-19'!A152,'Raw Data 01-31-2019'!C$6:C$254)</f>
        <v>0</v>
      </c>
      <c r="D152" s="4"/>
      <c r="E152" s="3">
        <f>SUMIF('Raw Data 01-31-2019'!$A$6:$A$254,'Q1 TB-19'!A152,'Raw Data 01-31-2019'!D$6:D$254)</f>
        <v>0</v>
      </c>
      <c r="F152" s="3"/>
      <c r="G152" s="3">
        <f t="shared" si="9"/>
        <v>0</v>
      </c>
      <c r="H152" s="53" t="s">
        <v>439</v>
      </c>
      <c r="J152" s="19"/>
    </row>
    <row r="153" spans="1:10" x14ac:dyDescent="0.75">
      <c r="A153" s="12">
        <v>6025</v>
      </c>
      <c r="B153" s="13" t="s">
        <v>593</v>
      </c>
      <c r="C153" s="3">
        <f>SUMIF('Raw Data 01-31-2019'!$A$6:$A$254,'Q1 TB-19'!A153,'Raw Data 01-31-2019'!C$6:C$254)</f>
        <v>188</v>
      </c>
      <c r="D153" s="4"/>
      <c r="E153" s="3">
        <f>SUMIF('Raw Data 01-31-2019'!$A$6:$A$254,'Q1 TB-19'!A153,'Raw Data 01-31-2019'!D$6:D$254)</f>
        <v>0</v>
      </c>
      <c r="F153" s="3"/>
      <c r="G153" s="3">
        <f t="shared" si="9"/>
        <v>188</v>
      </c>
      <c r="H153" s="53" t="s">
        <v>439</v>
      </c>
      <c r="J153" s="19"/>
    </row>
    <row r="154" spans="1:10" x14ac:dyDescent="0.75">
      <c r="A154" s="12">
        <v>6030</v>
      </c>
      <c r="B154" s="13" t="s">
        <v>594</v>
      </c>
      <c r="C154" s="3">
        <f>SUMIF('Raw Data 01-31-2019'!$A$6:$A$254,'Q1 TB-19'!A154,'Raw Data 01-31-2019'!C$6:C$254)</f>
        <v>872.11</v>
      </c>
      <c r="D154" s="4"/>
      <c r="E154" s="3">
        <f>SUMIF('Raw Data 01-31-2019'!$A$6:$A$254,'Q1 TB-19'!A154,'Raw Data 01-31-2019'!D$6:D$254)</f>
        <v>0</v>
      </c>
      <c r="F154" s="3"/>
      <c r="G154" s="3">
        <f t="shared" si="9"/>
        <v>872.11</v>
      </c>
      <c r="H154" s="53" t="s">
        <v>439</v>
      </c>
      <c r="J154" s="19"/>
    </row>
    <row r="155" spans="1:10" x14ac:dyDescent="0.75">
      <c r="A155" s="12">
        <v>6035</v>
      </c>
      <c r="B155" s="13" t="s">
        <v>595</v>
      </c>
      <c r="C155" s="3">
        <f>SUMIF('Raw Data 01-31-2019'!$A$6:$A$254,'Q1 TB-19'!A155,'Raw Data 01-31-2019'!C$6:C$254)</f>
        <v>0</v>
      </c>
      <c r="D155" s="4"/>
      <c r="E155" s="3">
        <f>SUMIF('Raw Data 01-31-2019'!$A$6:$A$254,'Q1 TB-19'!A155,'Raw Data 01-31-2019'!D$6:D$254)</f>
        <v>0</v>
      </c>
      <c r="F155" s="3"/>
      <c r="G155" s="3">
        <f t="shared" si="9"/>
        <v>0</v>
      </c>
      <c r="H155" s="53" t="s">
        <v>439</v>
      </c>
      <c r="J155" s="19"/>
    </row>
    <row r="156" spans="1:10" x14ac:dyDescent="0.75">
      <c r="A156" s="12">
        <v>6040</v>
      </c>
      <c r="B156" s="13" t="s">
        <v>596</v>
      </c>
      <c r="C156" s="3">
        <f>SUMIF('Raw Data 01-31-2019'!$A$6:$A$254,'Q1 TB-19'!A156,'Raw Data 01-31-2019'!C$6:C$254)</f>
        <v>0</v>
      </c>
      <c r="D156" s="4"/>
      <c r="E156" s="3">
        <f>SUMIF('Raw Data 01-31-2019'!$A$6:$A$254,'Q1 TB-19'!A156,'Raw Data 01-31-2019'!D$6:D$254)</f>
        <v>0</v>
      </c>
      <c r="F156" s="3"/>
      <c r="G156" s="3">
        <f t="shared" si="9"/>
        <v>0</v>
      </c>
      <c r="H156" s="53" t="s">
        <v>439</v>
      </c>
      <c r="J156" s="19"/>
    </row>
    <row r="157" spans="1:10" x14ac:dyDescent="0.75">
      <c r="A157" s="12">
        <v>6055</v>
      </c>
      <c r="B157" s="13" t="s">
        <v>599</v>
      </c>
      <c r="C157" s="3">
        <f>SUMIF('Raw Data 01-31-2019'!$A$6:$A$254,'Q1 TB-19'!A157,'Raw Data 01-31-2019'!C$6:C$254)</f>
        <v>0</v>
      </c>
      <c r="D157" s="4"/>
      <c r="E157" s="3">
        <f>SUMIF('Raw Data 01-31-2019'!$A$6:$A$254,'Q1 TB-19'!A157,'Raw Data 01-31-2019'!D$6:D$254)</f>
        <v>0</v>
      </c>
      <c r="F157" s="3"/>
      <c r="G157" s="3">
        <f t="shared" si="9"/>
        <v>0</v>
      </c>
      <c r="H157" s="53" t="s">
        <v>439</v>
      </c>
      <c r="J157" s="19"/>
    </row>
    <row r="158" spans="1:10" x14ac:dyDescent="0.75">
      <c r="A158" s="12">
        <v>6060</v>
      </c>
      <c r="B158" s="13" t="s">
        <v>600</v>
      </c>
      <c r="C158" s="3">
        <f>SUMIF('Raw Data 01-31-2019'!$A$6:$A$254,'Q1 TB-19'!A158,'Raw Data 01-31-2019'!C$6:C$254)</f>
        <v>0</v>
      </c>
      <c r="D158" s="4"/>
      <c r="E158" s="3">
        <f>SUMIF('Raw Data 01-31-2019'!$A$6:$A$254,'Q1 TB-19'!A158,'Raw Data 01-31-2019'!D$6:D$254)</f>
        <v>0</v>
      </c>
      <c r="F158" s="3"/>
      <c r="G158" s="3">
        <f t="shared" si="9"/>
        <v>0</v>
      </c>
      <c r="H158" s="53" t="s">
        <v>439</v>
      </c>
      <c r="J158" s="19"/>
    </row>
    <row r="159" spans="1:10" x14ac:dyDescent="0.75">
      <c r="A159" s="12">
        <v>6065</v>
      </c>
      <c r="B159" s="13" t="s">
        <v>601</v>
      </c>
      <c r="C159" s="3">
        <f>SUMIF('Raw Data 01-31-2019'!$A$6:$A$254,'Q1 TB-19'!A159,'Raw Data 01-31-2019'!C$6:C$254)</f>
        <v>0</v>
      </c>
      <c r="D159" s="4"/>
      <c r="E159" s="3">
        <f>SUMIF('Raw Data 01-31-2019'!$A$6:$A$254,'Q1 TB-19'!A159,'Raw Data 01-31-2019'!D$6:D$254)</f>
        <v>0</v>
      </c>
      <c r="F159" s="3"/>
      <c r="G159" s="3">
        <f t="shared" si="9"/>
        <v>0</v>
      </c>
      <c r="H159" s="53" t="s">
        <v>439</v>
      </c>
      <c r="J159" s="19"/>
    </row>
    <row r="160" spans="1:10" x14ac:dyDescent="0.75">
      <c r="A160" s="12">
        <v>6070</v>
      </c>
      <c r="B160" s="13" t="s">
        <v>602</v>
      </c>
      <c r="C160" s="3">
        <f>SUMIF('Raw Data 01-31-2019'!$A$6:$A$254,'Q1 TB-19'!A160,'Raw Data 01-31-2019'!C$6:C$254)</f>
        <v>0</v>
      </c>
      <c r="D160" s="4"/>
      <c r="E160" s="3">
        <f>SUMIF('Raw Data 01-31-2019'!$A$6:$A$254,'Q1 TB-19'!A160,'Raw Data 01-31-2019'!D$6:D$254)</f>
        <v>0</v>
      </c>
      <c r="F160" s="3"/>
      <c r="G160" s="3">
        <f t="shared" si="9"/>
        <v>0</v>
      </c>
      <c r="H160" s="53" t="s">
        <v>439</v>
      </c>
      <c r="J160" s="19"/>
    </row>
    <row r="161" spans="1:10" x14ac:dyDescent="0.75">
      <c r="A161" s="12">
        <v>6075</v>
      </c>
      <c r="B161" s="13" t="s">
        <v>603</v>
      </c>
      <c r="C161" s="3">
        <f>SUMIF('Raw Data 01-31-2019'!$A$6:$A$254,'Q1 TB-19'!A161,'Raw Data 01-31-2019'!C$6:C$254)</f>
        <v>8168.58</v>
      </c>
      <c r="D161" s="4"/>
      <c r="E161" s="3">
        <f>SUMIF('Raw Data 01-31-2019'!$A$6:$A$254,'Q1 TB-19'!A161,'Raw Data 01-31-2019'!D$6:D$254)</f>
        <v>0</v>
      </c>
      <c r="F161" s="3"/>
      <c r="G161" s="3">
        <f t="shared" si="9"/>
        <v>8168.58</v>
      </c>
      <c r="H161" s="53" t="s">
        <v>439</v>
      </c>
      <c r="J161" s="19"/>
    </row>
    <row r="162" spans="1:10" x14ac:dyDescent="0.75">
      <c r="A162" s="12">
        <v>6080</v>
      </c>
      <c r="B162" s="13" t="s">
        <v>604</v>
      </c>
      <c r="C162" s="3">
        <f>SUMIF('Raw Data 01-31-2019'!$A$6:$A$254,'Q1 TB-19'!A162,'Raw Data 01-31-2019'!C$6:C$254)</f>
        <v>0</v>
      </c>
      <c r="D162" s="4"/>
      <c r="E162" s="3">
        <f>SUMIF('Raw Data 01-31-2019'!$A$6:$A$254,'Q1 TB-19'!A162,'Raw Data 01-31-2019'!D$6:D$254)</f>
        <v>0</v>
      </c>
      <c r="F162" s="3"/>
      <c r="G162" s="3">
        <f t="shared" si="9"/>
        <v>0</v>
      </c>
      <c r="H162" s="53" t="s">
        <v>439</v>
      </c>
      <c r="J162" s="19"/>
    </row>
    <row r="163" spans="1:10" x14ac:dyDescent="0.75">
      <c r="A163" s="12">
        <v>6085</v>
      </c>
      <c r="B163" s="13" t="s">
        <v>605</v>
      </c>
      <c r="C163" s="3">
        <f>SUMIF('Raw Data 01-31-2019'!$A$6:$A$254,'Q1 TB-19'!A163,'Raw Data 01-31-2019'!C$6:C$254)</f>
        <v>635.76</v>
      </c>
      <c r="D163" s="4"/>
      <c r="E163" s="3">
        <f>SUMIF('Raw Data 01-31-2019'!$A$6:$A$254,'Q1 TB-19'!A163,'Raw Data 01-31-2019'!D$6:D$254)</f>
        <v>0</v>
      </c>
      <c r="F163" s="3"/>
      <c r="G163" s="3">
        <f t="shared" si="9"/>
        <v>635.76</v>
      </c>
      <c r="H163" s="53" t="s">
        <v>439</v>
      </c>
      <c r="J163" s="19"/>
    </row>
    <row r="164" spans="1:10" x14ac:dyDescent="0.75">
      <c r="A164" s="12">
        <v>6090</v>
      </c>
      <c r="B164" s="13" t="s">
        <v>606</v>
      </c>
      <c r="C164" s="3">
        <f>SUMIF('Raw Data 01-31-2019'!$A$6:$A$254,'Q1 TB-19'!A164,'Raw Data 01-31-2019'!C$6:C$254)</f>
        <v>0</v>
      </c>
      <c r="D164" s="4"/>
      <c r="E164" s="3">
        <f>SUMIF('Raw Data 01-31-2019'!$A$6:$A$254,'Q1 TB-19'!A164,'Raw Data 01-31-2019'!D$6:D$254)</f>
        <v>0</v>
      </c>
      <c r="F164" s="3"/>
      <c r="G164" s="3">
        <f t="shared" si="9"/>
        <v>0</v>
      </c>
      <c r="H164" s="53" t="s">
        <v>439</v>
      </c>
      <c r="J164" s="19"/>
    </row>
    <row r="165" spans="1:10" x14ac:dyDescent="0.75">
      <c r="A165" s="12">
        <v>6095</v>
      </c>
      <c r="B165" s="13" t="s">
        <v>607</v>
      </c>
      <c r="C165" s="3">
        <f>SUMIF('Raw Data 01-31-2019'!$A$6:$A$254,'Q1 TB-19'!A165,'Raw Data 01-31-2019'!C$6:C$254)</f>
        <v>0</v>
      </c>
      <c r="D165" s="4"/>
      <c r="E165" s="3">
        <f>SUMIF('Raw Data 01-31-2019'!$A$6:$A$254,'Q1 TB-19'!A165,'Raw Data 01-31-2019'!D$6:D$254)</f>
        <v>0</v>
      </c>
      <c r="F165" s="3"/>
      <c r="G165" s="3">
        <f t="shared" si="9"/>
        <v>0</v>
      </c>
      <c r="H165" s="53" t="s">
        <v>439</v>
      </c>
      <c r="J165" s="19"/>
    </row>
    <row r="166" spans="1:10" x14ac:dyDescent="0.75">
      <c r="A166" s="12">
        <v>6100</v>
      </c>
      <c r="B166" s="13" t="s">
        <v>608</v>
      </c>
      <c r="C166" s="3">
        <f>SUMIF('Raw Data 01-31-2019'!$A$6:$A$254,'Q1 TB-19'!A166,'Raw Data 01-31-2019'!C$6:C$254)</f>
        <v>0</v>
      </c>
      <c r="D166" s="4"/>
      <c r="E166" s="3">
        <f>SUMIF('Raw Data 01-31-2019'!$A$6:$A$254,'Q1 TB-19'!A166,'Raw Data 01-31-2019'!D$6:D$254)</f>
        <v>0</v>
      </c>
      <c r="F166" s="3"/>
      <c r="G166" s="3">
        <f t="shared" si="9"/>
        <v>0</v>
      </c>
      <c r="H166" s="53" t="s">
        <v>439</v>
      </c>
      <c r="J166" s="19"/>
    </row>
    <row r="167" spans="1:10" x14ac:dyDescent="0.75">
      <c r="A167" s="12">
        <v>6105</v>
      </c>
      <c r="B167" s="13" t="s">
        <v>609</v>
      </c>
      <c r="C167" s="3">
        <f>SUMIF('Raw Data 01-31-2019'!$A$6:$A$254,'Q1 TB-19'!A167,'Raw Data 01-31-2019'!C$6:C$254)</f>
        <v>2785.48</v>
      </c>
      <c r="D167" s="4"/>
      <c r="E167" s="3">
        <f>SUMIF('Raw Data 01-31-2019'!$A$6:$A$254,'Q1 TB-19'!A167,'Raw Data 01-31-2019'!D$6:D$254)</f>
        <v>0</v>
      </c>
      <c r="F167" s="3"/>
      <c r="G167" s="3">
        <f t="shared" si="9"/>
        <v>2785.48</v>
      </c>
      <c r="H167" s="53" t="s">
        <v>439</v>
      </c>
      <c r="J167" s="19"/>
    </row>
    <row r="168" spans="1:10" x14ac:dyDescent="0.75">
      <c r="A168" s="12">
        <v>6110</v>
      </c>
      <c r="B168" s="13" t="s">
        <v>610</v>
      </c>
      <c r="C168" s="3">
        <f>SUMIF('Raw Data 01-31-2019'!$A$6:$A$254,'Q1 TB-19'!A168,'Raw Data 01-31-2019'!C$6:C$254)</f>
        <v>0</v>
      </c>
      <c r="D168" s="4"/>
      <c r="E168" s="3">
        <f>SUMIF('Raw Data 01-31-2019'!$A$6:$A$254,'Q1 TB-19'!A168,'Raw Data 01-31-2019'!D$6:D$254)</f>
        <v>0</v>
      </c>
      <c r="F168" s="3"/>
      <c r="G168" s="3">
        <f t="shared" si="9"/>
        <v>0</v>
      </c>
      <c r="H168" s="53" t="s">
        <v>439</v>
      </c>
      <c r="J168" s="19"/>
    </row>
    <row r="169" spans="1:10" x14ac:dyDescent="0.75">
      <c r="A169" s="12">
        <v>6115</v>
      </c>
      <c r="B169" s="13" t="s">
        <v>611</v>
      </c>
      <c r="C169" s="3">
        <f>SUMIF('Raw Data 01-31-2019'!$A$6:$A$254,'Q1 TB-19'!A169,'Raw Data 01-31-2019'!C$6:C$254)</f>
        <v>3111.42</v>
      </c>
      <c r="D169" s="4"/>
      <c r="E169" s="3">
        <f>SUMIF('Raw Data 01-31-2019'!$A$6:$A$254,'Q1 TB-19'!A169,'Raw Data 01-31-2019'!D$6:D$254)</f>
        <v>0</v>
      </c>
      <c r="F169" s="3"/>
      <c r="G169" s="3">
        <f t="shared" si="9"/>
        <v>3111.42</v>
      </c>
      <c r="H169" s="53" t="s">
        <v>439</v>
      </c>
      <c r="J169" s="19"/>
    </row>
    <row r="170" spans="1:10" x14ac:dyDescent="0.75">
      <c r="A170" s="12">
        <v>6120</v>
      </c>
      <c r="B170" s="13" t="s">
        <v>612</v>
      </c>
      <c r="C170" s="3">
        <f>SUMIF('Raw Data 01-31-2019'!$A$6:$A$254,'Q1 TB-19'!A170,'Raw Data 01-31-2019'!C$6:C$254)</f>
        <v>0</v>
      </c>
      <c r="D170" s="4"/>
      <c r="E170" s="3">
        <f>SUMIF('Raw Data 01-31-2019'!$A$6:$A$254,'Q1 TB-19'!A170,'Raw Data 01-31-2019'!D$6:D$254)</f>
        <v>2323.7399999999998</v>
      </c>
      <c r="F170" s="3"/>
      <c r="G170" s="3">
        <f t="shared" si="9"/>
        <v>-2323.7399999999998</v>
      </c>
      <c r="H170" s="53" t="s">
        <v>439</v>
      </c>
      <c r="J170" s="19"/>
    </row>
    <row r="171" spans="1:10" x14ac:dyDescent="0.75">
      <c r="A171" s="12">
        <v>6125</v>
      </c>
      <c r="B171" s="13" t="s">
        <v>613</v>
      </c>
      <c r="C171" s="3">
        <f>SUMIF('Raw Data 01-31-2019'!$A$6:$A$254,'Q1 TB-19'!A171,'Raw Data 01-31-2019'!C$6:C$254)</f>
        <v>0</v>
      </c>
      <c r="D171" s="4"/>
      <c r="E171" s="3">
        <f>SUMIF('Raw Data 01-31-2019'!$A$6:$A$254,'Q1 TB-19'!A171,'Raw Data 01-31-2019'!D$6:D$254)</f>
        <v>0</v>
      </c>
      <c r="F171" s="3"/>
      <c r="G171" s="3">
        <f t="shared" si="9"/>
        <v>0</v>
      </c>
      <c r="H171" s="53" t="s">
        <v>439</v>
      </c>
      <c r="J171" s="19"/>
    </row>
    <row r="172" spans="1:10" x14ac:dyDescent="0.75">
      <c r="A172" s="12">
        <v>6130</v>
      </c>
      <c r="B172" s="13" t="s">
        <v>614</v>
      </c>
      <c r="C172" s="3">
        <f>SUMIF('Raw Data 01-31-2019'!$A$6:$A$254,'Q1 TB-19'!A172,'Raw Data 01-31-2019'!C$6:C$254)</f>
        <v>0</v>
      </c>
      <c r="D172" s="4"/>
      <c r="E172" s="3">
        <f>SUMIF('Raw Data 01-31-2019'!$A$6:$A$254,'Q1 TB-19'!A172,'Raw Data 01-31-2019'!D$6:D$254)</f>
        <v>0</v>
      </c>
      <c r="F172" s="3"/>
      <c r="G172" s="3">
        <f t="shared" si="9"/>
        <v>0</v>
      </c>
      <c r="H172" s="53" t="s">
        <v>439</v>
      </c>
      <c r="J172" s="19"/>
    </row>
    <row r="173" spans="1:10" x14ac:dyDescent="0.75">
      <c r="A173" s="12">
        <v>6135</v>
      </c>
      <c r="B173" s="13" t="s">
        <v>615</v>
      </c>
      <c r="C173" s="3">
        <f>SUMIF('Raw Data 01-31-2019'!$A$6:$A$254,'Q1 TB-19'!A173,'Raw Data 01-31-2019'!C$6:C$254)</f>
        <v>0</v>
      </c>
      <c r="D173" s="4"/>
      <c r="E173" s="3">
        <f>SUMIF('Raw Data 01-31-2019'!$A$6:$A$254,'Q1 TB-19'!A173,'Raw Data 01-31-2019'!D$6:D$254)</f>
        <v>0</v>
      </c>
      <c r="F173" s="3"/>
      <c r="G173" s="3">
        <f t="shared" si="9"/>
        <v>0</v>
      </c>
      <c r="H173" s="53" t="s">
        <v>439</v>
      </c>
      <c r="J173" s="19"/>
    </row>
    <row r="174" spans="1:10" x14ac:dyDescent="0.75">
      <c r="A174" s="12">
        <v>6140</v>
      </c>
      <c r="B174" s="13" t="s">
        <v>616</v>
      </c>
      <c r="C174" s="3">
        <f>SUMIF('Raw Data 01-31-2019'!$A$6:$A$254,'Q1 TB-19'!A174,'Raw Data 01-31-2019'!C$6:C$254)</f>
        <v>0</v>
      </c>
      <c r="D174" s="4"/>
      <c r="E174" s="3">
        <f>SUMIF('Raw Data 01-31-2019'!$A$6:$A$254,'Q1 TB-19'!A174,'Raw Data 01-31-2019'!D$6:D$254)</f>
        <v>0</v>
      </c>
      <c r="F174" s="3"/>
      <c r="G174" s="3">
        <f t="shared" si="9"/>
        <v>0</v>
      </c>
      <c r="H174" s="53" t="s">
        <v>439</v>
      </c>
      <c r="J174" s="19"/>
    </row>
    <row r="175" spans="1:10" x14ac:dyDescent="0.75">
      <c r="A175" s="12">
        <v>6145</v>
      </c>
      <c r="B175" s="13" t="s">
        <v>617</v>
      </c>
      <c r="C175" s="3">
        <f>SUMIF('Raw Data 01-31-2019'!$A$6:$A$254,'Q1 TB-19'!A175,'Raw Data 01-31-2019'!C$6:C$254)</f>
        <v>0</v>
      </c>
      <c r="D175" s="4"/>
      <c r="E175" s="3">
        <f>SUMIF('Raw Data 01-31-2019'!$A$6:$A$254,'Q1 TB-19'!A175,'Raw Data 01-31-2019'!D$6:D$254)</f>
        <v>0</v>
      </c>
      <c r="F175" s="3"/>
      <c r="G175" s="3">
        <f t="shared" si="9"/>
        <v>0</v>
      </c>
      <c r="H175" s="53" t="s">
        <v>439</v>
      </c>
      <c r="J175" s="19"/>
    </row>
    <row r="176" spans="1:10" x14ac:dyDescent="0.75">
      <c r="A176" s="12">
        <v>6150</v>
      </c>
      <c r="B176" s="13" t="s">
        <v>618</v>
      </c>
      <c r="C176" s="3">
        <f>SUMIF('Raw Data 01-31-2019'!$A$6:$A$254,'Q1 TB-19'!A176,'Raw Data 01-31-2019'!C$6:C$254)</f>
        <v>1794</v>
      </c>
      <c r="D176" s="4"/>
      <c r="E176" s="3">
        <f>SUMIF('Raw Data 01-31-2019'!$A$6:$A$254,'Q1 TB-19'!A176,'Raw Data 01-31-2019'!D$6:D$254)</f>
        <v>0</v>
      </c>
      <c r="F176" s="3"/>
      <c r="G176" s="3">
        <f t="shared" si="9"/>
        <v>1794</v>
      </c>
      <c r="H176" s="53" t="s">
        <v>439</v>
      </c>
      <c r="J176" s="19"/>
    </row>
    <row r="177" spans="1:10" x14ac:dyDescent="0.75">
      <c r="A177" s="12">
        <v>6155</v>
      </c>
      <c r="B177" s="13" t="s">
        <v>619</v>
      </c>
      <c r="C177" s="3">
        <f>SUMIF('Raw Data 01-31-2019'!$A$6:$A$254,'Q1 TB-19'!A177,'Raw Data 01-31-2019'!C$6:C$254)</f>
        <v>0</v>
      </c>
      <c r="D177" s="4"/>
      <c r="E177" s="3">
        <f>SUMIF('Raw Data 01-31-2019'!$A$6:$A$254,'Q1 TB-19'!A177,'Raw Data 01-31-2019'!D$6:D$254)</f>
        <v>226</v>
      </c>
      <c r="F177" s="3"/>
      <c r="G177" s="3">
        <f t="shared" si="9"/>
        <v>-226</v>
      </c>
      <c r="H177" s="53" t="s">
        <v>439</v>
      </c>
      <c r="J177" s="19"/>
    </row>
    <row r="178" spans="1:10" x14ac:dyDescent="0.75">
      <c r="A178" s="12">
        <v>6200</v>
      </c>
      <c r="B178" s="13" t="s">
        <v>625</v>
      </c>
      <c r="C178" s="3">
        <f>SUMIF('Raw Data 01-31-2019'!$A$6:$A$254,'Q1 TB-19'!A178,'Raw Data 01-31-2019'!C$6:C$254)</f>
        <v>0</v>
      </c>
      <c r="D178" s="4"/>
      <c r="E178" s="3">
        <f>SUMIF('Raw Data 01-31-2019'!$A$6:$A$254,'Q1 TB-19'!A178,'Raw Data 01-31-2019'!D$6:D$254)</f>
        <v>0</v>
      </c>
      <c r="F178" s="3"/>
      <c r="G178" s="3">
        <f t="shared" si="9"/>
        <v>0</v>
      </c>
      <c r="H178" s="53" t="s">
        <v>439</v>
      </c>
      <c r="J178" s="19"/>
    </row>
    <row r="179" spans="1:10" x14ac:dyDescent="0.75">
      <c r="A179" s="12">
        <v>6205</v>
      </c>
      <c r="B179" s="13" t="s">
        <v>626</v>
      </c>
      <c r="C179" s="3">
        <f>SUMIF('Raw Data 01-31-2019'!$A$6:$A$254,'Q1 TB-19'!A179,'Raw Data 01-31-2019'!C$6:C$254)</f>
        <v>0</v>
      </c>
      <c r="D179" s="4"/>
      <c r="E179" s="3">
        <f>SUMIF('Raw Data 01-31-2019'!$A$6:$A$254,'Q1 TB-19'!A179,'Raw Data 01-31-2019'!D$6:D$254)</f>
        <v>0</v>
      </c>
      <c r="F179" s="3"/>
      <c r="G179" s="3">
        <f t="shared" si="9"/>
        <v>0</v>
      </c>
      <c r="H179" s="53" t="s">
        <v>439</v>
      </c>
      <c r="J179" s="19"/>
    </row>
    <row r="180" spans="1:10" x14ac:dyDescent="0.75">
      <c r="A180" s="12">
        <v>6210</v>
      </c>
      <c r="B180" s="13" t="s">
        <v>627</v>
      </c>
      <c r="C180" s="3">
        <f>SUMIF('Raw Data 01-31-2019'!$A$6:$A$254,'Q1 TB-19'!A180,'Raw Data 01-31-2019'!C$6:C$254)</f>
        <v>10</v>
      </c>
      <c r="D180" s="4"/>
      <c r="E180" s="3">
        <f>SUMIF('Raw Data 01-31-2019'!$A$6:$A$254,'Q1 TB-19'!A180,'Raw Data 01-31-2019'!D$6:D$254)</f>
        <v>0</v>
      </c>
      <c r="F180" s="3"/>
      <c r="G180" s="3">
        <f t="shared" si="9"/>
        <v>10</v>
      </c>
      <c r="H180" s="53" t="s">
        <v>439</v>
      </c>
      <c r="J180" s="19"/>
    </row>
    <row r="181" spans="1:10" x14ac:dyDescent="0.75">
      <c r="A181" s="12">
        <v>6215</v>
      </c>
      <c r="B181" s="13" t="s">
        <v>628</v>
      </c>
      <c r="C181" s="3">
        <f>SUMIF('Raw Data 01-31-2019'!$A$6:$A$254,'Q1 TB-19'!A181,'Raw Data 01-31-2019'!C$6:C$254)</f>
        <v>1735.41</v>
      </c>
      <c r="D181" s="4"/>
      <c r="E181" s="3">
        <f>SUMIF('Raw Data 01-31-2019'!$A$6:$A$254,'Q1 TB-19'!A181,'Raw Data 01-31-2019'!D$6:D$254)</f>
        <v>0</v>
      </c>
      <c r="F181" s="3"/>
      <c r="G181" s="3">
        <f t="shared" si="9"/>
        <v>1735.41</v>
      </c>
      <c r="H181" s="53" t="s">
        <v>439</v>
      </c>
      <c r="J181" s="19"/>
    </row>
    <row r="182" spans="1:10" x14ac:dyDescent="0.75">
      <c r="A182" s="12">
        <v>6220</v>
      </c>
      <c r="B182" s="13" t="s">
        <v>629</v>
      </c>
      <c r="C182" s="3">
        <f>SUMIF('Raw Data 01-31-2019'!$A$6:$A$254,'Q1 TB-19'!A182,'Raw Data 01-31-2019'!C$6:C$254)</f>
        <v>1303.6300000000001</v>
      </c>
      <c r="D182" s="4"/>
      <c r="E182" s="3">
        <f>SUMIF('Raw Data 01-31-2019'!$A$6:$A$254,'Q1 TB-19'!A182,'Raw Data 01-31-2019'!D$6:D$254)</f>
        <v>0</v>
      </c>
      <c r="F182" s="3"/>
      <c r="G182" s="3">
        <f t="shared" si="9"/>
        <v>1303.6300000000001</v>
      </c>
      <c r="H182" s="53" t="s">
        <v>439</v>
      </c>
      <c r="J182" s="19"/>
    </row>
    <row r="183" spans="1:10" x14ac:dyDescent="0.75">
      <c r="A183" s="12">
        <v>6225</v>
      </c>
      <c r="B183" s="13" t="s">
        <v>630</v>
      </c>
      <c r="C183" s="3">
        <f>SUMIF('Raw Data 01-31-2019'!$A$6:$A$254,'Q1 TB-19'!A183,'Raw Data 01-31-2019'!C$6:C$254)</f>
        <v>0</v>
      </c>
      <c r="D183" s="4"/>
      <c r="E183" s="3">
        <f>SUMIF('Raw Data 01-31-2019'!$A$6:$A$254,'Q1 TB-19'!A183,'Raw Data 01-31-2019'!D$6:D$254)</f>
        <v>0</v>
      </c>
      <c r="F183" s="3"/>
      <c r="G183" s="3">
        <f t="shared" si="9"/>
        <v>0</v>
      </c>
      <c r="H183" s="53" t="s">
        <v>439</v>
      </c>
      <c r="J183" s="19"/>
    </row>
    <row r="184" spans="1:10" x14ac:dyDescent="0.75">
      <c r="A184" s="12">
        <v>6230</v>
      </c>
      <c r="B184" s="13" t="s">
        <v>631</v>
      </c>
      <c r="C184" s="3">
        <f>SUMIF('Raw Data 01-31-2019'!$A$6:$A$254,'Q1 TB-19'!A184,'Raw Data 01-31-2019'!C$6:C$254)</f>
        <v>0</v>
      </c>
      <c r="D184" s="4"/>
      <c r="E184" s="3">
        <f>SUMIF('Raw Data 01-31-2019'!$A$6:$A$254,'Q1 TB-19'!A184,'Raw Data 01-31-2019'!D$6:D$254)</f>
        <v>0</v>
      </c>
      <c r="F184" s="3"/>
      <c r="G184" s="3">
        <f t="shared" si="9"/>
        <v>0</v>
      </c>
      <c r="H184" s="53" t="s">
        <v>439</v>
      </c>
      <c r="J184" s="19"/>
    </row>
    <row r="185" spans="1:10" x14ac:dyDescent="0.75">
      <c r="A185" s="12">
        <v>6235</v>
      </c>
      <c r="B185" s="13" t="s">
        <v>632</v>
      </c>
      <c r="C185" s="3">
        <f>SUMIF('Raw Data 01-31-2019'!$A$6:$A$254,'Q1 TB-19'!A185,'Raw Data 01-31-2019'!C$6:C$254)</f>
        <v>0</v>
      </c>
      <c r="D185" s="4"/>
      <c r="E185" s="3">
        <f>SUMIF('Raw Data 01-31-2019'!$A$6:$A$254,'Q1 TB-19'!A185,'Raw Data 01-31-2019'!D$6:D$254)</f>
        <v>0</v>
      </c>
      <c r="F185" s="3"/>
      <c r="G185" s="3">
        <f t="shared" si="9"/>
        <v>0</v>
      </c>
      <c r="H185" s="53" t="s">
        <v>439</v>
      </c>
      <c r="J185" s="19"/>
    </row>
    <row r="186" spans="1:10" x14ac:dyDescent="0.75">
      <c r="A186" s="12">
        <v>6240</v>
      </c>
      <c r="B186" s="13" t="s">
        <v>633</v>
      </c>
      <c r="C186" s="3">
        <f>SUMIF('Raw Data 01-31-2019'!$A$6:$A$254,'Q1 TB-19'!A186,'Raw Data 01-31-2019'!C$6:C$254)</f>
        <v>0</v>
      </c>
      <c r="D186" s="4"/>
      <c r="E186" s="3">
        <f>SUMIF('Raw Data 01-31-2019'!$A$6:$A$254,'Q1 TB-19'!A186,'Raw Data 01-31-2019'!D$6:D$254)</f>
        <v>0</v>
      </c>
      <c r="F186" s="3"/>
      <c r="G186" s="3">
        <f t="shared" si="9"/>
        <v>0</v>
      </c>
      <c r="H186" s="53" t="s">
        <v>439</v>
      </c>
      <c r="J186" s="19"/>
    </row>
    <row r="187" spans="1:10" x14ac:dyDescent="0.75">
      <c r="A187" s="12">
        <v>6245</v>
      </c>
      <c r="B187" s="13" t="s">
        <v>634</v>
      </c>
      <c r="C187" s="3">
        <f>SUMIF('Raw Data 01-31-2019'!$A$6:$A$254,'Q1 TB-19'!A187,'Raw Data 01-31-2019'!C$6:C$254)</f>
        <v>577.9</v>
      </c>
      <c r="D187" s="4"/>
      <c r="E187" s="3">
        <f>SUMIF('Raw Data 01-31-2019'!$A$6:$A$254,'Q1 TB-19'!A187,'Raw Data 01-31-2019'!D$6:D$254)</f>
        <v>0</v>
      </c>
      <c r="F187" s="3"/>
      <c r="G187" s="3">
        <f t="shared" si="9"/>
        <v>577.9</v>
      </c>
      <c r="H187" s="53" t="s">
        <v>439</v>
      </c>
      <c r="J187" s="19"/>
    </row>
    <row r="188" spans="1:10" x14ac:dyDescent="0.75">
      <c r="A188" s="12">
        <v>6250</v>
      </c>
      <c r="B188" s="13" t="s">
        <v>635</v>
      </c>
      <c r="C188" s="3">
        <f>SUMIF('Raw Data 01-31-2019'!$A$6:$A$254,'Q1 TB-19'!A188,'Raw Data 01-31-2019'!C$6:C$254)</f>
        <v>0</v>
      </c>
      <c r="D188" s="4"/>
      <c r="E188" s="3">
        <f>SUMIF('Raw Data 01-31-2019'!$A$6:$A$254,'Q1 TB-19'!A188,'Raw Data 01-31-2019'!D$6:D$254)</f>
        <v>0</v>
      </c>
      <c r="F188" s="3"/>
      <c r="G188" s="3">
        <f t="shared" si="9"/>
        <v>0</v>
      </c>
      <c r="H188" s="53" t="s">
        <v>439</v>
      </c>
      <c r="J188" s="19"/>
    </row>
    <row r="189" spans="1:10" x14ac:dyDescent="0.75">
      <c r="A189" s="14">
        <v>6255</v>
      </c>
      <c r="B189" s="13" t="s">
        <v>636</v>
      </c>
      <c r="C189" s="3">
        <f>SUMIF('Raw Data 01-31-2019'!$A$6:$A$254,'Q1 TB-19'!A189,'Raw Data 01-31-2019'!C$6:C$254)</f>
        <v>58.68</v>
      </c>
      <c r="D189" s="4"/>
      <c r="E189" s="3">
        <f>SUMIF('Raw Data 01-31-2019'!$A$6:$A$254,'Q1 TB-19'!A189,'Raw Data 01-31-2019'!D$6:D$254)</f>
        <v>0</v>
      </c>
      <c r="F189" s="3"/>
      <c r="G189" s="3">
        <f t="shared" si="9"/>
        <v>58.68</v>
      </c>
      <c r="H189" s="53" t="s">
        <v>439</v>
      </c>
      <c r="J189" s="19"/>
    </row>
    <row r="190" spans="1:10" x14ac:dyDescent="0.75">
      <c r="A190" s="14">
        <v>6260</v>
      </c>
      <c r="B190" s="13" t="s">
        <v>637</v>
      </c>
      <c r="C190" s="3">
        <f>SUMIF('Raw Data 01-31-2019'!$A$6:$A$254,'Q1 TB-19'!A190,'Raw Data 01-31-2019'!C$6:C$254)</f>
        <v>0</v>
      </c>
      <c r="D190" s="4"/>
      <c r="E190" s="3">
        <f>SUMIF('Raw Data 01-31-2019'!$A$6:$A$254,'Q1 TB-19'!A190,'Raw Data 01-31-2019'!D$6:D$254)</f>
        <v>0</v>
      </c>
      <c r="F190" s="3"/>
      <c r="G190" s="3">
        <f t="shared" si="9"/>
        <v>0</v>
      </c>
      <c r="H190" s="53" t="s">
        <v>439</v>
      </c>
      <c r="J190" s="19"/>
    </row>
    <row r="191" spans="1:10" x14ac:dyDescent="0.75">
      <c r="A191" s="14">
        <v>6265</v>
      </c>
      <c r="B191" s="13" t="s">
        <v>638</v>
      </c>
      <c r="C191" s="3">
        <f>SUMIF('Raw Data 01-31-2019'!$A$6:$A$254,'Q1 TB-19'!A191,'Raw Data 01-31-2019'!C$6:C$254)</f>
        <v>0</v>
      </c>
      <c r="D191" s="4"/>
      <c r="E191" s="3">
        <f>SUMIF('Raw Data 01-31-2019'!$A$6:$A$254,'Q1 TB-19'!A191,'Raw Data 01-31-2019'!D$6:D$254)</f>
        <v>0</v>
      </c>
      <c r="F191" s="3"/>
      <c r="G191" s="3">
        <f t="shared" si="9"/>
        <v>0</v>
      </c>
      <c r="H191" s="53" t="s">
        <v>439</v>
      </c>
      <c r="J191" s="19"/>
    </row>
    <row r="192" spans="1:10" x14ac:dyDescent="0.75">
      <c r="A192" s="14">
        <v>6270</v>
      </c>
      <c r="B192" s="13" t="s">
        <v>639</v>
      </c>
      <c r="C192" s="3">
        <f>SUMIF('Raw Data 01-31-2019'!$A$6:$A$254,'Q1 TB-19'!A192,'Raw Data 01-31-2019'!C$6:C$254)</f>
        <v>905</v>
      </c>
      <c r="D192" s="4"/>
      <c r="E192" s="3">
        <f>SUMIF('Raw Data 01-31-2019'!$A$6:$A$254,'Q1 TB-19'!A192,'Raw Data 01-31-2019'!D$6:D$254)</f>
        <v>0</v>
      </c>
      <c r="F192" s="3"/>
      <c r="G192" s="3">
        <f t="shared" si="9"/>
        <v>905</v>
      </c>
      <c r="H192" s="53" t="s">
        <v>439</v>
      </c>
      <c r="J192" s="19"/>
    </row>
    <row r="193" spans="1:10" s="6" customFormat="1" x14ac:dyDescent="0.75">
      <c r="A193" s="12">
        <v>6275</v>
      </c>
      <c r="B193" s="13" t="s">
        <v>640</v>
      </c>
      <c r="C193" s="3">
        <f>SUMIF('Raw Data 01-31-2019'!$A$6:$A$254,'Q1 TB-19'!A193,'Raw Data 01-31-2019'!C$6:C$254)</f>
        <v>37925</v>
      </c>
      <c r="D193" s="4"/>
      <c r="E193" s="3">
        <f>SUMIF('Raw Data 01-31-2019'!$A$6:$A$254,'Q1 TB-19'!A193,'Raw Data 01-31-2019'!D$6:D$254)</f>
        <v>0</v>
      </c>
      <c r="F193" s="3"/>
      <c r="G193" s="3">
        <f t="shared" si="9"/>
        <v>37925</v>
      </c>
      <c r="H193" s="53" t="s">
        <v>439</v>
      </c>
      <c r="I193"/>
      <c r="J193" s="19"/>
    </row>
    <row r="194" spans="1:10" x14ac:dyDescent="0.75">
      <c r="A194" s="14">
        <v>6280</v>
      </c>
      <c r="B194" s="13" t="s">
        <v>641</v>
      </c>
      <c r="C194" s="3">
        <f>SUMIF('Raw Data 01-31-2019'!$A$6:$A$254,'Q1 TB-19'!A194,'Raw Data 01-31-2019'!C$6:C$254)</f>
        <v>1195</v>
      </c>
      <c r="D194" s="4"/>
      <c r="E194" s="3">
        <f>SUMIF('Raw Data 01-31-2019'!$A$6:$A$254,'Q1 TB-19'!A194,'Raw Data 01-31-2019'!D$6:D$254)</f>
        <v>0</v>
      </c>
      <c r="F194" s="3"/>
      <c r="G194" s="3">
        <f t="shared" si="9"/>
        <v>1195</v>
      </c>
      <c r="H194" s="53" t="s">
        <v>439</v>
      </c>
      <c r="J194" s="19"/>
    </row>
    <row r="195" spans="1:10" x14ac:dyDescent="0.75">
      <c r="A195" s="12">
        <v>6285</v>
      </c>
      <c r="B195" s="13" t="s">
        <v>642</v>
      </c>
      <c r="C195" s="3">
        <f>SUMIF('Raw Data 01-31-2019'!$A$6:$A$254,'Q1 TB-19'!A195,'Raw Data 01-31-2019'!C$6:C$254)</f>
        <v>0</v>
      </c>
      <c r="D195" s="4"/>
      <c r="E195" s="3">
        <f>SUMIF('Raw Data 01-31-2019'!$A$6:$A$254,'Q1 TB-19'!A195,'Raw Data 01-31-2019'!D$6:D$254)</f>
        <v>0</v>
      </c>
      <c r="F195" s="3"/>
      <c r="G195" s="3">
        <f t="shared" si="9"/>
        <v>0</v>
      </c>
      <c r="H195" s="53" t="s">
        <v>439</v>
      </c>
      <c r="J195" s="19"/>
    </row>
    <row r="196" spans="1:10" x14ac:dyDescent="0.75">
      <c r="A196" s="14">
        <v>6290</v>
      </c>
      <c r="B196" s="13" t="s">
        <v>643</v>
      </c>
      <c r="C196" s="3">
        <f>SUMIF('Raw Data 01-31-2019'!$A$6:$A$254,'Q1 TB-19'!A196,'Raw Data 01-31-2019'!C$6:C$254)</f>
        <v>0</v>
      </c>
      <c r="D196" s="4"/>
      <c r="E196" s="3">
        <f>SUMIF('Raw Data 01-31-2019'!$A$6:$A$254,'Q1 TB-19'!A196,'Raw Data 01-31-2019'!D$6:D$254)</f>
        <v>0</v>
      </c>
      <c r="F196" s="3"/>
      <c r="G196" s="3">
        <f t="shared" si="9"/>
        <v>0</v>
      </c>
      <c r="H196" s="53" t="s">
        <v>439</v>
      </c>
      <c r="J196" s="19"/>
    </row>
    <row r="197" spans="1:10" x14ac:dyDescent="0.75">
      <c r="A197" s="14">
        <v>6295</v>
      </c>
      <c r="B197" s="13" t="s">
        <v>644</v>
      </c>
      <c r="C197" s="3">
        <f>SUMIF('Raw Data 01-31-2019'!$A$6:$A$254,'Q1 TB-19'!A197,'Raw Data 01-31-2019'!C$6:C$254)</f>
        <v>0</v>
      </c>
      <c r="D197" s="4"/>
      <c r="E197" s="3">
        <f>SUMIF('Raw Data 01-31-2019'!$A$6:$A$254,'Q1 TB-19'!A197,'Raw Data 01-31-2019'!D$6:D$254)</f>
        <v>0</v>
      </c>
      <c r="F197" s="3"/>
      <c r="G197" s="3">
        <f t="shared" si="9"/>
        <v>0</v>
      </c>
      <c r="H197" s="53" t="s">
        <v>439</v>
      </c>
      <c r="I197" s="6"/>
      <c r="J197" s="19"/>
    </row>
    <row r="198" spans="1:10" x14ac:dyDescent="0.75">
      <c r="A198" s="14">
        <v>6300</v>
      </c>
      <c r="B198" s="13" t="s">
        <v>645</v>
      </c>
      <c r="C198" s="3">
        <f>SUMIF('Raw Data 01-31-2019'!$A$6:$A$254,'Q1 TB-19'!A198,'Raw Data 01-31-2019'!C$6:C$254)</f>
        <v>2338.7199999999998</v>
      </c>
      <c r="D198" s="4"/>
      <c r="E198" s="3">
        <f>SUMIF('Raw Data 01-31-2019'!$A$6:$A$254,'Q1 TB-19'!A198,'Raw Data 01-31-2019'!D$6:D$254)</f>
        <v>0</v>
      </c>
      <c r="F198" s="3"/>
      <c r="G198" s="3">
        <f t="shared" si="9"/>
        <v>2338.7199999999998</v>
      </c>
      <c r="H198" s="53" t="s">
        <v>439</v>
      </c>
      <c r="J198" s="19"/>
    </row>
    <row r="199" spans="1:10" x14ac:dyDescent="0.75">
      <c r="A199" s="14">
        <v>6305</v>
      </c>
      <c r="B199" s="13" t="s">
        <v>646</v>
      </c>
      <c r="C199" s="3">
        <f>SUMIF('Raw Data 01-31-2019'!$A$6:$A$254,'Q1 TB-19'!A199,'Raw Data 01-31-2019'!C$6:C$254)</f>
        <v>0</v>
      </c>
      <c r="D199" s="4"/>
      <c r="E199" s="3">
        <f>SUMIF('Raw Data 01-31-2019'!$A$6:$A$254,'Q1 TB-19'!A199,'Raw Data 01-31-2019'!D$6:D$254)</f>
        <v>0</v>
      </c>
      <c r="F199" s="3"/>
      <c r="G199" s="3">
        <f t="shared" si="9"/>
        <v>0</v>
      </c>
      <c r="H199" s="53" t="s">
        <v>439</v>
      </c>
      <c r="J199" s="19"/>
    </row>
    <row r="200" spans="1:10" x14ac:dyDescent="0.75">
      <c r="A200" s="12">
        <v>6310</v>
      </c>
      <c r="B200" s="13" t="s">
        <v>647</v>
      </c>
      <c r="C200" s="3">
        <f>SUMIF('Raw Data 01-31-2019'!$A$6:$A$254,'Q1 TB-19'!A200,'Raw Data 01-31-2019'!C$6:C$254)</f>
        <v>0</v>
      </c>
      <c r="D200" s="4"/>
      <c r="E200" s="3">
        <f>SUMIF('Raw Data 01-31-2019'!$A$6:$A$254,'Q1 TB-19'!A200,'Raw Data 01-31-2019'!D$6:D$254)</f>
        <v>0</v>
      </c>
      <c r="F200" s="3"/>
      <c r="G200" s="3">
        <f t="shared" si="9"/>
        <v>0</v>
      </c>
      <c r="H200" s="53" t="s">
        <v>439</v>
      </c>
      <c r="J200" s="19"/>
    </row>
    <row r="201" spans="1:10" x14ac:dyDescent="0.75">
      <c r="A201" s="14">
        <v>6315</v>
      </c>
      <c r="B201" s="13" t="s">
        <v>648</v>
      </c>
      <c r="C201" s="3">
        <f>SUMIF('Raw Data 01-31-2019'!$A$6:$A$254,'Q1 TB-19'!A201,'Raw Data 01-31-2019'!C$6:C$254)</f>
        <v>10000</v>
      </c>
      <c r="D201" s="4"/>
      <c r="E201" s="3">
        <f>SUMIF('Raw Data 01-31-2019'!$A$6:$A$254,'Q1 TB-19'!A201,'Raw Data 01-31-2019'!D$6:D$254)</f>
        <v>0</v>
      </c>
      <c r="F201" s="3"/>
      <c r="G201" s="3">
        <f t="shared" si="9"/>
        <v>10000</v>
      </c>
      <c r="H201" s="53" t="s">
        <v>439</v>
      </c>
      <c r="J201" s="19"/>
    </row>
    <row r="202" spans="1:10" x14ac:dyDescent="0.75">
      <c r="A202" s="12">
        <v>6320</v>
      </c>
      <c r="B202" s="13" t="s">
        <v>649</v>
      </c>
      <c r="C202" s="3">
        <f>SUMIF('Raw Data 01-31-2019'!$A$6:$A$254,'Q1 TB-19'!A202,'Raw Data 01-31-2019'!C$6:C$254)</f>
        <v>0</v>
      </c>
      <c r="D202" s="4"/>
      <c r="E202" s="3">
        <f>SUMIF('Raw Data 01-31-2019'!$A$6:$A$254,'Q1 TB-19'!A202,'Raw Data 01-31-2019'!D$6:D$254)</f>
        <v>0</v>
      </c>
      <c r="F202" s="3"/>
      <c r="G202" s="3">
        <f t="shared" si="9"/>
        <v>0</v>
      </c>
      <c r="H202" s="53" t="s">
        <v>439</v>
      </c>
      <c r="J202" s="19"/>
    </row>
    <row r="203" spans="1:10" x14ac:dyDescent="0.75">
      <c r="A203" s="12">
        <v>6325</v>
      </c>
      <c r="B203" s="13" t="s">
        <v>650</v>
      </c>
      <c r="C203" s="3">
        <f>SUMIF('Raw Data 01-31-2019'!$A$6:$A$254,'Q1 TB-19'!A203,'Raw Data 01-31-2019'!C$6:C$254)</f>
        <v>0</v>
      </c>
      <c r="D203" s="4"/>
      <c r="E203" s="3">
        <f>SUMIF('Raw Data 01-31-2019'!$A$6:$A$254,'Q1 TB-19'!A203,'Raw Data 01-31-2019'!D$6:D$254)</f>
        <v>0</v>
      </c>
      <c r="F203" s="3"/>
      <c r="G203" s="3">
        <f t="shared" si="9"/>
        <v>0</v>
      </c>
      <c r="H203" s="53" t="s">
        <v>439</v>
      </c>
      <c r="J203" s="19"/>
    </row>
    <row r="204" spans="1:10" x14ac:dyDescent="0.75">
      <c r="A204" s="12">
        <v>6330</v>
      </c>
      <c r="B204" s="13" t="s">
        <v>651</v>
      </c>
      <c r="C204" s="3">
        <f>SUMIF('Raw Data 01-31-2019'!$A$6:$A$254,'Q1 TB-19'!A204,'Raw Data 01-31-2019'!C$6:C$254)</f>
        <v>0</v>
      </c>
      <c r="D204" s="4"/>
      <c r="E204" s="3">
        <f>SUMIF('Raw Data 01-31-2019'!$A$6:$A$254,'Q1 TB-19'!A204,'Raw Data 01-31-2019'!D$6:D$254)</f>
        <v>0</v>
      </c>
      <c r="F204" s="3"/>
      <c r="G204" s="3">
        <f t="shared" si="9"/>
        <v>0</v>
      </c>
      <c r="H204" s="53" t="s">
        <v>439</v>
      </c>
      <c r="J204" s="19"/>
    </row>
    <row r="205" spans="1:10" x14ac:dyDescent="0.75">
      <c r="A205" s="14">
        <v>6335</v>
      </c>
      <c r="B205" s="18" t="s">
        <v>652</v>
      </c>
      <c r="C205" s="3">
        <f>SUMIF('Raw Data 01-31-2019'!$A$6:$A$254,'Q1 TB-19'!A205,'Raw Data 01-31-2019'!C$6:C$254)</f>
        <v>0</v>
      </c>
      <c r="D205" s="4"/>
      <c r="E205" s="3">
        <f>SUMIF('Raw Data 01-31-2019'!$A$6:$A$254,'Q1 TB-19'!A205,'Raw Data 01-31-2019'!D$6:D$254)</f>
        <v>0</v>
      </c>
      <c r="F205" s="3"/>
      <c r="G205" s="3">
        <f t="shared" si="9"/>
        <v>0</v>
      </c>
      <c r="H205" s="53" t="s">
        <v>439</v>
      </c>
      <c r="J205" s="19"/>
    </row>
    <row r="206" spans="1:10" x14ac:dyDescent="0.75">
      <c r="A206" s="14">
        <v>6340</v>
      </c>
      <c r="B206" s="18" t="s">
        <v>653</v>
      </c>
      <c r="C206" s="3">
        <f>SUMIF('Raw Data 01-31-2019'!$A$6:$A$254,'Q1 TB-19'!A206,'Raw Data 01-31-2019'!C$6:C$254)</f>
        <v>0</v>
      </c>
      <c r="D206" s="4"/>
      <c r="E206" s="3">
        <f>SUMIF('Raw Data 01-31-2019'!$A$6:$A$254,'Q1 TB-19'!A206,'Raw Data 01-31-2019'!D$6:D$254)</f>
        <v>0</v>
      </c>
      <c r="F206" s="5"/>
      <c r="G206" s="3">
        <f>C206-E206</f>
        <v>0</v>
      </c>
      <c r="H206" s="53" t="s">
        <v>439</v>
      </c>
      <c r="J206" s="19"/>
    </row>
    <row r="207" spans="1:10" x14ac:dyDescent="0.75">
      <c r="A207" s="14">
        <v>6345</v>
      </c>
      <c r="B207" s="18" t="s">
        <v>654</v>
      </c>
      <c r="C207" s="3">
        <f>SUMIF('Raw Data 01-31-2019'!$A$6:$A$254,'Q1 TB-19'!A207,'Raw Data 01-31-2019'!C$6:C$254)</f>
        <v>1822.74</v>
      </c>
      <c r="D207" s="4"/>
      <c r="E207" s="3">
        <f>SUMIF('Raw Data 01-31-2019'!$A$6:$A$254,'Q1 TB-19'!A207,'Raw Data 01-31-2019'!D$6:D$254)</f>
        <v>0</v>
      </c>
      <c r="F207" s="5"/>
      <c r="G207" s="3">
        <f>C207-E207</f>
        <v>1822.74</v>
      </c>
      <c r="H207" s="53" t="s">
        <v>439</v>
      </c>
      <c r="J207" s="19"/>
    </row>
    <row r="208" spans="1:10" x14ac:dyDescent="0.75">
      <c r="A208" s="14">
        <v>6350</v>
      </c>
      <c r="B208" s="18" t="s">
        <v>655</v>
      </c>
      <c r="C208" s="3">
        <f>SUMIF('Raw Data 01-31-2019'!$A$6:$A$254,'Q1 TB-19'!A208,'Raw Data 01-31-2019'!C$6:C$254)</f>
        <v>0</v>
      </c>
      <c r="D208" s="4"/>
      <c r="E208" s="3">
        <f>SUMIF('Raw Data 01-31-2019'!$A$6:$A$254,'Q1 TB-19'!A208,'Raw Data 01-31-2019'!D$6:D$254)</f>
        <v>0</v>
      </c>
      <c r="F208" s="5"/>
      <c r="G208" s="3">
        <f>C208-E208</f>
        <v>0</v>
      </c>
      <c r="H208" s="53" t="s">
        <v>439</v>
      </c>
      <c r="J208" s="19"/>
    </row>
    <row r="209" spans="1:8" x14ac:dyDescent="0.75">
      <c r="A209" s="14">
        <v>6355</v>
      </c>
      <c r="B209" s="18" t="s">
        <v>656</v>
      </c>
      <c r="C209" s="3">
        <f>SUMIF('Raw Data 01-31-2019'!$A$6:$A$254,'Q1 TB-19'!A209,'Raw Data 01-31-2019'!C$6:C$254)</f>
        <v>0</v>
      </c>
      <c r="D209" s="4"/>
      <c r="E209" s="3">
        <f>SUMIF('Raw Data 01-31-2019'!$A$6:$A$254,'Q1 TB-19'!A209,'Raw Data 01-31-2019'!D$6:D$254)</f>
        <v>0</v>
      </c>
      <c r="F209" s="5"/>
      <c r="G209" s="3">
        <f t="shared" ref="G209:G254" si="10">C209-E209</f>
        <v>0</v>
      </c>
      <c r="H209" s="53" t="s">
        <v>439</v>
      </c>
    </row>
    <row r="210" spans="1:8" x14ac:dyDescent="0.75">
      <c r="A210" s="14">
        <v>6400</v>
      </c>
      <c r="B210" s="18" t="s">
        <v>657</v>
      </c>
      <c r="C210" s="3">
        <f>SUMIF('Raw Data 01-31-2019'!$A$6:$A$254,'Q1 TB-19'!A210,'Raw Data 01-31-2019'!C$6:C$254)</f>
        <v>27707.96</v>
      </c>
      <c r="D210" s="4"/>
      <c r="E210" s="3">
        <f>SUMIF('Raw Data 01-31-2019'!$A$6:$A$254,'Q1 TB-19'!A210,'Raw Data 01-31-2019'!D$6:D$254)</f>
        <v>0</v>
      </c>
      <c r="F210" s="5"/>
      <c r="G210" s="3">
        <f t="shared" si="10"/>
        <v>27707.96</v>
      </c>
      <c r="H210" s="53" t="s">
        <v>439</v>
      </c>
    </row>
    <row r="211" spans="1:8" x14ac:dyDescent="0.75">
      <c r="A211" s="14">
        <v>6405</v>
      </c>
      <c r="B211" s="18" t="s">
        <v>658</v>
      </c>
      <c r="C211" s="3">
        <f>SUMIF('Raw Data 01-31-2019'!$A$6:$A$254,'Q1 TB-19'!A211,'Raw Data 01-31-2019'!C$6:C$254)</f>
        <v>0</v>
      </c>
      <c r="D211" s="4"/>
      <c r="E211" s="3">
        <f>SUMIF('Raw Data 01-31-2019'!$A$6:$A$254,'Q1 TB-19'!A211,'Raw Data 01-31-2019'!D$6:D$254)</f>
        <v>0</v>
      </c>
      <c r="F211" s="5"/>
      <c r="G211" s="3">
        <f t="shared" si="10"/>
        <v>0</v>
      </c>
      <c r="H211" s="53" t="s">
        <v>439</v>
      </c>
    </row>
    <row r="212" spans="1:8" x14ac:dyDescent="0.75">
      <c r="A212" s="14">
        <v>6410</v>
      </c>
      <c r="B212" s="18" t="s">
        <v>659</v>
      </c>
      <c r="C212" s="3">
        <f>SUMIF('Raw Data 01-31-2019'!$A$6:$A$254,'Q1 TB-19'!A212,'Raw Data 01-31-2019'!C$6:C$254)</f>
        <v>0</v>
      </c>
      <c r="D212" s="4"/>
      <c r="E212" s="3">
        <f>SUMIF('Raw Data 01-31-2019'!$A$6:$A$254,'Q1 TB-19'!A212,'Raw Data 01-31-2019'!D$6:D$254)</f>
        <v>0</v>
      </c>
      <c r="F212" s="5"/>
      <c r="G212" s="3">
        <f t="shared" si="10"/>
        <v>0</v>
      </c>
      <c r="H212" s="53" t="s">
        <v>439</v>
      </c>
    </row>
    <row r="213" spans="1:8" x14ac:dyDescent="0.75">
      <c r="A213" s="14">
        <v>6415</v>
      </c>
      <c r="B213" s="18" t="s">
        <v>660</v>
      </c>
      <c r="C213" s="3">
        <f>SUMIF('Raw Data 01-31-2019'!$A$6:$A$254,'Q1 TB-19'!A213,'Raw Data 01-31-2019'!C$6:C$254)</f>
        <v>0</v>
      </c>
      <c r="D213" s="4"/>
      <c r="E213" s="3">
        <f>SUMIF('Raw Data 01-31-2019'!$A$6:$A$254,'Q1 TB-19'!A213,'Raw Data 01-31-2019'!D$6:D$254)</f>
        <v>0</v>
      </c>
      <c r="F213" s="5"/>
      <c r="G213" s="3">
        <f t="shared" si="10"/>
        <v>0</v>
      </c>
      <c r="H213" s="53" t="s">
        <v>439</v>
      </c>
    </row>
    <row r="214" spans="1:8" x14ac:dyDescent="0.75">
      <c r="A214" s="14">
        <v>6420</v>
      </c>
      <c r="B214" s="18" t="s">
        <v>661</v>
      </c>
      <c r="C214" s="3">
        <f>SUMIF('Raw Data 01-31-2019'!$A$6:$A$254,'Q1 TB-19'!A214,'Raw Data 01-31-2019'!C$6:C$254)</f>
        <v>0</v>
      </c>
      <c r="D214" s="4"/>
      <c r="E214" s="3">
        <f>SUMIF('Raw Data 01-31-2019'!$A$6:$A$254,'Q1 TB-19'!A214,'Raw Data 01-31-2019'!D$6:D$254)</f>
        <v>0</v>
      </c>
      <c r="F214" s="5"/>
      <c r="G214" s="3">
        <f t="shared" si="10"/>
        <v>0</v>
      </c>
      <c r="H214" s="53" t="s">
        <v>439</v>
      </c>
    </row>
    <row r="215" spans="1:8" x14ac:dyDescent="0.75">
      <c r="A215" s="14">
        <v>6425</v>
      </c>
      <c r="B215" s="18" t="s">
        <v>662</v>
      </c>
      <c r="C215" s="3">
        <f>SUMIF('Raw Data 01-31-2019'!$A$6:$A$254,'Q1 TB-19'!A215,'Raw Data 01-31-2019'!C$6:C$254)</f>
        <v>0</v>
      </c>
      <c r="D215" s="4"/>
      <c r="E215" s="3">
        <f>SUMIF('Raw Data 01-31-2019'!$A$6:$A$254,'Q1 TB-19'!A215,'Raw Data 01-31-2019'!D$6:D$254)</f>
        <v>0</v>
      </c>
      <c r="F215" s="5"/>
      <c r="G215" s="3">
        <f t="shared" si="10"/>
        <v>0</v>
      </c>
      <c r="H215" s="53" t="s">
        <v>439</v>
      </c>
    </row>
    <row r="216" spans="1:8" x14ac:dyDescent="0.75">
      <c r="A216" s="14">
        <v>6430</v>
      </c>
      <c r="B216" s="18" t="s">
        <v>663</v>
      </c>
      <c r="C216" s="3">
        <f>SUMIF('Raw Data 01-31-2019'!$A$6:$A$254,'Q1 TB-19'!A216,'Raw Data 01-31-2019'!C$6:C$254)</f>
        <v>31582.16</v>
      </c>
      <c r="D216" s="4"/>
      <c r="E216" s="3">
        <f>SUMIF('Raw Data 01-31-2019'!$A$6:$A$254,'Q1 TB-19'!A216,'Raw Data 01-31-2019'!D$6:D$254)</f>
        <v>0</v>
      </c>
      <c r="F216" s="5"/>
      <c r="G216" s="3">
        <f t="shared" si="10"/>
        <v>31582.16</v>
      </c>
      <c r="H216" s="53" t="s">
        <v>439</v>
      </c>
    </row>
    <row r="217" spans="1:8" x14ac:dyDescent="0.75">
      <c r="A217" s="14">
        <v>6435</v>
      </c>
      <c r="B217" s="18" t="s">
        <v>664</v>
      </c>
      <c r="C217" s="3">
        <f>SUMIF('Raw Data 01-31-2019'!$A$6:$A$254,'Q1 TB-19'!A217,'Raw Data 01-31-2019'!C$6:C$254)</f>
        <v>1825</v>
      </c>
      <c r="D217" s="4"/>
      <c r="E217" s="3">
        <f>SUMIF('Raw Data 01-31-2019'!$A$6:$A$254,'Q1 TB-19'!A217,'Raw Data 01-31-2019'!D$6:D$254)</f>
        <v>0</v>
      </c>
      <c r="F217" s="5"/>
      <c r="G217" s="3">
        <f t="shared" si="10"/>
        <v>1825</v>
      </c>
      <c r="H217" s="53" t="s">
        <v>439</v>
      </c>
    </row>
    <row r="218" spans="1:8" x14ac:dyDescent="0.75">
      <c r="A218" s="14">
        <v>6440</v>
      </c>
      <c r="B218" s="18" t="s">
        <v>665</v>
      </c>
      <c r="C218" s="3">
        <f>SUMIF('Raw Data 01-31-2019'!$A$6:$A$254,'Q1 TB-19'!A218,'Raw Data 01-31-2019'!C$6:C$254)</f>
        <v>17369.77</v>
      </c>
      <c r="D218" s="4"/>
      <c r="E218" s="3">
        <f>SUMIF('Raw Data 01-31-2019'!$A$6:$A$254,'Q1 TB-19'!A218,'Raw Data 01-31-2019'!D$6:D$254)</f>
        <v>0</v>
      </c>
      <c r="F218" s="5"/>
      <c r="G218" s="3">
        <f t="shared" si="10"/>
        <v>17369.77</v>
      </c>
      <c r="H218" s="53" t="s">
        <v>439</v>
      </c>
    </row>
    <row r="219" spans="1:8" x14ac:dyDescent="0.75">
      <c r="A219" s="14">
        <v>6445</v>
      </c>
      <c r="B219" s="18" t="s">
        <v>666</v>
      </c>
      <c r="C219" s="3">
        <f>SUMIF('Raw Data 01-31-2019'!$A$6:$A$254,'Q1 TB-19'!A219,'Raw Data 01-31-2019'!C$6:C$254)</f>
        <v>8685.24</v>
      </c>
      <c r="D219" s="4"/>
      <c r="E219" s="3">
        <f>SUMIF('Raw Data 01-31-2019'!$A$6:$A$254,'Q1 TB-19'!A219,'Raw Data 01-31-2019'!D$6:D$254)</f>
        <v>0</v>
      </c>
      <c r="F219" s="5"/>
      <c r="G219" s="3">
        <f t="shared" si="10"/>
        <v>8685.24</v>
      </c>
      <c r="H219" s="53" t="s">
        <v>439</v>
      </c>
    </row>
    <row r="220" spans="1:8" x14ac:dyDescent="0.75">
      <c r="A220" s="14">
        <v>6450</v>
      </c>
      <c r="B220" s="18" t="s">
        <v>667</v>
      </c>
      <c r="C220" s="3">
        <f>SUMIF('Raw Data 01-31-2019'!$A$6:$A$254,'Q1 TB-19'!A220,'Raw Data 01-31-2019'!C$6:C$254)</f>
        <v>0</v>
      </c>
      <c r="D220" s="4"/>
      <c r="E220" s="3">
        <f>SUMIF('Raw Data 01-31-2019'!$A$6:$A$254,'Q1 TB-19'!A220,'Raw Data 01-31-2019'!D$6:D$254)</f>
        <v>0</v>
      </c>
      <c r="F220" s="5"/>
      <c r="G220" s="3">
        <f t="shared" si="10"/>
        <v>0</v>
      </c>
      <c r="H220" s="53" t="s">
        <v>439</v>
      </c>
    </row>
    <row r="221" spans="1:8" x14ac:dyDescent="0.75">
      <c r="A221" s="14">
        <v>6455</v>
      </c>
      <c r="B221" s="18" t="s">
        <v>668</v>
      </c>
      <c r="C221" s="3">
        <f>SUMIF('Raw Data 01-31-2019'!$A$6:$A$254,'Q1 TB-19'!A221,'Raw Data 01-31-2019'!C$6:C$254)</f>
        <v>0</v>
      </c>
      <c r="D221" s="4"/>
      <c r="E221" s="3">
        <f>SUMIF('Raw Data 01-31-2019'!$A$6:$A$254,'Q1 TB-19'!A221,'Raw Data 01-31-2019'!D$6:D$254)</f>
        <v>0</v>
      </c>
      <c r="F221" s="5"/>
      <c r="G221" s="3">
        <f t="shared" si="10"/>
        <v>0</v>
      </c>
      <c r="H221" s="53" t="s">
        <v>439</v>
      </c>
    </row>
    <row r="222" spans="1:8" x14ac:dyDescent="0.75">
      <c r="A222" s="14">
        <v>6460</v>
      </c>
      <c r="B222" s="18" t="s">
        <v>669</v>
      </c>
      <c r="C222" s="3">
        <f>SUMIF('Raw Data 01-31-2019'!$A$6:$A$254,'Q1 TB-19'!A222,'Raw Data 01-31-2019'!C$6:C$254)</f>
        <v>0</v>
      </c>
      <c r="D222" s="4"/>
      <c r="E222" s="3">
        <f>SUMIF('Raw Data 01-31-2019'!$A$6:$A$254,'Q1 TB-19'!A222,'Raw Data 01-31-2019'!D$6:D$254)</f>
        <v>0</v>
      </c>
      <c r="F222" s="5"/>
      <c r="G222" s="3">
        <f t="shared" si="10"/>
        <v>0</v>
      </c>
      <c r="H222" s="53" t="s">
        <v>439</v>
      </c>
    </row>
    <row r="223" spans="1:8" x14ac:dyDescent="0.75">
      <c r="A223" s="14">
        <v>6500</v>
      </c>
      <c r="B223" s="18" t="s">
        <v>670</v>
      </c>
      <c r="C223" s="3">
        <f>SUMIF('Raw Data 01-31-2019'!$A$6:$A$254,'Q1 TB-19'!A223,'Raw Data 01-31-2019'!C$6:C$254)</f>
        <v>0</v>
      </c>
      <c r="D223" s="4"/>
      <c r="E223" s="3">
        <f>SUMIF('Raw Data 01-31-2019'!$A$6:$A$254,'Q1 TB-19'!A223,'Raw Data 01-31-2019'!D$6:D$254)</f>
        <v>0</v>
      </c>
      <c r="F223" s="5"/>
      <c r="G223" s="3">
        <f t="shared" si="10"/>
        <v>0</v>
      </c>
      <c r="H223" s="53" t="s">
        <v>439</v>
      </c>
    </row>
    <row r="224" spans="1:8" x14ac:dyDescent="0.75">
      <c r="A224" s="14">
        <v>6505</v>
      </c>
      <c r="B224" s="18" t="s">
        <v>671</v>
      </c>
      <c r="C224" s="3">
        <f>SUMIF('Raw Data 01-31-2019'!$A$6:$A$254,'Q1 TB-19'!A224,'Raw Data 01-31-2019'!C$6:C$254)</f>
        <v>0</v>
      </c>
      <c r="D224" s="4"/>
      <c r="E224" s="3">
        <f>SUMIF('Raw Data 01-31-2019'!$A$6:$A$254,'Q1 TB-19'!A224,'Raw Data 01-31-2019'!D$6:D$254)</f>
        <v>0</v>
      </c>
      <c r="F224" s="5"/>
      <c r="G224" s="3">
        <f t="shared" si="10"/>
        <v>0</v>
      </c>
      <c r="H224" s="53" t="s">
        <v>439</v>
      </c>
    </row>
    <row r="225" spans="1:8" x14ac:dyDescent="0.75">
      <c r="A225" s="14">
        <v>6510</v>
      </c>
      <c r="B225" s="18" t="s">
        <v>672</v>
      </c>
      <c r="C225" s="3">
        <f>SUMIF('Raw Data 01-31-2019'!$A$6:$A$254,'Q1 TB-19'!A225,'Raw Data 01-31-2019'!C$6:C$254)</f>
        <v>2673.22</v>
      </c>
      <c r="D225" s="4"/>
      <c r="E225" s="3">
        <f>SUMIF('Raw Data 01-31-2019'!$A$6:$A$254,'Q1 TB-19'!A225,'Raw Data 01-31-2019'!D$6:D$254)</f>
        <v>0</v>
      </c>
      <c r="F225" s="5"/>
      <c r="G225" s="3">
        <f t="shared" si="10"/>
        <v>2673.22</v>
      </c>
      <c r="H225" s="53" t="s">
        <v>439</v>
      </c>
    </row>
    <row r="226" spans="1:8" x14ac:dyDescent="0.75">
      <c r="A226" s="14">
        <v>6515</v>
      </c>
      <c r="B226" s="18" t="s">
        <v>673</v>
      </c>
      <c r="C226" s="3">
        <f>SUMIF('Raw Data 01-31-2019'!$A$6:$A$254,'Q1 TB-19'!A226,'Raw Data 01-31-2019'!C$6:C$254)</f>
        <v>0</v>
      </c>
      <c r="D226" s="4"/>
      <c r="E226" s="3">
        <f>SUMIF('Raw Data 01-31-2019'!$A$6:$A$254,'Q1 TB-19'!A226,'Raw Data 01-31-2019'!D$6:D$254)</f>
        <v>0</v>
      </c>
      <c r="F226" s="5"/>
      <c r="G226" s="3">
        <f t="shared" si="10"/>
        <v>0</v>
      </c>
      <c r="H226" s="53" t="s">
        <v>439</v>
      </c>
    </row>
    <row r="227" spans="1:8" x14ac:dyDescent="0.75">
      <c r="A227" s="14">
        <v>6520</v>
      </c>
      <c r="B227" s="18" t="s">
        <v>674</v>
      </c>
      <c r="C227" s="3">
        <f>SUMIF('Raw Data 01-31-2019'!$A$6:$A$254,'Q1 TB-19'!A227,'Raw Data 01-31-2019'!C$6:C$254)</f>
        <v>0</v>
      </c>
      <c r="D227" s="4"/>
      <c r="E227" s="3">
        <f>SUMIF('Raw Data 01-31-2019'!$A$6:$A$254,'Q1 TB-19'!A227,'Raw Data 01-31-2019'!D$6:D$254)</f>
        <v>0</v>
      </c>
      <c r="F227" s="5"/>
      <c r="G227" s="3">
        <f t="shared" si="10"/>
        <v>0</v>
      </c>
      <c r="H227" s="53" t="s">
        <v>439</v>
      </c>
    </row>
    <row r="228" spans="1:8" x14ac:dyDescent="0.75">
      <c r="A228" s="14">
        <v>6525</v>
      </c>
      <c r="B228" s="18" t="s">
        <v>675</v>
      </c>
      <c r="C228" s="3">
        <f>SUMIF('Raw Data 01-31-2019'!$A$6:$A$254,'Q1 TB-19'!A228,'Raw Data 01-31-2019'!C$6:C$254)</f>
        <v>0</v>
      </c>
      <c r="D228" s="4"/>
      <c r="E228" s="3">
        <f>SUMIF('Raw Data 01-31-2019'!$A$6:$A$254,'Q1 TB-19'!A228,'Raw Data 01-31-2019'!D$6:D$254)</f>
        <v>0</v>
      </c>
      <c r="F228" s="5"/>
      <c r="G228" s="3">
        <f t="shared" si="10"/>
        <v>0</v>
      </c>
      <c r="H228" s="53" t="s">
        <v>439</v>
      </c>
    </row>
    <row r="229" spans="1:8" x14ac:dyDescent="0.75">
      <c r="A229" s="14">
        <v>6530</v>
      </c>
      <c r="B229" s="18" t="s">
        <v>676</v>
      </c>
      <c r="C229" s="3">
        <f>SUMIF('Raw Data 01-31-2019'!$A$6:$A$254,'Q1 TB-19'!A229,'Raw Data 01-31-2019'!C$6:C$254)</f>
        <v>0</v>
      </c>
      <c r="D229" s="4"/>
      <c r="E229" s="3">
        <f>SUMIF('Raw Data 01-31-2019'!$A$6:$A$254,'Q1 TB-19'!A229,'Raw Data 01-31-2019'!D$6:D$254)</f>
        <v>0</v>
      </c>
      <c r="F229" s="5"/>
      <c r="G229" s="3">
        <f t="shared" si="10"/>
        <v>0</v>
      </c>
      <c r="H229" s="53" t="s">
        <v>439</v>
      </c>
    </row>
    <row r="230" spans="1:8" x14ac:dyDescent="0.75">
      <c r="A230" s="14">
        <v>6535</v>
      </c>
      <c r="B230" s="18" t="s">
        <v>677</v>
      </c>
      <c r="C230" s="3">
        <f>SUMIF('Raw Data 01-31-2019'!$A$6:$A$254,'Q1 TB-19'!A230,'Raw Data 01-31-2019'!C$6:C$254)</f>
        <v>0</v>
      </c>
      <c r="D230" s="4"/>
      <c r="E230" s="3">
        <f>SUMIF('Raw Data 01-31-2019'!$A$6:$A$254,'Q1 TB-19'!A230,'Raw Data 01-31-2019'!D$6:D$254)</f>
        <v>0</v>
      </c>
      <c r="F230" s="5"/>
      <c r="G230" s="3">
        <f t="shared" si="10"/>
        <v>0</v>
      </c>
      <c r="H230" s="53" t="s">
        <v>439</v>
      </c>
    </row>
    <row r="231" spans="1:8" x14ac:dyDescent="0.75">
      <c r="A231" s="14">
        <v>6540</v>
      </c>
      <c r="B231" s="18" t="s">
        <v>678</v>
      </c>
      <c r="C231" s="3">
        <f>SUMIF('Raw Data 01-31-2019'!$A$6:$A$254,'Q1 TB-19'!A231,'Raw Data 01-31-2019'!C$6:C$254)</f>
        <v>0</v>
      </c>
      <c r="D231" s="4"/>
      <c r="E231" s="3">
        <f>SUMIF('Raw Data 01-31-2019'!$A$6:$A$254,'Q1 TB-19'!A231,'Raw Data 01-31-2019'!D$6:D$254)</f>
        <v>0</v>
      </c>
      <c r="F231" s="5"/>
      <c r="G231" s="3">
        <f t="shared" si="10"/>
        <v>0</v>
      </c>
      <c r="H231" s="53" t="s">
        <v>439</v>
      </c>
    </row>
    <row r="232" spans="1:8" x14ac:dyDescent="0.75">
      <c r="A232" s="14">
        <v>6545</v>
      </c>
      <c r="B232" s="18" t="s">
        <v>679</v>
      </c>
      <c r="C232" s="3">
        <f>SUMIF('Raw Data 01-31-2019'!$A$6:$A$254,'Q1 TB-19'!A232,'Raw Data 01-31-2019'!C$6:C$254)</f>
        <v>0</v>
      </c>
      <c r="D232" s="4"/>
      <c r="E232" s="3">
        <f>SUMIF('Raw Data 01-31-2019'!$A$6:$A$254,'Q1 TB-19'!A232,'Raw Data 01-31-2019'!D$6:D$254)</f>
        <v>0</v>
      </c>
      <c r="F232" s="5"/>
      <c r="G232" s="3">
        <f t="shared" si="10"/>
        <v>0</v>
      </c>
      <c r="H232" s="53" t="s">
        <v>439</v>
      </c>
    </row>
    <row r="233" spans="1:8" x14ac:dyDescent="0.75">
      <c r="A233" s="14">
        <v>6550</v>
      </c>
      <c r="B233" s="18" t="s">
        <v>680</v>
      </c>
      <c r="C233" s="3">
        <f>SUMIF('Raw Data 01-31-2019'!$A$6:$A$254,'Q1 TB-19'!A233,'Raw Data 01-31-2019'!C$6:C$254)</f>
        <v>3232.17</v>
      </c>
      <c r="D233" s="4"/>
      <c r="E233" s="3">
        <f>SUMIF('Raw Data 01-31-2019'!$A$6:$A$254,'Q1 TB-19'!A233,'Raw Data 01-31-2019'!D$6:D$254)</f>
        <v>0</v>
      </c>
      <c r="F233" s="5"/>
      <c r="G233" s="3">
        <f t="shared" si="10"/>
        <v>3232.17</v>
      </c>
      <c r="H233" s="53" t="s">
        <v>439</v>
      </c>
    </row>
    <row r="234" spans="1:8" x14ac:dyDescent="0.75">
      <c r="A234" s="14">
        <v>6555</v>
      </c>
      <c r="B234" s="18" t="s">
        <v>681</v>
      </c>
      <c r="C234" s="3">
        <f>SUMIF('Raw Data 01-31-2019'!$A$6:$A$254,'Q1 TB-19'!A234,'Raw Data 01-31-2019'!C$6:C$254)</f>
        <v>0</v>
      </c>
      <c r="D234" s="4"/>
      <c r="E234" s="3">
        <f>SUMIF('Raw Data 01-31-2019'!$A$6:$A$254,'Q1 TB-19'!A234,'Raw Data 01-31-2019'!D$6:D$254)</f>
        <v>0</v>
      </c>
      <c r="F234" s="5"/>
      <c r="G234" s="3">
        <f t="shared" si="10"/>
        <v>0</v>
      </c>
      <c r="H234" s="53" t="s">
        <v>439</v>
      </c>
    </row>
    <row r="235" spans="1:8" x14ac:dyDescent="0.75">
      <c r="A235" s="14">
        <v>6560</v>
      </c>
      <c r="B235" s="18" t="s">
        <v>682</v>
      </c>
      <c r="C235" s="3">
        <f>SUMIF('Raw Data 01-31-2019'!$A$6:$A$254,'Q1 TB-19'!A235,'Raw Data 01-31-2019'!C$6:C$254)</f>
        <v>0</v>
      </c>
      <c r="D235" s="4"/>
      <c r="E235" s="3">
        <f>SUMIF('Raw Data 01-31-2019'!$A$6:$A$254,'Q1 TB-19'!A235,'Raw Data 01-31-2019'!D$6:D$254)</f>
        <v>0</v>
      </c>
      <c r="F235" s="5"/>
      <c r="G235" s="3">
        <f t="shared" si="10"/>
        <v>0</v>
      </c>
      <c r="H235" s="53" t="s">
        <v>439</v>
      </c>
    </row>
    <row r="236" spans="1:8" x14ac:dyDescent="0.75">
      <c r="A236" s="14">
        <v>6565</v>
      </c>
      <c r="B236" s="18" t="s">
        <v>683</v>
      </c>
      <c r="C236" s="3">
        <f>SUMIF('Raw Data 01-31-2019'!$A$6:$A$254,'Q1 TB-19'!A236,'Raw Data 01-31-2019'!C$6:C$254)</f>
        <v>0</v>
      </c>
      <c r="D236" s="4"/>
      <c r="E236" s="3">
        <f>SUMIF('Raw Data 01-31-2019'!$A$6:$A$254,'Q1 TB-19'!A236,'Raw Data 01-31-2019'!D$6:D$254)</f>
        <v>0</v>
      </c>
      <c r="F236" s="5"/>
      <c r="G236" s="3">
        <f t="shared" si="10"/>
        <v>0</v>
      </c>
      <c r="H236" s="53" t="s">
        <v>439</v>
      </c>
    </row>
    <row r="237" spans="1:8" x14ac:dyDescent="0.75">
      <c r="A237" s="14">
        <v>6570</v>
      </c>
      <c r="B237" s="18" t="s">
        <v>684</v>
      </c>
      <c r="C237" s="3">
        <f>SUMIF('Raw Data 01-31-2019'!$A$6:$A$254,'Q1 TB-19'!A237,'Raw Data 01-31-2019'!C$6:C$254)</f>
        <v>0</v>
      </c>
      <c r="D237" s="4"/>
      <c r="E237" s="3">
        <f>SUMIF('Raw Data 01-31-2019'!$A$6:$A$254,'Q1 TB-19'!A237,'Raw Data 01-31-2019'!D$6:D$254)</f>
        <v>0</v>
      </c>
      <c r="F237" s="5"/>
      <c r="G237" s="3">
        <f t="shared" si="10"/>
        <v>0</v>
      </c>
      <c r="H237" s="53" t="s">
        <v>439</v>
      </c>
    </row>
    <row r="238" spans="1:8" x14ac:dyDescent="0.75">
      <c r="A238" s="14">
        <v>6575</v>
      </c>
      <c r="B238" s="18" t="s">
        <v>685</v>
      </c>
      <c r="C238" s="3">
        <f>SUMIF('Raw Data 01-31-2019'!$A$6:$A$254,'Q1 TB-19'!A238,'Raw Data 01-31-2019'!C$6:C$254)</f>
        <v>0</v>
      </c>
      <c r="D238" s="4"/>
      <c r="E238" s="3">
        <f>SUMIF('Raw Data 01-31-2019'!$A$6:$A$254,'Q1 TB-19'!A238,'Raw Data 01-31-2019'!D$6:D$254)</f>
        <v>0</v>
      </c>
      <c r="F238" s="5"/>
      <c r="G238" s="3">
        <f t="shared" si="10"/>
        <v>0</v>
      </c>
      <c r="H238" s="53" t="s">
        <v>439</v>
      </c>
    </row>
    <row r="239" spans="1:8" x14ac:dyDescent="0.75">
      <c r="A239" s="14">
        <v>6580</v>
      </c>
      <c r="B239" s="18" t="s">
        <v>686</v>
      </c>
      <c r="C239" s="3">
        <f>SUMIF('Raw Data 01-31-2019'!$A$6:$A$254,'Q1 TB-19'!A239,'Raw Data 01-31-2019'!C$6:C$254)</f>
        <v>0</v>
      </c>
      <c r="D239" s="4"/>
      <c r="E239" s="3">
        <f>SUMIF('Raw Data 01-31-2019'!$A$6:$A$254,'Q1 TB-19'!A239,'Raw Data 01-31-2019'!D$6:D$254)</f>
        <v>0</v>
      </c>
      <c r="F239" s="5"/>
      <c r="G239" s="3">
        <f t="shared" si="10"/>
        <v>0</v>
      </c>
      <c r="H239" s="53" t="s">
        <v>439</v>
      </c>
    </row>
    <row r="240" spans="1:8" x14ac:dyDescent="0.75">
      <c r="A240" s="14">
        <v>6585</v>
      </c>
      <c r="B240" s="18" t="s">
        <v>687</v>
      </c>
      <c r="C240" s="3">
        <f>SUMIF('Raw Data 01-31-2019'!$A$6:$A$254,'Q1 TB-19'!A240,'Raw Data 01-31-2019'!C$6:C$254)</f>
        <v>0</v>
      </c>
      <c r="D240" s="4"/>
      <c r="E240" s="3">
        <f>SUMIF('Raw Data 01-31-2019'!$A$6:$A$254,'Q1 TB-19'!A240,'Raw Data 01-31-2019'!D$6:D$254)</f>
        <v>0</v>
      </c>
      <c r="F240" s="5"/>
      <c r="G240" s="3">
        <f t="shared" si="10"/>
        <v>0</v>
      </c>
      <c r="H240" s="53" t="s">
        <v>439</v>
      </c>
    </row>
    <row r="241" spans="1:8" x14ac:dyDescent="0.75">
      <c r="A241" s="14">
        <v>6590</v>
      </c>
      <c r="B241" s="18" t="s">
        <v>688</v>
      </c>
      <c r="C241" s="3">
        <f>SUMIF('Raw Data 01-31-2019'!$A$6:$A$254,'Q1 TB-19'!A241,'Raw Data 01-31-2019'!C$6:C$254)</f>
        <v>0</v>
      </c>
      <c r="D241" s="4"/>
      <c r="E241" s="3">
        <f>SUMIF('Raw Data 01-31-2019'!$A$6:$A$254,'Q1 TB-19'!A241,'Raw Data 01-31-2019'!D$6:D$254)</f>
        <v>0</v>
      </c>
      <c r="F241" s="5"/>
      <c r="G241" s="3">
        <f t="shared" si="10"/>
        <v>0</v>
      </c>
      <c r="H241" s="53" t="s">
        <v>439</v>
      </c>
    </row>
    <row r="242" spans="1:8" x14ac:dyDescent="0.75">
      <c r="A242" s="14">
        <v>7100</v>
      </c>
      <c r="B242" s="18" t="s">
        <v>689</v>
      </c>
      <c r="C242" s="3">
        <f>SUMIF('Raw Data 01-31-2019'!$A$6:$A$254,'Q1 TB-19'!A242,'Raw Data 01-31-2019'!C$6:C$254)</f>
        <v>0</v>
      </c>
      <c r="D242" s="4"/>
      <c r="E242" s="3">
        <f>SUMIF('Raw Data 01-31-2019'!$A$6:$A$254,'Q1 TB-19'!A242,'Raw Data 01-31-2019'!D$6:D$254)</f>
        <v>49.2</v>
      </c>
      <c r="F242" s="5"/>
      <c r="G242" s="3">
        <f t="shared" si="10"/>
        <v>-49.2</v>
      </c>
      <c r="H242" s="53" t="s">
        <v>439</v>
      </c>
    </row>
    <row r="243" spans="1:8" x14ac:dyDescent="0.75">
      <c r="A243" s="14">
        <v>7200</v>
      </c>
      <c r="B243" s="18" t="s">
        <v>690</v>
      </c>
      <c r="C243" s="3">
        <f>SUMIF('Raw Data 01-31-2019'!$A$6:$A$254,'Q1 TB-19'!A243,'Raw Data 01-31-2019'!C$6:C$254)</f>
        <v>0</v>
      </c>
      <c r="D243" s="4"/>
      <c r="E243" s="3">
        <f>SUMIF('Raw Data 01-31-2019'!$A$6:$A$254,'Q1 TB-19'!A243,'Raw Data 01-31-2019'!D$6:D$254)</f>
        <v>0</v>
      </c>
      <c r="F243" s="5"/>
      <c r="G243" s="3">
        <f t="shared" si="10"/>
        <v>0</v>
      </c>
      <c r="H243" s="53" t="s">
        <v>439</v>
      </c>
    </row>
    <row r="244" spans="1:8" x14ac:dyDescent="0.75">
      <c r="A244" s="14">
        <v>7300</v>
      </c>
      <c r="B244" s="18" t="s">
        <v>691</v>
      </c>
      <c r="C244" s="3">
        <f>SUMIF('Raw Data 01-31-2019'!$A$6:$A$254,'Q1 TB-19'!A244,'Raw Data 01-31-2019'!C$6:C$254)</f>
        <v>0</v>
      </c>
      <c r="D244" s="4"/>
      <c r="E244" s="3">
        <f>SUMIF('Raw Data 01-31-2019'!$A$6:$A$254,'Q1 TB-19'!A244,'Raw Data 01-31-2019'!D$6:D$254)</f>
        <v>0</v>
      </c>
      <c r="F244" s="5"/>
      <c r="G244" s="3">
        <f t="shared" si="10"/>
        <v>0</v>
      </c>
      <c r="H244" s="53" t="s">
        <v>439</v>
      </c>
    </row>
    <row r="245" spans="1:8" x14ac:dyDescent="0.75">
      <c r="A245" s="14">
        <v>7310</v>
      </c>
      <c r="B245" s="18" t="s">
        <v>692</v>
      </c>
      <c r="C245" s="3">
        <f>SUMIF('Raw Data 01-31-2019'!$A$6:$A$254,'Q1 TB-19'!A245,'Raw Data 01-31-2019'!C$6:C$254)</f>
        <v>0</v>
      </c>
      <c r="D245" s="4"/>
      <c r="E245" s="3">
        <f>SUMIF('Raw Data 01-31-2019'!$A$6:$A$254,'Q1 TB-19'!A245,'Raw Data 01-31-2019'!D$6:D$254)</f>
        <v>0</v>
      </c>
      <c r="F245" s="5"/>
      <c r="G245" s="3">
        <f t="shared" si="10"/>
        <v>0</v>
      </c>
      <c r="H245" s="53" t="s">
        <v>439</v>
      </c>
    </row>
    <row r="246" spans="1:8" x14ac:dyDescent="0.75">
      <c r="A246" s="14">
        <v>7400</v>
      </c>
      <c r="B246" s="18" t="s">
        <v>693</v>
      </c>
      <c r="C246" s="3">
        <f>SUMIF('Raw Data 01-31-2019'!$A$6:$A$254,'Q1 TB-19'!A246,'Raw Data 01-31-2019'!C$6:C$254)</f>
        <v>0</v>
      </c>
      <c r="D246" s="4"/>
      <c r="E246" s="3">
        <f>SUMIF('Raw Data 01-31-2019'!$A$6:$A$254,'Q1 TB-19'!A246,'Raw Data 01-31-2019'!D$6:D$254)</f>
        <v>0</v>
      </c>
      <c r="F246" s="5"/>
      <c r="G246" s="3">
        <f t="shared" si="10"/>
        <v>0</v>
      </c>
      <c r="H246" s="53" t="s">
        <v>951</v>
      </c>
    </row>
    <row r="247" spans="1:8" x14ac:dyDescent="0.75">
      <c r="A247" s="12">
        <v>7500</v>
      </c>
      <c r="B247" s="13" t="s">
        <v>620</v>
      </c>
      <c r="C247" s="3">
        <f>SUMIF('Raw Data 01-31-2019'!$A$6:$A$254,'Q1 TB-19'!A247,'Raw Data 01-31-2019'!C$6:C$254)</f>
        <v>0</v>
      </c>
      <c r="D247" s="4"/>
      <c r="E247" s="3">
        <f>SUMIF('Raw Data 01-31-2019'!$A$6:$A$254,'Q1 TB-19'!A247,'Raw Data 01-31-2019'!D$6:D$254)</f>
        <v>0</v>
      </c>
      <c r="F247" s="5"/>
      <c r="G247" s="3">
        <f t="shared" si="10"/>
        <v>0</v>
      </c>
      <c r="H247" s="53" t="s">
        <v>441</v>
      </c>
    </row>
    <row r="248" spans="1:8" x14ac:dyDescent="0.75">
      <c r="A248" s="12">
        <v>7510</v>
      </c>
      <c r="B248" s="13" t="s">
        <v>621</v>
      </c>
      <c r="C248" s="3">
        <f>SUMIF('Raw Data 01-31-2019'!$A$6:$A$254,'Q1 TB-19'!A248,'Raw Data 01-31-2019'!C$6:C$254)</f>
        <v>2058.2800000000002</v>
      </c>
      <c r="D248" s="4"/>
      <c r="E248" s="3">
        <f>SUMIF('Raw Data 01-31-2019'!$A$6:$A$254,'Q1 TB-19'!A248,'Raw Data 01-31-2019'!D$6:D$254)</f>
        <v>0</v>
      </c>
      <c r="F248" s="5"/>
      <c r="G248" s="3">
        <f t="shared" si="10"/>
        <v>2058.2800000000002</v>
      </c>
      <c r="H248" s="53" t="s">
        <v>441</v>
      </c>
    </row>
    <row r="249" spans="1:8" x14ac:dyDescent="0.75">
      <c r="A249" s="12">
        <v>7520</v>
      </c>
      <c r="B249" s="13" t="s">
        <v>622</v>
      </c>
      <c r="C249" s="3">
        <f>SUMIF('Raw Data 01-31-2019'!$A$6:$A$254,'Q1 TB-19'!A249,'Raw Data 01-31-2019'!C$6:C$254)</f>
        <v>1381.33</v>
      </c>
      <c r="D249" s="4"/>
      <c r="E249" s="3">
        <f>SUMIF('Raw Data 01-31-2019'!$A$6:$A$254,'Q1 TB-19'!A249,'Raw Data 01-31-2019'!D$6:D$254)</f>
        <v>0</v>
      </c>
      <c r="F249" s="5"/>
      <c r="G249" s="3">
        <f t="shared" si="10"/>
        <v>1381.33</v>
      </c>
      <c r="H249" s="53" t="s">
        <v>441</v>
      </c>
    </row>
    <row r="250" spans="1:8" x14ac:dyDescent="0.75">
      <c r="A250" s="12">
        <v>7530</v>
      </c>
      <c r="B250" s="13" t="s">
        <v>623</v>
      </c>
      <c r="C250" s="3">
        <f>SUMIF('Raw Data 01-31-2019'!$A$6:$A$254,'Q1 TB-19'!A250,'Raw Data 01-31-2019'!C$6:C$254)</f>
        <v>8878.2000000000007</v>
      </c>
      <c r="D250" s="4"/>
      <c r="E250" s="3">
        <f>SUMIF('Raw Data 01-31-2019'!$A$6:$A$254,'Q1 TB-19'!A250,'Raw Data 01-31-2019'!D$6:D$254)</f>
        <v>0</v>
      </c>
      <c r="F250" s="5"/>
      <c r="G250" s="3">
        <f t="shared" si="10"/>
        <v>8878.2000000000007</v>
      </c>
      <c r="H250" s="53" t="s">
        <v>441</v>
      </c>
    </row>
    <row r="251" spans="1:8" x14ac:dyDescent="0.75">
      <c r="A251" s="12">
        <v>7540</v>
      </c>
      <c r="B251" s="13" t="s">
        <v>624</v>
      </c>
      <c r="C251" s="3">
        <f>SUMIF('Raw Data 01-31-2019'!$A$6:$A$254,'Q1 TB-19'!A251,'Raw Data 01-31-2019'!C$6:C$254)</f>
        <v>19851.36</v>
      </c>
      <c r="D251" s="4"/>
      <c r="E251" s="3">
        <f>SUMIF('Raw Data 01-31-2019'!$A$6:$A$254,'Q1 TB-19'!A251,'Raw Data 01-31-2019'!D$6:D$254)</f>
        <v>0</v>
      </c>
      <c r="F251" s="5"/>
      <c r="G251" s="3">
        <f t="shared" si="10"/>
        <v>19851.36</v>
      </c>
      <c r="H251" s="53" t="s">
        <v>441</v>
      </c>
    </row>
    <row r="252" spans="1:8" s="77" customFormat="1" x14ac:dyDescent="0.75">
      <c r="A252" s="12" t="s">
        <v>945</v>
      </c>
      <c r="B252" s="13" t="s">
        <v>946</v>
      </c>
      <c r="C252" s="3">
        <f>SUMIF('Raw Data 01-31-2019'!$A$6:$A$254,'Q1 TB-19'!A252,'Raw Data 01-31-2019'!C$6:C$254)</f>
        <v>46674</v>
      </c>
      <c r="D252" s="4"/>
      <c r="E252" s="3">
        <f>SUMIF('Raw Data 01-31-2019'!$A$6:$A$254,'Q1 TB-19'!A252,'Raw Data 01-31-2019'!D$6:D$254)</f>
        <v>0</v>
      </c>
      <c r="F252" s="5"/>
      <c r="G252" s="3">
        <f t="shared" ref="G252" si="11">C252-E252</f>
        <v>46674</v>
      </c>
      <c r="H252" s="77" t="s">
        <v>441</v>
      </c>
    </row>
    <row r="253" spans="1:8" x14ac:dyDescent="0.75">
      <c r="A253" s="14">
        <v>7600</v>
      </c>
      <c r="B253" s="18" t="s">
        <v>694</v>
      </c>
      <c r="C253" s="3">
        <f>SUMIF('Raw Data 01-31-2019'!$A$6:$A$254,'Q1 TB-19'!A253,'Raw Data 01-31-2019'!C$6:C$254)</f>
        <v>0</v>
      </c>
      <c r="D253" s="4"/>
      <c r="E253" s="3">
        <f>SUMIF('Raw Data 01-31-2019'!$A$6:$A$254,'Q1 TB-19'!A253,'Raw Data 01-31-2019'!D$6:D$254)</f>
        <v>0</v>
      </c>
      <c r="F253" s="5"/>
      <c r="G253" s="3">
        <f t="shared" si="10"/>
        <v>0</v>
      </c>
      <c r="H253" s="53" t="s">
        <v>439</v>
      </c>
    </row>
    <row r="254" spans="1:8" x14ac:dyDescent="0.75">
      <c r="A254" s="14">
        <v>7700</v>
      </c>
      <c r="B254" s="18" t="s">
        <v>695</v>
      </c>
      <c r="C254" s="3">
        <f>SUMIF('Raw Data 01-31-2019'!$A$6:$A$254,'Q1 TB-19'!A254,'Raw Data 01-31-2019'!C$6:C$254)</f>
        <v>0</v>
      </c>
      <c r="D254" s="4"/>
      <c r="E254" s="3">
        <f>SUMIF('Raw Data 01-31-2019'!$A$6:$A$254,'Q1 TB-19'!A254,'Raw Data 01-31-2019'!D$6:D$254)</f>
        <v>0</v>
      </c>
      <c r="F254" s="5"/>
      <c r="G254" s="3">
        <f t="shared" si="10"/>
        <v>0</v>
      </c>
      <c r="H254" s="53" t="s">
        <v>439</v>
      </c>
    </row>
    <row r="255" spans="1:8" x14ac:dyDescent="0.75">
      <c r="C255" s="51">
        <f>SUM(C6:C254)</f>
        <v>10695935.380000003</v>
      </c>
      <c r="E255" s="51">
        <f>SUM(E6:E254)</f>
        <v>10695935.380000001</v>
      </c>
      <c r="G255" s="51">
        <f>SUM(G6:G254)</f>
        <v>-1.9354047253727913E-9</v>
      </c>
    </row>
  </sheetData>
  <sortState xmlns:xlrd2="http://schemas.microsoft.com/office/spreadsheetml/2017/richdata2" ref="A6:B254">
    <sortCondition ref="A6:A254"/>
  </sortState>
  <mergeCells count="3">
    <mergeCell ref="B1:D1"/>
    <mergeCell ref="B2:D2"/>
    <mergeCell ref="B3:D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DBD9-9C55-4558-8108-A29BF59D4348}">
  <sheetPr codeName="Sheet2"/>
  <dimension ref="A1:J255"/>
  <sheetViews>
    <sheetView zoomScaleNormal="100" workbookViewId="0">
      <pane xSplit="2" ySplit="5" topLeftCell="C73" activePane="bottomRight" state="frozenSplit"/>
      <selection activeCell="B77" sqref="B77"/>
      <selection pane="topRight" activeCell="B77" sqref="B77"/>
      <selection pane="bottomLeft" activeCell="B77" sqref="B77"/>
      <selection pane="bottomRight" activeCell="B77" sqref="B77"/>
    </sheetView>
  </sheetViews>
  <sheetFormatPr defaultRowHeight="14.75" x14ac:dyDescent="0.75"/>
  <cols>
    <col min="1" max="1" width="11.86328125" style="14" customWidth="1"/>
    <col min="2" max="2" width="40.26953125" style="18" customWidth="1"/>
    <col min="3" max="3" width="14.1328125" style="10" customWidth="1"/>
    <col min="4" max="4" width="2.1328125" style="10" customWidth="1"/>
    <col min="5" max="5" width="15.40625" style="10" customWidth="1"/>
    <col min="6" max="6" width="4.26953125" style="10" customWidth="1"/>
    <col min="7" max="7" width="15.40625" style="10" customWidth="1"/>
    <col min="8" max="8" width="17.54296875" bestFit="1" customWidth="1"/>
  </cols>
  <sheetData>
    <row r="1" spans="1:10" ht="18" x14ac:dyDescent="0.8">
      <c r="B1" s="195" t="s">
        <v>696</v>
      </c>
      <c r="C1" s="197"/>
      <c r="D1" s="197"/>
    </row>
    <row r="2" spans="1:10" ht="18" x14ac:dyDescent="0.8">
      <c r="B2" s="195" t="s">
        <v>697</v>
      </c>
      <c r="C2" s="197"/>
      <c r="D2" s="197"/>
    </row>
    <row r="3" spans="1:10" ht="15.75" x14ac:dyDescent="0.75">
      <c r="B3" s="196" t="str">
        <f>'Raw Data 04-30-2019'!B3:D3</f>
        <v>As of April 30, 2019</v>
      </c>
      <c r="C3" s="196"/>
      <c r="D3" s="196"/>
    </row>
    <row r="4" spans="1:10" ht="15.5" thickBot="1" x14ac:dyDescent="0.9">
      <c r="A4" s="12"/>
      <c r="B4" s="13"/>
      <c r="C4" s="15"/>
      <c r="D4" s="1"/>
      <c r="E4" s="2"/>
      <c r="F4" s="2"/>
      <c r="G4" s="2"/>
    </row>
    <row r="5" spans="1:10" s="9" customFormat="1" ht="16.25" thickTop="1" thickBot="1" x14ac:dyDescent="0.9">
      <c r="A5" s="12" t="s">
        <v>4</v>
      </c>
      <c r="B5" s="17" t="s">
        <v>3</v>
      </c>
      <c r="C5" s="7" t="s">
        <v>0</v>
      </c>
      <c r="D5" s="8"/>
      <c r="E5" s="7" t="s">
        <v>1</v>
      </c>
      <c r="F5" s="15"/>
      <c r="G5" s="15" t="s">
        <v>170</v>
      </c>
      <c r="H5" s="35" t="s">
        <v>799</v>
      </c>
    </row>
    <row r="6" spans="1:10" ht="15.5" thickTop="1" x14ac:dyDescent="0.75">
      <c r="A6" s="12">
        <v>1005</v>
      </c>
      <c r="B6" s="13" t="s">
        <v>457</v>
      </c>
      <c r="C6" s="3">
        <f>SUMIF('Raw Data 04-30-2019'!$A$6:$A$254,'Q2 TB-19'!A6,'Raw Data 04-30-2019'!C$6:C$254)</f>
        <v>0</v>
      </c>
      <c r="D6" s="4"/>
      <c r="E6" s="3">
        <f>SUMIF('Raw Data 04-30-2019'!$A$6:$A$254,'Q2 TB-19'!A6,'Raw Data 04-30-2019'!D$6:D$254)</f>
        <v>0</v>
      </c>
      <c r="F6" s="3"/>
      <c r="G6" s="3">
        <f>C6-E6</f>
        <v>0</v>
      </c>
      <c r="H6" s="53" t="s">
        <v>171</v>
      </c>
      <c r="J6" s="19"/>
    </row>
    <row r="7" spans="1:10" x14ac:dyDescent="0.75">
      <c r="A7" s="12">
        <v>1010</v>
      </c>
      <c r="B7" s="13" t="s">
        <v>458</v>
      </c>
      <c r="C7" s="3">
        <f>SUMIF('Raw Data 04-30-2019'!$A$6:$A$254,'Q2 TB-19'!A7,'Raw Data 04-30-2019'!C$6:C$254)</f>
        <v>65999.31</v>
      </c>
      <c r="D7" s="4"/>
      <c r="E7" s="3">
        <f>SUMIF('Raw Data 04-30-2019'!$A$6:$A$254,'Q2 TB-19'!A7,'Raw Data 04-30-2019'!D$6:D$254)</f>
        <v>0</v>
      </c>
      <c r="F7" s="3"/>
      <c r="G7" s="3">
        <f t="shared" ref="G7:G72" si="0">C7-E7</f>
        <v>65999.31</v>
      </c>
      <c r="H7" s="53" t="s">
        <v>171</v>
      </c>
      <c r="J7" s="19"/>
    </row>
    <row r="8" spans="1:10" x14ac:dyDescent="0.75">
      <c r="A8" s="12">
        <v>1020</v>
      </c>
      <c r="B8" s="13" t="s">
        <v>459</v>
      </c>
      <c r="C8" s="3">
        <f>SUMIF('Raw Data 04-30-2019'!$A$6:$A$254,'Q2 TB-19'!A8,'Raw Data 04-30-2019'!C$6:C$254)</f>
        <v>62706.239999999998</v>
      </c>
      <c r="D8" s="4"/>
      <c r="E8" s="3">
        <f>SUMIF('Raw Data 04-30-2019'!$A$6:$A$254,'Q2 TB-19'!A8,'Raw Data 04-30-2019'!D$6:D$254)</f>
        <v>0</v>
      </c>
      <c r="F8" s="3"/>
      <c r="G8" s="3">
        <f t="shared" si="0"/>
        <v>62706.239999999998</v>
      </c>
      <c r="H8" s="53" t="s">
        <v>171</v>
      </c>
      <c r="J8" s="19"/>
    </row>
    <row r="9" spans="1:10" x14ac:dyDescent="0.75">
      <c r="A9" s="12">
        <v>1200</v>
      </c>
      <c r="B9" s="13" t="s">
        <v>460</v>
      </c>
      <c r="C9" s="3">
        <f>SUMIF('Raw Data 04-30-2019'!$A$6:$A$254,'Q2 TB-19'!A9,'Raw Data 04-30-2019'!C$6:C$254)</f>
        <v>137031.07999999999</v>
      </c>
      <c r="D9" s="4"/>
      <c r="E9" s="3">
        <f>SUMIF('Raw Data 04-30-2019'!$A$6:$A$254,'Q2 TB-19'!A9,'Raw Data 04-30-2019'!D$6:D$254)</f>
        <v>0</v>
      </c>
      <c r="F9" s="3"/>
      <c r="G9" s="3">
        <f t="shared" si="0"/>
        <v>137031.07999999999</v>
      </c>
      <c r="H9" s="53" t="s">
        <v>172</v>
      </c>
      <c r="J9" s="19"/>
    </row>
    <row r="10" spans="1:10" x14ac:dyDescent="0.75">
      <c r="A10" s="12">
        <v>1210</v>
      </c>
      <c r="B10" s="13" t="s">
        <v>461</v>
      </c>
      <c r="C10" s="3">
        <f>SUMIF('Raw Data 04-30-2019'!$A$6:$A$254,'Q2 TB-19'!A10,'Raw Data 04-30-2019'!C$6:C$254)</f>
        <v>0</v>
      </c>
      <c r="D10" s="4"/>
      <c r="E10" s="3">
        <f>SUMIF('Raw Data 04-30-2019'!$A$6:$A$254,'Q2 TB-19'!A10,'Raw Data 04-30-2019'!D$6:D$254)</f>
        <v>0</v>
      </c>
      <c r="F10" s="3"/>
      <c r="G10" s="3">
        <f t="shared" si="0"/>
        <v>0</v>
      </c>
      <c r="H10" s="53" t="s">
        <v>172</v>
      </c>
      <c r="J10" s="19"/>
    </row>
    <row r="11" spans="1:10" x14ac:dyDescent="0.75">
      <c r="A11" s="12">
        <v>1250</v>
      </c>
      <c r="B11" s="13" t="s">
        <v>462</v>
      </c>
      <c r="C11" s="3">
        <f>SUMIF('Raw Data 04-30-2019'!$A$6:$A$254,'Q2 TB-19'!A11,'Raw Data 04-30-2019'!C$6:C$254)</f>
        <v>0</v>
      </c>
      <c r="D11" s="4"/>
      <c r="E11" s="3">
        <f>SUMIF('Raw Data 04-30-2019'!$A$6:$A$254,'Q2 TB-19'!A11,'Raw Data 04-30-2019'!D$6:D$254)</f>
        <v>0</v>
      </c>
      <c r="F11" s="3"/>
      <c r="G11" s="3">
        <f t="shared" si="0"/>
        <v>0</v>
      </c>
      <c r="H11" s="53" t="s">
        <v>172</v>
      </c>
      <c r="J11" s="19"/>
    </row>
    <row r="12" spans="1:10" x14ac:dyDescent="0.75">
      <c r="A12" s="12">
        <v>1280</v>
      </c>
      <c r="B12" s="13" t="s">
        <v>468</v>
      </c>
      <c r="C12" s="3">
        <f>SUMIF('Raw Data 04-30-2019'!$A$6:$A$254,'Q2 TB-19'!A12,'Raw Data 04-30-2019'!C$6:C$254)</f>
        <v>0</v>
      </c>
      <c r="D12" s="4"/>
      <c r="E12" s="3">
        <f>SUMIF('Raw Data 04-30-2019'!$A$6:$A$254,'Q2 TB-19'!A12,'Raw Data 04-30-2019'!D$6:D$254)</f>
        <v>0</v>
      </c>
      <c r="F12" s="3"/>
      <c r="G12" s="3">
        <f t="shared" si="0"/>
        <v>0</v>
      </c>
      <c r="H12" s="53" t="s">
        <v>175</v>
      </c>
      <c r="J12" s="19"/>
    </row>
    <row r="13" spans="1:10" x14ac:dyDescent="0.75">
      <c r="A13" s="12">
        <v>1290</v>
      </c>
      <c r="B13" s="13" t="s">
        <v>469</v>
      </c>
      <c r="C13" s="3">
        <f>SUMIF('Raw Data 04-30-2019'!$A$6:$A$254,'Q2 TB-19'!A13,'Raw Data 04-30-2019'!C$6:C$254)</f>
        <v>0</v>
      </c>
      <c r="D13" s="4"/>
      <c r="E13" s="3">
        <f>SUMIF('Raw Data 04-30-2019'!$A$6:$A$254,'Q2 TB-19'!A13,'Raw Data 04-30-2019'!D$6:D$254)</f>
        <v>0</v>
      </c>
      <c r="F13" s="3"/>
      <c r="G13" s="3">
        <f t="shared" si="0"/>
        <v>0</v>
      </c>
      <c r="H13" s="53" t="s">
        <v>172</v>
      </c>
      <c r="J13" s="19"/>
    </row>
    <row r="14" spans="1:10" x14ac:dyDescent="0.75">
      <c r="A14" s="12">
        <v>1300</v>
      </c>
      <c r="B14" s="13" t="s">
        <v>463</v>
      </c>
      <c r="C14" s="3">
        <f>SUMIF('Raw Data 04-30-2019'!$A$6:$A$254,'Q2 TB-19'!A14,'Raw Data 04-30-2019'!C$6:C$254)</f>
        <v>0</v>
      </c>
      <c r="D14" s="4"/>
      <c r="E14" s="3">
        <f>SUMIF('Raw Data 04-30-2019'!$A$6:$A$254,'Q2 TB-19'!A14,'Raw Data 04-30-2019'!D$6:D$254)</f>
        <v>0</v>
      </c>
      <c r="F14" s="3"/>
      <c r="G14" s="3">
        <f t="shared" si="0"/>
        <v>0</v>
      </c>
      <c r="H14" s="53" t="s">
        <v>174</v>
      </c>
      <c r="J14" s="19"/>
    </row>
    <row r="15" spans="1:10" x14ac:dyDescent="0.75">
      <c r="A15" s="12">
        <v>1310</v>
      </c>
      <c r="B15" s="13" t="s">
        <v>467</v>
      </c>
      <c r="C15" s="3">
        <f>SUMIF('Raw Data 04-30-2019'!$A$6:$A$254,'Q2 TB-19'!A15,'Raw Data 04-30-2019'!C$6:C$254)</f>
        <v>47104.51</v>
      </c>
      <c r="D15" s="4"/>
      <c r="E15" s="3">
        <f>SUMIF('Raw Data 04-30-2019'!$A$6:$A$254,'Q2 TB-19'!A15,'Raw Data 04-30-2019'!D$6:D$254)</f>
        <v>0</v>
      </c>
      <c r="F15" s="3"/>
      <c r="G15" s="3">
        <f t="shared" si="0"/>
        <v>47104.51</v>
      </c>
      <c r="H15" s="53" t="s">
        <v>174</v>
      </c>
      <c r="J15" s="19"/>
    </row>
    <row r="16" spans="1:10" x14ac:dyDescent="0.75">
      <c r="A16" s="12">
        <v>1320</v>
      </c>
      <c r="B16" s="13" t="s">
        <v>466</v>
      </c>
      <c r="C16" s="3">
        <f>SUMIF('Raw Data 04-30-2019'!$A$6:$A$254,'Q2 TB-19'!A16,'Raw Data 04-30-2019'!C$6:C$254)</f>
        <v>0</v>
      </c>
      <c r="D16" s="4"/>
      <c r="E16" s="3">
        <f>SUMIF('Raw Data 04-30-2019'!$A$6:$A$254,'Q2 TB-19'!A16,'Raw Data 04-30-2019'!D$6:D$254)</f>
        <v>0</v>
      </c>
      <c r="F16" s="3"/>
      <c r="G16" s="3">
        <f t="shared" si="0"/>
        <v>0</v>
      </c>
      <c r="H16" s="53" t="s">
        <v>174</v>
      </c>
      <c r="J16" s="19"/>
    </row>
    <row r="17" spans="1:10" x14ac:dyDescent="0.75">
      <c r="A17" s="12">
        <v>1330</v>
      </c>
      <c r="B17" s="13" t="s">
        <v>464</v>
      </c>
      <c r="C17" s="3">
        <f>SUMIF('Raw Data 04-30-2019'!$A$6:$A$254,'Q2 TB-19'!A17,'Raw Data 04-30-2019'!C$6:C$254)</f>
        <v>0</v>
      </c>
      <c r="D17" s="4"/>
      <c r="E17" s="3">
        <f>SUMIF('Raw Data 04-30-2019'!$A$6:$A$254,'Q2 TB-19'!A17,'Raw Data 04-30-2019'!D$6:D$254)</f>
        <v>0</v>
      </c>
      <c r="F17" s="3"/>
      <c r="G17" s="3">
        <f t="shared" si="0"/>
        <v>0</v>
      </c>
      <c r="H17" s="53" t="s">
        <v>174</v>
      </c>
      <c r="J17" s="19"/>
    </row>
    <row r="18" spans="1:10" x14ac:dyDescent="0.75">
      <c r="A18" s="12">
        <v>1340</v>
      </c>
      <c r="B18" s="13" t="s">
        <v>465</v>
      </c>
      <c r="C18" s="3">
        <f>SUMIF('Raw Data 04-30-2019'!$A$6:$A$254,'Q2 TB-19'!A18,'Raw Data 04-30-2019'!C$6:C$254)</f>
        <v>4370</v>
      </c>
      <c r="D18" s="4"/>
      <c r="E18" s="3">
        <f>SUMIF('Raw Data 04-30-2019'!$A$6:$A$254,'Q2 TB-19'!A18,'Raw Data 04-30-2019'!D$6:D$254)</f>
        <v>0</v>
      </c>
      <c r="F18" s="3"/>
      <c r="G18" s="3">
        <f t="shared" si="0"/>
        <v>4370</v>
      </c>
      <c r="H18" s="53" t="s">
        <v>174</v>
      </c>
      <c r="J18" s="19"/>
    </row>
    <row r="19" spans="1:10" x14ac:dyDescent="0.75">
      <c r="A19" s="12">
        <v>1410</v>
      </c>
      <c r="B19" s="13" t="s">
        <v>470</v>
      </c>
      <c r="C19" s="3">
        <f>SUMIF('Raw Data 04-30-2019'!$A$6:$A$254,'Q2 TB-19'!A19,'Raw Data 04-30-2019'!C$6:C$254)</f>
        <v>54083.78</v>
      </c>
      <c r="D19" s="4"/>
      <c r="E19" s="3">
        <f>SUMIF('Raw Data 04-30-2019'!$A$6:$A$254,'Q2 TB-19'!A19,'Raw Data 04-30-2019'!D$6:D$254)</f>
        <v>0</v>
      </c>
      <c r="F19" s="3"/>
      <c r="G19" s="3">
        <f t="shared" si="0"/>
        <v>54083.78</v>
      </c>
      <c r="H19" s="53" t="s">
        <v>175</v>
      </c>
      <c r="J19" s="19"/>
    </row>
    <row r="20" spans="1:10" x14ac:dyDescent="0.75">
      <c r="A20" s="12">
        <v>1420</v>
      </c>
      <c r="B20" s="13" t="s">
        <v>471</v>
      </c>
      <c r="C20" s="3">
        <f>SUMIF('Raw Data 04-30-2019'!$A$6:$A$254,'Q2 TB-19'!A20,'Raw Data 04-30-2019'!C$6:C$254)</f>
        <v>0</v>
      </c>
      <c r="D20" s="4"/>
      <c r="E20" s="3">
        <f>SUMIF('Raw Data 04-30-2019'!$A$6:$A$254,'Q2 TB-19'!A20,'Raw Data 04-30-2019'!D$6:D$254)</f>
        <v>0</v>
      </c>
      <c r="F20" s="3"/>
      <c r="G20" s="3">
        <f t="shared" si="0"/>
        <v>0</v>
      </c>
      <c r="H20" s="53" t="s">
        <v>175</v>
      </c>
      <c r="J20" s="19"/>
    </row>
    <row r="21" spans="1:10" x14ac:dyDescent="0.75">
      <c r="A21" s="12">
        <v>1430</v>
      </c>
      <c r="B21" s="13" t="s">
        <v>472</v>
      </c>
      <c r="C21" s="3">
        <f>SUMIF('Raw Data 04-30-2019'!$A$6:$A$254,'Q2 TB-19'!A21,'Raw Data 04-30-2019'!C$6:C$254)</f>
        <v>0</v>
      </c>
      <c r="D21" s="4"/>
      <c r="E21" s="3">
        <f>SUMIF('Raw Data 04-30-2019'!$A$6:$A$254,'Q2 TB-19'!A21,'Raw Data 04-30-2019'!D$6:D$254)</f>
        <v>0</v>
      </c>
      <c r="F21" s="3"/>
      <c r="G21" s="3">
        <f t="shared" si="0"/>
        <v>0</v>
      </c>
      <c r="H21" s="53" t="s">
        <v>175</v>
      </c>
      <c r="J21" s="19"/>
    </row>
    <row r="22" spans="1:10" x14ac:dyDescent="0.75">
      <c r="A22" s="12">
        <v>1710</v>
      </c>
      <c r="B22" s="13" t="s">
        <v>481</v>
      </c>
      <c r="C22" s="3">
        <f>SUMIF('Raw Data 04-30-2019'!$A$6:$A$254,'Q2 TB-19'!A22,'Raw Data 04-30-2019'!C$6:C$254)</f>
        <v>97384.17</v>
      </c>
      <c r="D22" s="4"/>
      <c r="E22" s="3">
        <f>SUMIF('Raw Data 04-30-2019'!$A$6:$A$254,'Q2 TB-19'!A22,'Raw Data 04-30-2019'!D$6:D$254)</f>
        <v>0</v>
      </c>
      <c r="F22" s="3"/>
      <c r="G22" s="3">
        <f t="shared" si="0"/>
        <v>97384.17</v>
      </c>
      <c r="H22" s="53" t="s">
        <v>173</v>
      </c>
      <c r="J22" s="19"/>
    </row>
    <row r="23" spans="1:10" x14ac:dyDescent="0.75">
      <c r="A23" s="12">
        <v>1715</v>
      </c>
      <c r="B23" s="13" t="s">
        <v>483</v>
      </c>
      <c r="C23" s="3">
        <f>SUMIF('Raw Data 04-30-2019'!$A$6:$A$254,'Q2 TB-19'!A23,'Raw Data 04-30-2019'!C$6:C$254)</f>
        <v>0</v>
      </c>
      <c r="D23" s="4"/>
      <c r="E23" s="3">
        <f>SUMIF('Raw Data 04-30-2019'!$A$6:$A$254,'Q2 TB-19'!A23,'Raw Data 04-30-2019'!D$6:D$254)</f>
        <v>0</v>
      </c>
      <c r="F23" s="3"/>
      <c r="G23" s="3">
        <f t="shared" si="0"/>
        <v>0</v>
      </c>
      <c r="H23" s="53" t="s">
        <v>173</v>
      </c>
      <c r="J23" s="19"/>
    </row>
    <row r="24" spans="1:10" x14ac:dyDescent="0.75">
      <c r="A24" s="12">
        <v>1720</v>
      </c>
      <c r="B24" s="13" t="s">
        <v>484</v>
      </c>
      <c r="C24" s="3">
        <f>SUMIF('Raw Data 04-30-2019'!$A$6:$A$254,'Q2 TB-19'!A24,'Raw Data 04-30-2019'!C$6:C$254)</f>
        <v>3937.6</v>
      </c>
      <c r="D24" s="4"/>
      <c r="E24" s="3">
        <f>SUMIF('Raw Data 04-30-2019'!$A$6:$A$254,'Q2 TB-19'!A24,'Raw Data 04-30-2019'!D$6:D$254)</f>
        <v>0</v>
      </c>
      <c r="F24" s="3"/>
      <c r="G24" s="3">
        <f t="shared" si="0"/>
        <v>3937.6</v>
      </c>
      <c r="H24" s="53" t="s">
        <v>173</v>
      </c>
      <c r="J24" s="19"/>
    </row>
    <row r="25" spans="1:10" x14ac:dyDescent="0.75">
      <c r="A25" s="12">
        <v>1725</v>
      </c>
      <c r="B25" s="13" t="s">
        <v>485</v>
      </c>
      <c r="C25" s="3">
        <f>SUMIF('Raw Data 04-30-2019'!$A$6:$A$254,'Q2 TB-19'!A25,'Raw Data 04-30-2019'!C$6:C$254)</f>
        <v>2446.33</v>
      </c>
      <c r="D25" s="4"/>
      <c r="E25" s="3">
        <f>SUMIF('Raw Data 04-30-2019'!$A$6:$A$254,'Q2 TB-19'!A25,'Raw Data 04-30-2019'!D$6:D$254)</f>
        <v>0</v>
      </c>
      <c r="F25" s="3"/>
      <c r="G25" s="3">
        <f t="shared" si="0"/>
        <v>2446.33</v>
      </c>
      <c r="H25" s="53" t="s">
        <v>173</v>
      </c>
      <c r="J25" s="19"/>
    </row>
    <row r="26" spans="1:10" x14ac:dyDescent="0.75">
      <c r="A26" s="12">
        <v>1735</v>
      </c>
      <c r="B26" s="13" t="s">
        <v>487</v>
      </c>
      <c r="C26" s="3">
        <f>SUMIF('Raw Data 04-30-2019'!$A$6:$A$254,'Q2 TB-19'!A26,'Raw Data 04-30-2019'!C$6:C$254)</f>
        <v>4977.6499999999996</v>
      </c>
      <c r="D26" s="4"/>
      <c r="E26" s="3">
        <f>SUMIF('Raw Data 04-30-2019'!$A$6:$A$254,'Q2 TB-19'!A26,'Raw Data 04-30-2019'!D$6:D$254)</f>
        <v>0</v>
      </c>
      <c r="F26" s="3"/>
      <c r="G26" s="3">
        <f t="shared" si="0"/>
        <v>4977.6499999999996</v>
      </c>
      <c r="H26" s="53" t="s">
        <v>173</v>
      </c>
      <c r="J26" s="19"/>
    </row>
    <row r="27" spans="1:10" s="53" customFormat="1" x14ac:dyDescent="0.75">
      <c r="A27" s="12">
        <v>1740</v>
      </c>
      <c r="B27" s="13" t="s">
        <v>488</v>
      </c>
      <c r="C27" s="3">
        <f>SUMIF('Raw Data 04-30-2019'!$A$6:$A$254,'Q2 TB-19'!A27,'Raw Data 04-30-2019'!C$6:C$254)</f>
        <v>0</v>
      </c>
      <c r="D27" s="4"/>
      <c r="E27" s="3">
        <f>SUMIF('Raw Data 04-30-2019'!$A$6:$A$254,'Q2 TB-19'!A27,'Raw Data 04-30-2019'!D$6:D$254)</f>
        <v>0</v>
      </c>
      <c r="F27" s="3"/>
      <c r="G27" s="3">
        <f t="shared" ref="G27" si="1">C27-E27</f>
        <v>0</v>
      </c>
      <c r="H27" s="53" t="s">
        <v>173</v>
      </c>
      <c r="J27" s="19"/>
    </row>
    <row r="28" spans="1:10" x14ac:dyDescent="0.75">
      <c r="A28" s="12">
        <v>1745</v>
      </c>
      <c r="B28" s="13" t="s">
        <v>489</v>
      </c>
      <c r="C28" s="3">
        <f>SUMIF('Raw Data 04-30-2019'!$A$6:$A$254,'Q2 TB-19'!A28,'Raw Data 04-30-2019'!C$6:C$254)</f>
        <v>179916.22</v>
      </c>
      <c r="D28" s="4"/>
      <c r="E28" s="3">
        <f>SUMIF('Raw Data 04-30-2019'!$A$6:$A$254,'Q2 TB-19'!A28,'Raw Data 04-30-2019'!D$6:D$254)</f>
        <v>0</v>
      </c>
      <c r="F28" s="3"/>
      <c r="G28" s="3">
        <f t="shared" si="0"/>
        <v>179916.22</v>
      </c>
      <c r="H28" s="53" t="s">
        <v>173</v>
      </c>
      <c r="J28" s="19"/>
    </row>
    <row r="29" spans="1:10" x14ac:dyDescent="0.75">
      <c r="A29" s="12">
        <v>1750</v>
      </c>
      <c r="B29" s="13" t="s">
        <v>490</v>
      </c>
      <c r="C29" s="3">
        <f>SUMIF('Raw Data 04-30-2019'!$A$6:$A$254,'Q2 TB-19'!A29,'Raw Data 04-30-2019'!C$6:C$254)</f>
        <v>10394.01</v>
      </c>
      <c r="D29" s="4"/>
      <c r="E29" s="3">
        <f>SUMIF('Raw Data 04-30-2019'!$A$6:$A$254,'Q2 TB-19'!A29,'Raw Data 04-30-2019'!D$6:D$254)</f>
        <v>0</v>
      </c>
      <c r="F29" s="3"/>
      <c r="G29" s="3">
        <f t="shared" si="0"/>
        <v>10394.01</v>
      </c>
      <c r="H29" s="53" t="s">
        <v>173</v>
      </c>
      <c r="J29" s="19"/>
    </row>
    <row r="30" spans="1:10" x14ac:dyDescent="0.75">
      <c r="A30" s="12">
        <v>1755</v>
      </c>
      <c r="B30" s="13" t="s">
        <v>491</v>
      </c>
      <c r="C30" s="3">
        <f>SUMIF('Raw Data 04-30-2019'!$A$6:$A$254,'Q2 TB-19'!A30,'Raw Data 04-30-2019'!C$6:C$254)</f>
        <v>787.91</v>
      </c>
      <c r="D30" s="4"/>
      <c r="E30" s="3">
        <f>SUMIF('Raw Data 04-30-2019'!$A$6:$A$254,'Q2 TB-19'!A30,'Raw Data 04-30-2019'!D$6:D$254)</f>
        <v>0</v>
      </c>
      <c r="F30" s="3"/>
      <c r="G30" s="3">
        <f t="shared" si="0"/>
        <v>787.91</v>
      </c>
      <c r="H30" s="53" t="s">
        <v>173</v>
      </c>
      <c r="J30" s="19"/>
    </row>
    <row r="31" spans="1:10" x14ac:dyDescent="0.75">
      <c r="A31" s="12">
        <v>1760</v>
      </c>
      <c r="B31" s="13" t="s">
        <v>492</v>
      </c>
      <c r="C31" s="3">
        <f>SUMIF('Raw Data 04-30-2019'!$A$6:$A$254,'Q2 TB-19'!A31,'Raw Data 04-30-2019'!C$6:C$254)</f>
        <v>20105.95</v>
      </c>
      <c r="D31" s="4"/>
      <c r="E31" s="3">
        <f>SUMIF('Raw Data 04-30-2019'!$A$6:$A$254,'Q2 TB-19'!A31,'Raw Data 04-30-2019'!D$6:D$254)</f>
        <v>0</v>
      </c>
      <c r="F31" s="3"/>
      <c r="G31" s="3">
        <f t="shared" si="0"/>
        <v>20105.95</v>
      </c>
      <c r="H31" s="53" t="s">
        <v>173</v>
      </c>
      <c r="J31" s="19"/>
    </row>
    <row r="32" spans="1:10" x14ac:dyDescent="0.75">
      <c r="A32" s="12">
        <v>1765</v>
      </c>
      <c r="B32" s="13" t="s">
        <v>493</v>
      </c>
      <c r="C32" s="3">
        <f>SUMIF('Raw Data 04-30-2019'!$A$6:$A$254,'Q2 TB-19'!A32,'Raw Data 04-30-2019'!C$6:C$254)</f>
        <v>1015.31</v>
      </c>
      <c r="D32" s="4"/>
      <c r="E32" s="3">
        <f>SUMIF('Raw Data 04-30-2019'!$A$6:$A$254,'Q2 TB-19'!A32,'Raw Data 04-30-2019'!D$6:D$254)</f>
        <v>0</v>
      </c>
      <c r="F32" s="3"/>
      <c r="G32" s="3">
        <f t="shared" si="0"/>
        <v>1015.31</v>
      </c>
      <c r="H32" s="53" t="s">
        <v>173</v>
      </c>
      <c r="J32" s="19"/>
    </row>
    <row r="33" spans="1:10" x14ac:dyDescent="0.75">
      <c r="A33" s="12">
        <v>1781</v>
      </c>
      <c r="B33" s="13" t="s">
        <v>482</v>
      </c>
      <c r="C33" s="3">
        <f>SUMIF('Raw Data 04-30-2019'!$A$6:$A$254,'Q2 TB-19'!A33,'Raw Data 04-30-2019'!C$6:C$254)</f>
        <v>0</v>
      </c>
      <c r="D33" s="4"/>
      <c r="E33" s="3">
        <f>SUMIF('Raw Data 04-30-2019'!$A$6:$A$254,'Q2 TB-19'!A33,'Raw Data 04-30-2019'!D$6:D$254)</f>
        <v>33286.51</v>
      </c>
      <c r="F33" s="3"/>
      <c r="G33" s="3">
        <f t="shared" si="0"/>
        <v>-33286.51</v>
      </c>
      <c r="H33" s="53" t="s">
        <v>173</v>
      </c>
      <c r="J33" s="19"/>
    </row>
    <row r="34" spans="1:10" x14ac:dyDescent="0.75">
      <c r="A34" s="12">
        <v>1782</v>
      </c>
      <c r="B34" s="13" t="s">
        <v>473</v>
      </c>
      <c r="C34" s="3">
        <f>SUMIF('Raw Data 04-30-2019'!$A$6:$A$254,'Q2 TB-19'!A34,'Raw Data 04-30-2019'!C$6:C$254)</f>
        <v>0</v>
      </c>
      <c r="D34" s="4"/>
      <c r="E34" s="3">
        <f>SUMIF('Raw Data 04-30-2019'!$A$6:$A$254,'Q2 TB-19'!A34,'Raw Data 04-30-2019'!D$6:D$254)</f>
        <v>0</v>
      </c>
      <c r="F34" s="3"/>
      <c r="G34" s="3">
        <f t="shared" si="0"/>
        <v>0</v>
      </c>
      <c r="H34" s="53" t="s">
        <v>173</v>
      </c>
      <c r="J34" s="19"/>
    </row>
    <row r="35" spans="1:10" x14ac:dyDescent="0.75">
      <c r="A35" s="12">
        <v>1783</v>
      </c>
      <c r="B35" s="13" t="s">
        <v>474</v>
      </c>
      <c r="C35" s="3">
        <f>SUMIF('Raw Data 04-30-2019'!$A$6:$A$254,'Q2 TB-19'!A35,'Raw Data 04-30-2019'!C$6:C$254)</f>
        <v>0</v>
      </c>
      <c r="D35" s="4"/>
      <c r="E35" s="3">
        <f>SUMIF('Raw Data 04-30-2019'!$A$6:$A$254,'Q2 TB-19'!A35,'Raw Data 04-30-2019'!D$6:D$254)</f>
        <v>328.13</v>
      </c>
      <c r="F35" s="3"/>
      <c r="G35" s="3">
        <f t="shared" si="0"/>
        <v>-328.13</v>
      </c>
      <c r="H35" s="53" t="s">
        <v>173</v>
      </c>
      <c r="J35" s="19"/>
    </row>
    <row r="36" spans="1:10" x14ac:dyDescent="0.75">
      <c r="A36" s="12">
        <v>1784</v>
      </c>
      <c r="B36" s="13" t="s">
        <v>486</v>
      </c>
      <c r="C36" s="3">
        <f>SUMIF('Raw Data 04-30-2019'!$A$6:$A$254,'Q2 TB-19'!A36,'Raw Data 04-30-2019'!C$6:C$254)</f>
        <v>0</v>
      </c>
      <c r="D36" s="4"/>
      <c r="E36" s="3">
        <f>SUMIF('Raw Data 04-30-2019'!$A$6:$A$254,'Q2 TB-19'!A36,'Raw Data 04-30-2019'!D$6:D$254)</f>
        <v>192.14</v>
      </c>
      <c r="F36" s="3"/>
      <c r="G36" s="3">
        <f t="shared" si="0"/>
        <v>-192.14</v>
      </c>
      <c r="H36" s="53" t="s">
        <v>173</v>
      </c>
      <c r="J36" s="19"/>
    </row>
    <row r="37" spans="1:10" x14ac:dyDescent="0.75">
      <c r="A37" s="12">
        <v>1785</v>
      </c>
      <c r="B37" s="13" t="s">
        <v>476</v>
      </c>
      <c r="C37" s="3">
        <f>SUMIF('Raw Data 04-30-2019'!$A$6:$A$254,'Q2 TB-19'!A37,'Raw Data 04-30-2019'!C$6:C$254)</f>
        <v>0</v>
      </c>
      <c r="D37" s="4"/>
      <c r="E37" s="3">
        <f>SUMIF('Raw Data 04-30-2019'!$A$6:$A$254,'Q2 TB-19'!A37,'Raw Data 04-30-2019'!D$6:D$254)</f>
        <v>3743.34</v>
      </c>
      <c r="F37" s="3"/>
      <c r="G37" s="3">
        <f t="shared" si="0"/>
        <v>-3743.34</v>
      </c>
      <c r="H37" s="53" t="s">
        <v>173</v>
      </c>
      <c r="J37" s="19"/>
    </row>
    <row r="38" spans="1:10" x14ac:dyDescent="0.75">
      <c r="A38" s="12">
        <v>1786</v>
      </c>
      <c r="B38" s="13" t="s">
        <v>475</v>
      </c>
      <c r="C38" s="3">
        <f>SUMIF('Raw Data 04-30-2019'!$A$6:$A$254,'Q2 TB-19'!A38,'Raw Data 04-30-2019'!C$6:C$254)</f>
        <v>0</v>
      </c>
      <c r="D38" s="4"/>
      <c r="E38" s="3">
        <f>SUMIF('Raw Data 04-30-2019'!$A$6:$A$254,'Q2 TB-19'!A38,'Raw Data 04-30-2019'!D$6:D$254)</f>
        <v>0</v>
      </c>
      <c r="F38" s="3"/>
      <c r="G38" s="3">
        <f t="shared" si="0"/>
        <v>0</v>
      </c>
      <c r="H38" s="53" t="s">
        <v>173</v>
      </c>
      <c r="J38" s="19"/>
    </row>
    <row r="39" spans="1:10" x14ac:dyDescent="0.75">
      <c r="A39" s="12">
        <v>1787</v>
      </c>
      <c r="B39" s="13" t="s">
        <v>477</v>
      </c>
      <c r="C39" s="3">
        <f>SUMIF('Raw Data 04-30-2019'!$A$6:$A$254,'Q2 TB-19'!A39,'Raw Data 04-30-2019'!C$6:C$254)</f>
        <v>0</v>
      </c>
      <c r="D39" s="4"/>
      <c r="E39" s="3">
        <f>SUMIF('Raw Data 04-30-2019'!$A$6:$A$254,'Q2 TB-19'!A39,'Raw Data 04-30-2019'!D$6:D$254)</f>
        <v>160458.46</v>
      </c>
      <c r="F39" s="3"/>
      <c r="G39" s="3">
        <f t="shared" si="0"/>
        <v>-160458.46</v>
      </c>
      <c r="H39" s="53" t="s">
        <v>173</v>
      </c>
      <c r="J39" s="19"/>
    </row>
    <row r="40" spans="1:10" x14ac:dyDescent="0.75">
      <c r="A40" s="12" t="s">
        <v>863</v>
      </c>
      <c r="B40" s="13" t="s">
        <v>864</v>
      </c>
      <c r="C40" s="3">
        <f>SUMIF('Raw Data 04-30-2019'!$A$6:$A$254,'Q2 TB-19'!A40,'Raw Data 04-30-2019'!C$6:C$254)</f>
        <v>0</v>
      </c>
      <c r="D40" s="4"/>
      <c r="E40" s="3">
        <f>SUMIF('Raw Data 04-30-2019'!$A$6:$A$254,'Q2 TB-19'!A40,'Raw Data 04-30-2019'!D$6:D$254)</f>
        <v>10394.01</v>
      </c>
      <c r="F40" s="3"/>
      <c r="G40" s="3">
        <f t="shared" si="0"/>
        <v>-10394.01</v>
      </c>
      <c r="H40" s="53" t="s">
        <v>173</v>
      </c>
      <c r="J40" s="19"/>
    </row>
    <row r="41" spans="1:10" x14ac:dyDescent="0.75">
      <c r="A41" s="12">
        <v>1789</v>
      </c>
      <c r="B41" s="13" t="s">
        <v>478</v>
      </c>
      <c r="C41" s="3">
        <f>SUMIF('Raw Data 04-30-2019'!$A$6:$A$254,'Q2 TB-19'!A41,'Raw Data 04-30-2019'!C$6:C$254)</f>
        <v>0</v>
      </c>
      <c r="D41" s="4"/>
      <c r="E41" s="3">
        <f>SUMIF('Raw Data 04-30-2019'!$A$6:$A$254,'Q2 TB-19'!A41,'Raw Data 04-30-2019'!D$6:D$254)</f>
        <v>787.91</v>
      </c>
      <c r="F41" s="3"/>
      <c r="G41" s="3">
        <f t="shared" si="0"/>
        <v>-787.91</v>
      </c>
      <c r="H41" s="53" t="s">
        <v>173</v>
      </c>
      <c r="J41" s="19"/>
    </row>
    <row r="42" spans="1:10" x14ac:dyDescent="0.75">
      <c r="A42" s="12">
        <v>1790</v>
      </c>
      <c r="B42" s="13" t="s">
        <v>479</v>
      </c>
      <c r="C42" s="3">
        <f>SUMIF('Raw Data 04-30-2019'!$A$6:$A$254,'Q2 TB-19'!A42,'Raw Data 04-30-2019'!C$6:C$254)</f>
        <v>0</v>
      </c>
      <c r="D42" s="4"/>
      <c r="E42" s="3">
        <f>SUMIF('Raw Data 04-30-2019'!$A$6:$A$254,'Q2 TB-19'!A42,'Raw Data 04-30-2019'!D$6:D$254)</f>
        <v>1015.31</v>
      </c>
      <c r="F42" s="3"/>
      <c r="G42" s="3">
        <f t="shared" si="0"/>
        <v>-1015.31</v>
      </c>
      <c r="H42" s="53" t="s">
        <v>173</v>
      </c>
      <c r="J42" s="19"/>
    </row>
    <row r="43" spans="1:10" x14ac:dyDescent="0.75">
      <c r="A43" s="12">
        <v>1791</v>
      </c>
      <c r="B43" s="13" t="s">
        <v>480</v>
      </c>
      <c r="C43" s="3">
        <f>SUMIF('Raw Data 04-30-2019'!$A$6:$A$254,'Q2 TB-19'!A43,'Raw Data 04-30-2019'!C$6:C$254)</f>
        <v>0</v>
      </c>
      <c r="D43" s="4"/>
      <c r="E43" s="3">
        <f>SUMIF('Raw Data 04-30-2019'!$A$6:$A$254,'Q2 TB-19'!A43,'Raw Data 04-30-2019'!D$6:D$254)</f>
        <v>19474.53</v>
      </c>
      <c r="F43" s="3"/>
      <c r="G43" s="3">
        <f t="shared" si="0"/>
        <v>-19474.53</v>
      </c>
      <c r="H43" s="53" t="s">
        <v>173</v>
      </c>
      <c r="J43" s="19"/>
    </row>
    <row r="44" spans="1:10" s="85" customFormat="1" x14ac:dyDescent="0.75">
      <c r="A44" s="12" t="s">
        <v>67</v>
      </c>
      <c r="B44" s="13" t="s">
        <v>921</v>
      </c>
      <c r="C44" s="3">
        <f>SUMIF('Raw Data 04-30-2019'!$A$6:$A$254,'Q2 TB-19'!A44,'Raw Data 04-30-2019'!C$6:C$254)</f>
        <v>74007</v>
      </c>
      <c r="D44" s="4"/>
      <c r="E44" s="3">
        <f>SUMIF('Raw Data 04-30-2019'!$A$6:$A$254,'Q2 TB-19'!A44,'Raw Data 04-30-2019'!D$6:D$254)</f>
        <v>0</v>
      </c>
      <c r="F44" s="3"/>
      <c r="G44" s="3">
        <f t="shared" ref="G44" si="2">C44-E44</f>
        <v>74007</v>
      </c>
      <c r="H44" s="85" t="s">
        <v>922</v>
      </c>
      <c r="J44" s="19"/>
    </row>
    <row r="45" spans="1:10" x14ac:dyDescent="0.75">
      <c r="A45" s="12">
        <v>1820</v>
      </c>
      <c r="B45" s="13" t="s">
        <v>495</v>
      </c>
      <c r="C45" s="3">
        <f>SUMIF('Raw Data 04-30-2019'!$A$6:$A$254,'Q2 TB-19'!A45,'Raw Data 04-30-2019'!C$6:C$254)</f>
        <v>0</v>
      </c>
      <c r="D45" s="4"/>
      <c r="E45" s="3">
        <f>SUMIF('Raw Data 04-30-2019'!$A$6:$A$254,'Q2 TB-19'!A45,'Raw Data 04-30-2019'!D$6:D$254)</f>
        <v>0</v>
      </c>
      <c r="F45" s="3"/>
      <c r="G45" s="3">
        <f t="shared" si="0"/>
        <v>0</v>
      </c>
      <c r="H45" s="53" t="s">
        <v>444</v>
      </c>
      <c r="J45" s="19"/>
    </row>
    <row r="46" spans="1:10" x14ac:dyDescent="0.75">
      <c r="A46" s="12">
        <v>1830</v>
      </c>
      <c r="B46" s="13" t="s">
        <v>496</v>
      </c>
      <c r="C46" s="3">
        <f>SUMIF('Raw Data 04-30-2019'!$A$6:$A$254,'Q2 TB-19'!A46,'Raw Data 04-30-2019'!C$6:C$254)</f>
        <v>0</v>
      </c>
      <c r="D46" s="4"/>
      <c r="E46" s="3">
        <f>SUMIF('Raw Data 04-30-2019'!$A$6:$A$254,'Q2 TB-19'!A46,'Raw Data 04-30-2019'!D$6:D$254)</f>
        <v>0</v>
      </c>
      <c r="F46" s="3"/>
      <c r="G46" s="3">
        <f t="shared" si="0"/>
        <v>0</v>
      </c>
      <c r="H46" s="53" t="s">
        <v>444</v>
      </c>
      <c r="J46" s="19"/>
    </row>
    <row r="47" spans="1:10" x14ac:dyDescent="0.75">
      <c r="A47" s="12">
        <v>1840</v>
      </c>
      <c r="B47" s="13" t="s">
        <v>497</v>
      </c>
      <c r="C47" s="3">
        <f>SUMIF('Raw Data 04-30-2019'!$A$6:$A$254,'Q2 TB-19'!A47,'Raw Data 04-30-2019'!C$6:C$254)</f>
        <v>0</v>
      </c>
      <c r="D47" s="4"/>
      <c r="E47" s="3">
        <f>SUMIF('Raw Data 04-30-2019'!$A$6:$A$254,'Q2 TB-19'!A47,'Raw Data 04-30-2019'!D$6:D$254)</f>
        <v>0</v>
      </c>
      <c r="F47" s="3"/>
      <c r="G47" s="3">
        <f t="shared" si="0"/>
        <v>0</v>
      </c>
      <c r="H47" s="53" t="s">
        <v>444</v>
      </c>
      <c r="J47" s="19"/>
    </row>
    <row r="48" spans="1:10" x14ac:dyDescent="0.75">
      <c r="A48" s="12">
        <v>1900</v>
      </c>
      <c r="B48" s="13" t="s">
        <v>498</v>
      </c>
      <c r="C48" s="3">
        <f>SUMIF('Raw Data 04-30-2019'!$A$6:$A$254,'Q2 TB-19'!A48,'Raw Data 04-30-2019'!C$6:C$254)</f>
        <v>5980</v>
      </c>
      <c r="D48" s="4"/>
      <c r="E48" s="3">
        <f>SUMIF('Raw Data 04-30-2019'!$A$6:$A$254,'Q2 TB-19'!A48,'Raw Data 04-30-2019'!D$6:D$254)</f>
        <v>0</v>
      </c>
      <c r="F48" s="3"/>
      <c r="G48" s="3">
        <f t="shared" si="0"/>
        <v>5980</v>
      </c>
      <c r="H48" s="53" t="s">
        <v>176</v>
      </c>
      <c r="J48" s="19"/>
    </row>
    <row r="49" spans="1:10" x14ac:dyDescent="0.75">
      <c r="A49" s="12">
        <v>1902</v>
      </c>
      <c r="B49" s="13" t="s">
        <v>499</v>
      </c>
      <c r="C49" s="3">
        <f>SUMIF('Raw Data 04-30-2019'!$A$6:$A$254,'Q2 TB-19'!A49,'Raw Data 04-30-2019'!C$6:C$254)</f>
        <v>3245</v>
      </c>
      <c r="D49" s="4"/>
      <c r="E49" s="3">
        <f>SUMIF('Raw Data 04-30-2019'!$A$6:$A$254,'Q2 TB-19'!A49,'Raw Data 04-30-2019'!D$6:D$254)</f>
        <v>0</v>
      </c>
      <c r="F49" s="3"/>
      <c r="G49" s="3">
        <f t="shared" si="0"/>
        <v>3245</v>
      </c>
      <c r="H49" s="53" t="s">
        <v>176</v>
      </c>
      <c r="J49" s="19"/>
    </row>
    <row r="50" spans="1:10" x14ac:dyDescent="0.75">
      <c r="A50" s="12">
        <v>1904</v>
      </c>
      <c r="B50" s="13" t="s">
        <v>500</v>
      </c>
      <c r="C50" s="3">
        <f>SUMIF('Raw Data 04-30-2019'!$A$6:$A$254,'Q2 TB-19'!A50,'Raw Data 04-30-2019'!C$6:C$254)</f>
        <v>0</v>
      </c>
      <c r="D50" s="4"/>
      <c r="E50" s="3">
        <f>SUMIF('Raw Data 04-30-2019'!$A$6:$A$254,'Q2 TB-19'!A50,'Raw Data 04-30-2019'!D$6:D$254)</f>
        <v>0</v>
      </c>
      <c r="F50" s="3"/>
      <c r="G50" s="3">
        <f t="shared" si="0"/>
        <v>0</v>
      </c>
      <c r="H50" s="53" t="s">
        <v>176</v>
      </c>
      <c r="J50" s="19"/>
    </row>
    <row r="51" spans="1:10" x14ac:dyDescent="0.75">
      <c r="A51" s="12">
        <v>1906</v>
      </c>
      <c r="B51" s="13" t="s">
        <v>501</v>
      </c>
      <c r="C51" s="3">
        <f>SUMIF('Raw Data 04-30-2019'!$A$6:$A$254,'Q2 TB-19'!A51,'Raw Data 04-30-2019'!C$6:C$254)</f>
        <v>0</v>
      </c>
      <c r="D51" s="4"/>
      <c r="E51" s="3">
        <f>SUMIF('Raw Data 04-30-2019'!$A$6:$A$254,'Q2 TB-19'!A51,'Raw Data 04-30-2019'!D$6:D$254)</f>
        <v>0</v>
      </c>
      <c r="F51" s="3"/>
      <c r="G51" s="3">
        <f t="shared" si="0"/>
        <v>0</v>
      </c>
      <c r="H51" s="53" t="s">
        <v>176</v>
      </c>
      <c r="J51" s="19"/>
    </row>
    <row r="52" spans="1:10" x14ac:dyDescent="0.75">
      <c r="A52" s="12">
        <v>1908</v>
      </c>
      <c r="B52" s="13" t="s">
        <v>502</v>
      </c>
      <c r="C52" s="3">
        <f>SUMIF('Raw Data 04-30-2019'!$A$6:$A$254,'Q2 TB-19'!A52,'Raw Data 04-30-2019'!C$6:C$254)</f>
        <v>0</v>
      </c>
      <c r="D52" s="4"/>
      <c r="E52" s="3">
        <f>SUMIF('Raw Data 04-30-2019'!$A$6:$A$254,'Q2 TB-19'!A52,'Raw Data 04-30-2019'!D$6:D$254)</f>
        <v>0</v>
      </c>
      <c r="F52" s="3"/>
      <c r="G52" s="3">
        <f t="shared" si="0"/>
        <v>0</v>
      </c>
      <c r="H52" s="53" t="s">
        <v>176</v>
      </c>
      <c r="J52" s="19"/>
    </row>
    <row r="53" spans="1:10" x14ac:dyDescent="0.75">
      <c r="A53" s="12">
        <v>1910</v>
      </c>
      <c r="B53" s="13" t="s">
        <v>503</v>
      </c>
      <c r="C53" s="3">
        <f>SUMIF('Raw Data 04-30-2019'!$A$6:$A$254,'Q2 TB-19'!A53,'Raw Data 04-30-2019'!C$6:C$254)</f>
        <v>2500</v>
      </c>
      <c r="D53" s="4"/>
      <c r="E53" s="3">
        <f>SUMIF('Raw Data 04-30-2019'!$A$6:$A$254,'Q2 TB-19'!A53,'Raw Data 04-30-2019'!D$6:D$254)</f>
        <v>0</v>
      </c>
      <c r="F53" s="3"/>
      <c r="G53" s="3">
        <f t="shared" si="0"/>
        <v>2500</v>
      </c>
      <c r="H53" s="53" t="s">
        <v>176</v>
      </c>
      <c r="J53" s="19"/>
    </row>
    <row r="54" spans="1:10" x14ac:dyDescent="0.75">
      <c r="A54" s="12">
        <v>1912</v>
      </c>
      <c r="B54" s="13" t="s">
        <v>504</v>
      </c>
      <c r="C54" s="3">
        <f>SUMIF('Raw Data 04-30-2019'!$A$6:$A$254,'Q2 TB-19'!A54,'Raw Data 04-30-2019'!C$6:C$254)</f>
        <v>0</v>
      </c>
      <c r="D54" s="4"/>
      <c r="E54" s="3">
        <f>SUMIF('Raw Data 04-30-2019'!$A$6:$A$254,'Q2 TB-19'!A54,'Raw Data 04-30-2019'!D$6:D$254)</f>
        <v>0</v>
      </c>
      <c r="F54" s="3"/>
      <c r="G54" s="3">
        <f t="shared" si="0"/>
        <v>0</v>
      </c>
      <c r="H54" s="53" t="s">
        <v>176</v>
      </c>
      <c r="J54" s="19"/>
    </row>
    <row r="55" spans="1:10" x14ac:dyDescent="0.75">
      <c r="A55" s="12">
        <v>1914</v>
      </c>
      <c r="B55" s="13" t="s">
        <v>505</v>
      </c>
      <c r="C55" s="3">
        <f>SUMIF('Raw Data 04-30-2019'!$A$6:$A$254,'Q2 TB-19'!A55,'Raw Data 04-30-2019'!C$6:C$254)</f>
        <v>0</v>
      </c>
      <c r="D55" s="4"/>
      <c r="E55" s="3">
        <f>SUMIF('Raw Data 04-30-2019'!$A$6:$A$254,'Q2 TB-19'!A55,'Raw Data 04-30-2019'!D$6:D$254)</f>
        <v>0</v>
      </c>
      <c r="F55" s="3"/>
      <c r="G55" s="3">
        <f t="shared" si="0"/>
        <v>0</v>
      </c>
      <c r="H55" s="53" t="s">
        <v>176</v>
      </c>
      <c r="J55" s="19"/>
    </row>
    <row r="56" spans="1:10" x14ac:dyDescent="0.75">
      <c r="A56" s="12">
        <v>1916</v>
      </c>
      <c r="B56" s="13" t="s">
        <v>506</v>
      </c>
      <c r="C56" s="3">
        <f>SUMIF('Raw Data 04-30-2019'!$A$6:$A$254,'Q2 TB-19'!A56,'Raw Data 04-30-2019'!C$6:C$254)</f>
        <v>0</v>
      </c>
      <c r="D56" s="4"/>
      <c r="E56" s="3">
        <f>SUMIF('Raw Data 04-30-2019'!$A$6:$A$254,'Q2 TB-19'!A56,'Raw Data 04-30-2019'!D$6:D$254)</f>
        <v>0</v>
      </c>
      <c r="F56" s="3"/>
      <c r="G56" s="3">
        <f t="shared" si="0"/>
        <v>0</v>
      </c>
      <c r="H56" s="53" t="s">
        <v>176</v>
      </c>
      <c r="J56" s="19"/>
    </row>
    <row r="57" spans="1:10" x14ac:dyDescent="0.75">
      <c r="A57" s="12">
        <v>1918</v>
      </c>
      <c r="B57" s="13" t="s">
        <v>507</v>
      </c>
      <c r="C57" s="3">
        <f>SUMIF('Raw Data 04-30-2019'!$A$6:$A$254,'Q2 TB-19'!A57,'Raw Data 04-30-2019'!C$6:C$254)</f>
        <v>0</v>
      </c>
      <c r="D57" s="4"/>
      <c r="E57" s="3">
        <f>SUMIF('Raw Data 04-30-2019'!$A$6:$A$254,'Q2 TB-19'!A57,'Raw Data 04-30-2019'!D$6:D$254)</f>
        <v>0</v>
      </c>
      <c r="F57" s="3"/>
      <c r="G57" s="3">
        <f t="shared" si="0"/>
        <v>0</v>
      </c>
      <c r="H57" s="53" t="s">
        <v>176</v>
      </c>
      <c r="J57" s="19"/>
    </row>
    <row r="58" spans="1:10" x14ac:dyDescent="0.75">
      <c r="A58" s="12">
        <v>1920</v>
      </c>
      <c r="B58" s="13" t="s">
        <v>508</v>
      </c>
      <c r="C58" s="3">
        <f>SUMIF('Raw Data 04-30-2019'!$A$6:$A$254,'Q2 TB-19'!A58,'Raw Data 04-30-2019'!C$6:C$254)</f>
        <v>0</v>
      </c>
      <c r="D58" s="4"/>
      <c r="E58" s="3">
        <f>SUMIF('Raw Data 04-30-2019'!$A$6:$A$254,'Q2 TB-19'!A58,'Raw Data 04-30-2019'!D$6:D$254)</f>
        <v>0</v>
      </c>
      <c r="F58" s="3"/>
      <c r="G58" s="3">
        <f t="shared" si="0"/>
        <v>0</v>
      </c>
      <c r="H58" s="53" t="s">
        <v>176</v>
      </c>
      <c r="J58" s="19"/>
    </row>
    <row r="59" spans="1:10" x14ac:dyDescent="0.75">
      <c r="A59" s="12">
        <v>1922</v>
      </c>
      <c r="B59" s="13" t="s">
        <v>509</v>
      </c>
      <c r="C59" s="3">
        <f>SUMIF('Raw Data 04-30-2019'!$A$6:$A$254,'Q2 TB-19'!A59,'Raw Data 04-30-2019'!C$6:C$254)</f>
        <v>0</v>
      </c>
      <c r="D59" s="4"/>
      <c r="E59" s="3">
        <f>SUMIF('Raw Data 04-30-2019'!$A$6:$A$254,'Q2 TB-19'!A59,'Raw Data 04-30-2019'!D$6:D$254)</f>
        <v>0</v>
      </c>
      <c r="F59" s="3"/>
      <c r="G59" s="3">
        <f t="shared" si="0"/>
        <v>0</v>
      </c>
      <c r="H59" s="53" t="s">
        <v>176</v>
      </c>
      <c r="J59" s="19"/>
    </row>
    <row r="60" spans="1:10" x14ac:dyDescent="0.75">
      <c r="A60" s="12">
        <v>1924</v>
      </c>
      <c r="B60" s="13" t="s">
        <v>510</v>
      </c>
      <c r="C60" s="3">
        <f>SUMIF('Raw Data 04-30-2019'!$A$6:$A$254,'Q2 TB-19'!A60,'Raw Data 04-30-2019'!C$6:C$254)</f>
        <v>16253.59</v>
      </c>
      <c r="D60" s="4"/>
      <c r="E60" s="3">
        <f>SUMIF('Raw Data 04-30-2019'!$A$6:$A$254,'Q2 TB-19'!A60,'Raw Data 04-30-2019'!D$6:D$254)</f>
        <v>0</v>
      </c>
      <c r="F60" s="3"/>
      <c r="G60" s="3">
        <f t="shared" si="0"/>
        <v>16253.59</v>
      </c>
      <c r="H60" s="53" t="s">
        <v>176</v>
      </c>
      <c r="J60" s="19"/>
    </row>
    <row r="61" spans="1:10" x14ac:dyDescent="0.75">
      <c r="A61" s="12">
        <v>1926</v>
      </c>
      <c r="B61" s="13" t="s">
        <v>511</v>
      </c>
      <c r="C61" s="3">
        <f>SUMIF('Raw Data 04-30-2019'!$A$6:$A$254,'Q2 TB-19'!A61,'Raw Data 04-30-2019'!C$6:C$254)</f>
        <v>0</v>
      </c>
      <c r="D61" s="4"/>
      <c r="E61" s="3">
        <f>SUMIF('Raw Data 04-30-2019'!$A$6:$A$254,'Q2 TB-19'!A61,'Raw Data 04-30-2019'!D$6:D$254)</f>
        <v>0</v>
      </c>
      <c r="F61" s="3"/>
      <c r="G61" s="3">
        <f t="shared" si="0"/>
        <v>0</v>
      </c>
      <c r="H61" s="53" t="s">
        <v>176</v>
      </c>
      <c r="J61" s="19"/>
    </row>
    <row r="62" spans="1:10" x14ac:dyDescent="0.75">
      <c r="A62" s="12">
        <v>1928</v>
      </c>
      <c r="B62" s="13" t="s">
        <v>512</v>
      </c>
      <c r="C62" s="3">
        <f>SUMIF('Raw Data 04-30-2019'!$A$6:$A$254,'Q2 TB-19'!A62,'Raw Data 04-30-2019'!C$6:C$254)</f>
        <v>43132.88</v>
      </c>
      <c r="D62" s="4"/>
      <c r="E62" s="3">
        <f>SUMIF('Raw Data 04-30-2019'!$A$6:$A$254,'Q2 TB-19'!A62,'Raw Data 04-30-2019'!D$6:D$254)</f>
        <v>0</v>
      </c>
      <c r="F62" s="3"/>
      <c r="G62" s="3">
        <f t="shared" si="0"/>
        <v>43132.88</v>
      </c>
      <c r="H62" s="53" t="s">
        <v>176</v>
      </c>
      <c r="J62" s="19"/>
    </row>
    <row r="63" spans="1:10" x14ac:dyDescent="0.75">
      <c r="A63" s="12">
        <v>1930</v>
      </c>
      <c r="B63" s="13" t="s">
        <v>513</v>
      </c>
      <c r="C63" s="3">
        <f>SUMIF('Raw Data 04-30-2019'!$A$6:$A$254,'Q2 TB-19'!A63,'Raw Data 04-30-2019'!C$6:C$254)</f>
        <v>0</v>
      </c>
      <c r="D63" s="4"/>
      <c r="E63" s="3">
        <f>SUMIF('Raw Data 04-30-2019'!$A$6:$A$254,'Q2 TB-19'!A63,'Raw Data 04-30-2019'!D$6:D$254)</f>
        <v>0</v>
      </c>
      <c r="F63" s="3"/>
      <c r="G63" s="3">
        <f t="shared" si="0"/>
        <v>0</v>
      </c>
      <c r="H63" s="53" t="s">
        <v>176</v>
      </c>
      <c r="J63" s="19"/>
    </row>
    <row r="64" spans="1:10" x14ac:dyDescent="0.75">
      <c r="A64" s="12">
        <v>1932</v>
      </c>
      <c r="B64" s="13" t="s">
        <v>514</v>
      </c>
      <c r="C64" s="3">
        <f>SUMIF('Raw Data 04-30-2019'!$A$6:$A$254,'Q2 TB-19'!A64,'Raw Data 04-30-2019'!C$6:C$254)</f>
        <v>0</v>
      </c>
      <c r="D64" s="4"/>
      <c r="E64" s="3">
        <f>SUMIF('Raw Data 04-30-2019'!$A$6:$A$254,'Q2 TB-19'!A64,'Raw Data 04-30-2019'!D$6:D$254)</f>
        <v>0</v>
      </c>
      <c r="F64" s="3"/>
      <c r="G64" s="3">
        <f t="shared" si="0"/>
        <v>0</v>
      </c>
      <c r="H64" s="53" t="s">
        <v>176</v>
      </c>
      <c r="J64" s="19"/>
    </row>
    <row r="65" spans="1:10" x14ac:dyDescent="0.75">
      <c r="A65" s="12">
        <v>1950</v>
      </c>
      <c r="B65" s="13" t="s">
        <v>494</v>
      </c>
      <c r="C65" s="3">
        <f>SUMIF('Raw Data 04-30-2019'!$A$6:$A$254,'Q2 TB-19'!A65,'Raw Data 04-30-2019'!C$6:C$254)</f>
        <v>0</v>
      </c>
      <c r="D65" s="4"/>
      <c r="E65" s="3">
        <f>SUMIF('Raw Data 04-30-2019'!$A$6:$A$254,'Q2 TB-19'!A65,'Raw Data 04-30-2019'!D$6:D$254)</f>
        <v>37797.089999999997</v>
      </c>
      <c r="F65" s="3"/>
      <c r="G65" s="3">
        <f t="shared" si="0"/>
        <v>-37797.089999999997</v>
      </c>
      <c r="H65" s="53" t="s">
        <v>176</v>
      </c>
      <c r="J65" s="19"/>
    </row>
    <row r="66" spans="1:10" x14ac:dyDescent="0.75">
      <c r="A66" s="12">
        <v>1960</v>
      </c>
      <c r="B66" s="13" t="s">
        <v>515</v>
      </c>
      <c r="C66" s="3">
        <f>SUMIF('Raw Data 04-30-2019'!$A$6:$A$254,'Q2 TB-19'!A66,'Raw Data 04-30-2019'!C$6:C$254)</f>
        <v>0</v>
      </c>
      <c r="D66" s="4"/>
      <c r="E66" s="3">
        <f>SUMIF('Raw Data 04-30-2019'!$A$6:$A$254,'Q2 TB-19'!A66,'Raw Data 04-30-2019'!D$6:D$254)</f>
        <v>0</v>
      </c>
      <c r="F66" s="3"/>
      <c r="G66" s="3">
        <f t="shared" si="0"/>
        <v>0</v>
      </c>
      <c r="H66" s="53" t="s">
        <v>444</v>
      </c>
      <c r="J66" s="19"/>
    </row>
    <row r="67" spans="1:10" x14ac:dyDescent="0.75">
      <c r="A67" s="12">
        <v>1980</v>
      </c>
      <c r="B67" s="13" t="s">
        <v>516</v>
      </c>
      <c r="C67" s="3">
        <f>SUMIF('Raw Data 04-30-2019'!$A$6:$A$254,'Q2 TB-19'!A67,'Raw Data 04-30-2019'!C$6:C$254)</f>
        <v>0</v>
      </c>
      <c r="D67" s="4"/>
      <c r="E67" s="3">
        <f>SUMIF('Raw Data 04-30-2019'!$A$6:$A$254,'Q2 TB-19'!A67,'Raw Data 04-30-2019'!D$6:D$254)</f>
        <v>0</v>
      </c>
      <c r="F67" s="3"/>
      <c r="G67" s="3">
        <f t="shared" si="0"/>
        <v>0</v>
      </c>
      <c r="H67" s="53" t="s">
        <v>444</v>
      </c>
      <c r="J67" s="19"/>
    </row>
    <row r="68" spans="1:10" x14ac:dyDescent="0.75">
      <c r="A68" s="12">
        <v>2000</v>
      </c>
      <c r="B68" s="13" t="s">
        <v>517</v>
      </c>
      <c r="C68" s="3">
        <f>SUMIF('Raw Data 04-30-2019'!$A$6:$A$254,'Q2 TB-19'!A68,'Raw Data 04-30-2019'!C$6:C$254)</f>
        <v>0</v>
      </c>
      <c r="D68" s="4"/>
      <c r="E68" s="3">
        <f>SUMIF('Raw Data 04-30-2019'!$A$6:$A$254,'Q2 TB-19'!A68,'Raw Data 04-30-2019'!D$6:D$254)</f>
        <v>76633.41</v>
      </c>
      <c r="F68" s="3"/>
      <c r="G68" s="3">
        <f t="shared" si="0"/>
        <v>-76633.41</v>
      </c>
      <c r="H68" s="53" t="s">
        <v>177</v>
      </c>
      <c r="J68" s="19"/>
    </row>
    <row r="69" spans="1:10" x14ac:dyDescent="0.75">
      <c r="A69" s="12">
        <v>2010</v>
      </c>
      <c r="B69" s="13" t="s">
        <v>524</v>
      </c>
      <c r="C69" s="3">
        <f>SUMIF('Raw Data 04-30-2019'!$A$6:$A$254,'Q2 TB-19'!A69,'Raw Data 04-30-2019'!C$6:C$254)</f>
        <v>0</v>
      </c>
      <c r="D69" s="4"/>
      <c r="E69" s="3">
        <f>SUMIF('Raw Data 04-30-2019'!$A$6:$A$254,'Q2 TB-19'!A69,'Raw Data 04-30-2019'!D$6:D$254)</f>
        <v>0</v>
      </c>
      <c r="F69" s="3"/>
      <c r="G69" s="3">
        <f t="shared" si="0"/>
        <v>0</v>
      </c>
      <c r="H69" s="53" t="s">
        <v>177</v>
      </c>
      <c r="J69" s="19"/>
    </row>
    <row r="70" spans="1:10" x14ac:dyDescent="0.75">
      <c r="A70" s="12">
        <v>2020</v>
      </c>
      <c r="B70" s="13" t="s">
        <v>525</v>
      </c>
      <c r="C70" s="3">
        <f>SUMIF('Raw Data 04-30-2019'!$A$6:$A$254,'Q2 TB-19'!A70,'Raw Data 04-30-2019'!C$6:C$254)</f>
        <v>0</v>
      </c>
      <c r="D70" s="4"/>
      <c r="E70" s="3">
        <f>SUMIF('Raw Data 04-30-2019'!$A$6:$A$254,'Q2 TB-19'!A70,'Raw Data 04-30-2019'!D$6:D$254)</f>
        <v>0</v>
      </c>
      <c r="F70" s="3"/>
      <c r="G70" s="3">
        <f t="shared" si="0"/>
        <v>0</v>
      </c>
      <c r="H70" s="53" t="s">
        <v>177</v>
      </c>
      <c r="J70" s="19"/>
    </row>
    <row r="71" spans="1:10" x14ac:dyDescent="0.75">
      <c r="A71" s="12">
        <v>2101</v>
      </c>
      <c r="B71" s="13" t="s">
        <v>518</v>
      </c>
      <c r="C71" s="3">
        <f>SUMIF('Raw Data 04-30-2019'!$A$6:$A$254,'Q2 TB-19'!A71,'Raw Data 04-30-2019'!C$6:C$254)</f>
        <v>0</v>
      </c>
      <c r="D71" s="4"/>
      <c r="E71" s="3">
        <f>SUMIF('Raw Data 04-30-2019'!$A$6:$A$254,'Q2 TB-19'!A71,'Raw Data 04-30-2019'!D$6:D$254)</f>
        <v>1785.65</v>
      </c>
      <c r="F71" s="3"/>
      <c r="G71" s="3">
        <f t="shared" si="0"/>
        <v>-1785.65</v>
      </c>
      <c r="H71" s="53" t="s">
        <v>178</v>
      </c>
      <c r="J71" s="19"/>
    </row>
    <row r="72" spans="1:10" x14ac:dyDescent="0.75">
      <c r="A72" s="12">
        <v>2102</v>
      </c>
      <c r="B72" s="13" t="s">
        <v>519</v>
      </c>
      <c r="C72" s="3">
        <f>SUMIF('Raw Data 04-30-2019'!$A$6:$A$254,'Q2 TB-19'!A72,'Raw Data 04-30-2019'!C$6:C$254)</f>
        <v>0</v>
      </c>
      <c r="D72" s="4"/>
      <c r="E72" s="3">
        <f>SUMIF('Raw Data 04-30-2019'!$A$6:$A$254,'Q2 TB-19'!A72,'Raw Data 04-30-2019'!D$6:D$254)</f>
        <v>14131.86</v>
      </c>
      <c r="F72" s="3"/>
      <c r="G72" s="3">
        <f t="shared" si="0"/>
        <v>-14131.86</v>
      </c>
      <c r="H72" s="53" t="s">
        <v>178</v>
      </c>
      <c r="J72" s="19"/>
    </row>
    <row r="73" spans="1:10" x14ac:dyDescent="0.75">
      <c r="A73" s="12">
        <v>2103</v>
      </c>
      <c r="B73" s="13" t="s">
        <v>520</v>
      </c>
      <c r="C73" s="3">
        <f>SUMIF('Raw Data 04-30-2019'!$A$6:$A$254,'Q2 TB-19'!A73,'Raw Data 04-30-2019'!C$6:C$254)</f>
        <v>0</v>
      </c>
      <c r="D73" s="4"/>
      <c r="E73" s="3">
        <f>SUMIF('Raw Data 04-30-2019'!$A$6:$A$254,'Q2 TB-19'!A73,'Raw Data 04-30-2019'!D$6:D$254)</f>
        <v>8469.4</v>
      </c>
      <c r="F73" s="3"/>
      <c r="G73" s="3">
        <f t="shared" ref="G73:G141" si="3">C73-E73</f>
        <v>-8469.4</v>
      </c>
      <c r="H73" s="53" t="s">
        <v>178</v>
      </c>
      <c r="J73" s="19"/>
    </row>
    <row r="74" spans="1:10" x14ac:dyDescent="0.75">
      <c r="A74" s="12">
        <v>2104</v>
      </c>
      <c r="B74" s="13" t="s">
        <v>521</v>
      </c>
      <c r="C74" s="3">
        <f>SUMIF('Raw Data 04-30-2019'!$A$6:$A$254,'Q2 TB-19'!A74,'Raw Data 04-30-2019'!C$6:C$254)</f>
        <v>0</v>
      </c>
      <c r="D74" s="4"/>
      <c r="E74" s="3">
        <f>SUMIF('Raw Data 04-30-2019'!$A$6:$A$254,'Q2 TB-19'!A74,'Raw Data 04-30-2019'!D$6:D$254)</f>
        <v>9891.02</v>
      </c>
      <c r="F74" s="3"/>
      <c r="G74" s="3">
        <f t="shared" si="3"/>
        <v>-9891.02</v>
      </c>
      <c r="H74" s="53" t="s">
        <v>178</v>
      </c>
      <c r="J74" s="19"/>
    </row>
    <row r="75" spans="1:10" x14ac:dyDescent="0.75">
      <c r="A75" s="12">
        <v>2105</v>
      </c>
      <c r="B75" s="13" t="s">
        <v>522</v>
      </c>
      <c r="C75" s="3">
        <f>SUMIF('Raw Data 04-30-2019'!$A$6:$A$254,'Q2 TB-19'!A75,'Raw Data 04-30-2019'!C$6:C$254)</f>
        <v>0</v>
      </c>
      <c r="D75" s="4"/>
      <c r="E75" s="3">
        <f>SUMIF('Raw Data 04-30-2019'!$A$6:$A$254,'Q2 TB-19'!A75,'Raw Data 04-30-2019'!D$6:D$254)</f>
        <v>0</v>
      </c>
      <c r="F75" s="3"/>
      <c r="G75" s="3">
        <f t="shared" si="3"/>
        <v>0</v>
      </c>
      <c r="H75" s="53" t="s">
        <v>178</v>
      </c>
      <c r="J75" s="19"/>
    </row>
    <row r="76" spans="1:10" x14ac:dyDescent="0.75">
      <c r="A76" s="12">
        <v>2106</v>
      </c>
      <c r="B76" s="13" t="s">
        <v>546</v>
      </c>
      <c r="C76" s="3">
        <f>SUMIF('Raw Data 04-30-2019'!$A$6:$A$254,'Q2 TB-19'!A76,'Raw Data 04-30-2019'!C$6:C$254)</f>
        <v>0</v>
      </c>
      <c r="D76" s="4"/>
      <c r="E76" s="3">
        <f>SUMIF('Raw Data 04-30-2019'!$A$6:$A$254,'Q2 TB-19'!A76,'Raw Data 04-30-2019'!D$6:D$254)</f>
        <v>7738.94</v>
      </c>
      <c r="F76" s="3"/>
      <c r="G76" s="3">
        <f t="shared" si="3"/>
        <v>-7738.94</v>
      </c>
      <c r="H76" s="53" t="s">
        <v>178</v>
      </c>
      <c r="J76" s="19"/>
    </row>
    <row r="77" spans="1:10" x14ac:dyDescent="0.75">
      <c r="A77" s="12">
        <v>2210</v>
      </c>
      <c r="B77" s="13" t="s">
        <v>526</v>
      </c>
      <c r="C77" s="3">
        <f>SUMIF('Raw Data 04-30-2019'!$A$6:$A$254,'Q2 TB-19'!A77,'Raw Data 04-30-2019'!C$6:C$254)</f>
        <v>0</v>
      </c>
      <c r="D77" s="4"/>
      <c r="E77" s="3">
        <f>SUMIF('Raw Data 04-30-2019'!$A$6:$A$254,'Q2 TB-19'!A77,'Raw Data 04-30-2019'!D$6:D$254)</f>
        <v>609814.73</v>
      </c>
      <c r="F77" s="3"/>
      <c r="G77" s="3">
        <f t="shared" si="3"/>
        <v>-609814.73</v>
      </c>
      <c r="H77" s="53" t="s">
        <v>182</v>
      </c>
      <c r="J77" s="19"/>
    </row>
    <row r="78" spans="1:10" s="89" customFormat="1" x14ac:dyDescent="0.75">
      <c r="A78" s="12" t="s">
        <v>93</v>
      </c>
      <c r="B78" s="13" t="s">
        <v>1006</v>
      </c>
      <c r="C78" s="3">
        <f>SUMIF('Raw Data 04-30-2019'!$A$6:$A$254,'Q2 TB-19'!A78,'Raw Data 04-30-2019'!C$6:C$254)</f>
        <v>0</v>
      </c>
      <c r="D78" s="4"/>
      <c r="E78" s="3">
        <f>SUMIF('Raw Data 04-30-2019'!$A$6:$A$254,'Q2 TB-19'!A78,'Raw Data 04-30-2019'!D$6:D$254)</f>
        <v>0</v>
      </c>
      <c r="F78" s="3"/>
      <c r="G78" s="3">
        <f t="shared" ref="G78" si="4">C78-E78</f>
        <v>0</v>
      </c>
      <c r="H78" s="89" t="s">
        <v>178</v>
      </c>
      <c r="J78" s="19"/>
    </row>
    <row r="79" spans="1:10" x14ac:dyDescent="0.75">
      <c r="A79" s="12">
        <v>2231</v>
      </c>
      <c r="B79" s="13" t="s">
        <v>534</v>
      </c>
      <c r="C79" s="3">
        <f>SUMIF('Raw Data 04-30-2019'!$A$6:$A$254,'Q2 TB-19'!A79,'Raw Data 04-30-2019'!C$6:C$254)</f>
        <v>0</v>
      </c>
      <c r="D79" s="4"/>
      <c r="E79" s="3">
        <f>SUMIF('Raw Data 04-30-2019'!$A$6:$A$254,'Q2 TB-19'!A79,'Raw Data 04-30-2019'!D$6:D$254)</f>
        <v>0</v>
      </c>
      <c r="F79" s="3"/>
      <c r="G79" s="3">
        <f t="shared" si="3"/>
        <v>0</v>
      </c>
      <c r="H79" s="53" t="s">
        <v>178</v>
      </c>
      <c r="J79" s="19"/>
    </row>
    <row r="80" spans="1:10" x14ac:dyDescent="0.75">
      <c r="A80" s="12">
        <v>2232</v>
      </c>
      <c r="B80" s="13" t="s">
        <v>535</v>
      </c>
      <c r="C80" s="3">
        <f>SUMIF('Raw Data 04-30-2019'!$A$6:$A$254,'Q2 TB-19'!A80,'Raw Data 04-30-2019'!C$6:C$254)</f>
        <v>0</v>
      </c>
      <c r="D80" s="4"/>
      <c r="E80" s="3">
        <f>SUMIF('Raw Data 04-30-2019'!$A$6:$A$254,'Q2 TB-19'!A80,'Raw Data 04-30-2019'!D$6:D$254)</f>
        <v>0</v>
      </c>
      <c r="F80" s="3"/>
      <c r="G80" s="3">
        <f t="shared" si="3"/>
        <v>0</v>
      </c>
      <c r="H80" s="53" t="s">
        <v>178</v>
      </c>
      <c r="J80" s="19"/>
    </row>
    <row r="81" spans="1:10" x14ac:dyDescent="0.75">
      <c r="A81" s="12">
        <v>2233</v>
      </c>
      <c r="B81" s="13" t="s">
        <v>537</v>
      </c>
      <c r="C81" s="3">
        <f>SUMIF('Raw Data 04-30-2019'!$A$6:$A$254,'Q2 TB-19'!A81,'Raw Data 04-30-2019'!C$6:C$254)</f>
        <v>0</v>
      </c>
      <c r="D81" s="4"/>
      <c r="E81" s="3">
        <f>SUMIF('Raw Data 04-30-2019'!$A$6:$A$254,'Q2 TB-19'!A81,'Raw Data 04-30-2019'!D$6:D$254)</f>
        <v>0</v>
      </c>
      <c r="F81" s="3"/>
      <c r="G81" s="3">
        <f t="shared" si="3"/>
        <v>0</v>
      </c>
      <c r="H81" s="53" t="s">
        <v>178</v>
      </c>
      <c r="J81" s="19"/>
    </row>
    <row r="82" spans="1:10" x14ac:dyDescent="0.75">
      <c r="A82" s="12">
        <v>2235</v>
      </c>
      <c r="B82" s="13" t="s">
        <v>543</v>
      </c>
      <c r="C82" s="3">
        <f>SUMIF('Raw Data 04-30-2019'!$A$6:$A$254,'Q2 TB-19'!A82,'Raw Data 04-30-2019'!C$6:C$254)</f>
        <v>0</v>
      </c>
      <c r="D82" s="4"/>
      <c r="E82" s="3">
        <f>SUMIF('Raw Data 04-30-2019'!$A$6:$A$254,'Q2 TB-19'!A82,'Raw Data 04-30-2019'!D$6:D$254)</f>
        <v>0</v>
      </c>
      <c r="F82" s="3"/>
      <c r="G82" s="3">
        <f t="shared" si="3"/>
        <v>0</v>
      </c>
      <c r="H82" s="53" t="s">
        <v>178</v>
      </c>
      <c r="J82" s="19"/>
    </row>
    <row r="83" spans="1:10" x14ac:dyDescent="0.75">
      <c r="A83" s="12">
        <v>2236</v>
      </c>
      <c r="B83" s="13" t="s">
        <v>523</v>
      </c>
      <c r="C83" s="3">
        <f>SUMIF('Raw Data 04-30-2019'!$A$6:$A$254,'Q2 TB-19'!A83,'Raw Data 04-30-2019'!C$6:C$254)</f>
        <v>0</v>
      </c>
      <c r="D83" s="4"/>
      <c r="E83" s="3">
        <f>SUMIF('Raw Data 04-30-2019'!$A$6:$A$254,'Q2 TB-19'!A83,'Raw Data 04-30-2019'!D$6:D$254)</f>
        <v>0</v>
      </c>
      <c r="F83" s="3"/>
      <c r="G83" s="3">
        <f t="shared" si="3"/>
        <v>0</v>
      </c>
      <c r="H83" s="53" t="s">
        <v>178</v>
      </c>
      <c r="J83" s="19"/>
    </row>
    <row r="84" spans="1:10" x14ac:dyDescent="0.75">
      <c r="A84" s="12">
        <v>2250</v>
      </c>
      <c r="B84" s="13" t="s">
        <v>536</v>
      </c>
      <c r="C84" s="3">
        <f>SUMIF('Raw Data 04-30-2019'!$A$6:$A$254,'Q2 TB-19'!A84,'Raw Data 04-30-2019'!C$6:C$254)</f>
        <v>0</v>
      </c>
      <c r="D84" s="4"/>
      <c r="E84" s="3">
        <f>SUMIF('Raw Data 04-30-2019'!$A$6:$A$254,'Q2 TB-19'!A84,'Raw Data 04-30-2019'!D$6:D$254)</f>
        <v>0</v>
      </c>
      <c r="F84" s="3"/>
      <c r="G84" s="3">
        <f t="shared" si="3"/>
        <v>0</v>
      </c>
      <c r="H84" s="53" t="s">
        <v>178</v>
      </c>
      <c r="J84" s="19"/>
    </row>
    <row r="85" spans="1:10" x14ac:dyDescent="0.75">
      <c r="A85" s="12">
        <v>2270</v>
      </c>
      <c r="B85" s="13" t="s">
        <v>544</v>
      </c>
      <c r="C85" s="3">
        <f>SUMIF('Raw Data 04-30-2019'!$A$6:$A$254,'Q2 TB-19'!A85,'Raw Data 04-30-2019'!C$6:C$254)</f>
        <v>0</v>
      </c>
      <c r="D85" s="4"/>
      <c r="E85" s="3">
        <f>SUMIF('Raw Data 04-30-2019'!$A$6:$A$254,'Q2 TB-19'!A85,'Raw Data 04-30-2019'!D$6:D$254)</f>
        <v>0</v>
      </c>
      <c r="F85" s="3"/>
      <c r="G85" s="3">
        <f t="shared" si="3"/>
        <v>0</v>
      </c>
      <c r="H85" s="53" t="s">
        <v>178</v>
      </c>
      <c r="J85" s="19"/>
    </row>
    <row r="86" spans="1:10" x14ac:dyDescent="0.75">
      <c r="A86" s="12">
        <v>2280</v>
      </c>
      <c r="B86" s="13" t="s">
        <v>541</v>
      </c>
      <c r="C86" s="3">
        <f>SUMIF('Raw Data 04-30-2019'!$A$6:$A$254,'Q2 TB-19'!A86,'Raw Data 04-30-2019'!C$6:C$254)</f>
        <v>0</v>
      </c>
      <c r="D86" s="4"/>
      <c r="E86" s="3">
        <f>SUMIF('Raw Data 04-30-2019'!$A$6:$A$254,'Q2 TB-19'!A86,'Raw Data 04-30-2019'!D$6:D$254)</f>
        <v>0</v>
      </c>
      <c r="F86" s="3"/>
      <c r="G86" s="3">
        <f t="shared" si="3"/>
        <v>0</v>
      </c>
      <c r="H86" s="53" t="s">
        <v>178</v>
      </c>
      <c r="J86" s="19"/>
    </row>
    <row r="87" spans="1:10" x14ac:dyDescent="0.75">
      <c r="A87" s="12">
        <v>2285</v>
      </c>
      <c r="B87" s="13" t="s">
        <v>545</v>
      </c>
      <c r="C87" s="3">
        <f>SUMIF('Raw Data 04-30-2019'!$A$6:$A$254,'Q2 TB-19'!A87,'Raw Data 04-30-2019'!C$6:C$254)</f>
        <v>0</v>
      </c>
      <c r="D87" s="4"/>
      <c r="E87" s="3">
        <f>SUMIF('Raw Data 04-30-2019'!$A$6:$A$254,'Q2 TB-19'!A87,'Raw Data 04-30-2019'!D$6:D$254)</f>
        <v>0</v>
      </c>
      <c r="F87" s="3"/>
      <c r="G87" s="3">
        <f t="shared" si="3"/>
        <v>0</v>
      </c>
      <c r="H87" s="53" t="s">
        <v>178</v>
      </c>
      <c r="J87" s="19"/>
    </row>
    <row r="88" spans="1:10" x14ac:dyDescent="0.75">
      <c r="A88" s="12">
        <v>2290</v>
      </c>
      <c r="B88" s="13" t="s">
        <v>540</v>
      </c>
      <c r="C88" s="3">
        <f>SUMIF('Raw Data 04-30-2019'!$A$6:$A$254,'Q2 TB-19'!A88,'Raw Data 04-30-2019'!C$6:C$254)</f>
        <v>0</v>
      </c>
      <c r="D88" s="4"/>
      <c r="E88" s="3">
        <f>SUMIF('Raw Data 04-30-2019'!$A$6:$A$254,'Q2 TB-19'!A88,'Raw Data 04-30-2019'!D$6:D$254)</f>
        <v>9740</v>
      </c>
      <c r="F88" s="3"/>
      <c r="G88" s="3">
        <f t="shared" si="3"/>
        <v>-9740</v>
      </c>
      <c r="H88" s="53" t="s">
        <v>178</v>
      </c>
      <c r="J88" s="19"/>
    </row>
    <row r="89" spans="1:10" x14ac:dyDescent="0.75">
      <c r="A89" s="12">
        <v>2305</v>
      </c>
      <c r="B89" s="13" t="s">
        <v>542</v>
      </c>
      <c r="C89" s="3">
        <f>SUMIF('Raw Data 04-30-2019'!$A$6:$A$254,'Q2 TB-19'!A89,'Raw Data 04-30-2019'!C$6:C$254)</f>
        <v>0</v>
      </c>
      <c r="D89" s="4"/>
      <c r="E89" s="3">
        <f>SUMIF('Raw Data 04-30-2019'!$A$6:$A$254,'Q2 TB-19'!A89,'Raw Data 04-30-2019'!D$6:D$254)</f>
        <v>1221957.72</v>
      </c>
      <c r="F89" s="3"/>
      <c r="G89" s="3">
        <f t="shared" si="3"/>
        <v>-1221957.72</v>
      </c>
      <c r="H89" s="53" t="s">
        <v>181</v>
      </c>
      <c r="J89" s="19"/>
    </row>
    <row r="90" spans="1:10" x14ac:dyDescent="0.75">
      <c r="A90" s="12">
        <v>2310</v>
      </c>
      <c r="B90" s="13" t="s">
        <v>538</v>
      </c>
      <c r="C90" s="3">
        <f>SUMIF('Raw Data 04-30-2019'!$A$6:$A$254,'Q2 TB-19'!A90,'Raw Data 04-30-2019'!C$6:C$254)</f>
        <v>0</v>
      </c>
      <c r="D90" s="4"/>
      <c r="E90" s="3">
        <f>SUMIF('Raw Data 04-30-2019'!$A$6:$A$254,'Q2 TB-19'!A90,'Raw Data 04-30-2019'!D$6:D$254)</f>
        <v>0</v>
      </c>
      <c r="F90" s="3"/>
      <c r="G90" s="3">
        <f t="shared" si="3"/>
        <v>0</v>
      </c>
      <c r="H90" s="53" t="s">
        <v>178</v>
      </c>
      <c r="J90" s="19"/>
    </row>
    <row r="91" spans="1:10" x14ac:dyDescent="0.75">
      <c r="A91" s="12">
        <v>2320</v>
      </c>
      <c r="B91" s="13" t="s">
        <v>539</v>
      </c>
      <c r="C91" s="3">
        <f>SUMIF('Raw Data 04-30-2019'!$A$6:$A$254,'Q2 TB-19'!A91,'Raw Data 04-30-2019'!C$6:C$254)</f>
        <v>0</v>
      </c>
      <c r="D91" s="4"/>
      <c r="E91" s="3">
        <f>SUMIF('Raw Data 04-30-2019'!$A$6:$A$254,'Q2 TB-19'!A91,'Raw Data 04-30-2019'!D$6:D$254)</f>
        <v>0</v>
      </c>
      <c r="F91" s="3"/>
      <c r="G91" s="3">
        <f t="shared" si="3"/>
        <v>0</v>
      </c>
      <c r="H91" s="53" t="s">
        <v>178</v>
      </c>
      <c r="J91" s="19"/>
    </row>
    <row r="92" spans="1:10" x14ac:dyDescent="0.75">
      <c r="A92" s="12">
        <v>2400</v>
      </c>
      <c r="B92" s="13" t="s">
        <v>527</v>
      </c>
      <c r="C92" s="3">
        <f>SUMIF('Raw Data 04-30-2019'!$A$6:$A$254,'Q2 TB-19'!A92,'Raw Data 04-30-2019'!C$6:C$254)</f>
        <v>2072.1</v>
      </c>
      <c r="D92" s="4"/>
      <c r="E92" s="3">
        <f>SUMIF('Raw Data 04-30-2019'!$A$6:$A$254,'Q2 TB-19'!A92,'Raw Data 04-30-2019'!D$6:D$254)</f>
        <v>0</v>
      </c>
      <c r="F92" s="3"/>
      <c r="G92" s="3">
        <f t="shared" si="3"/>
        <v>2072.1</v>
      </c>
      <c r="H92" s="53" t="s">
        <v>180</v>
      </c>
      <c r="J92" s="19"/>
    </row>
    <row r="93" spans="1:10" x14ac:dyDescent="0.75">
      <c r="A93" s="12">
        <v>2405</v>
      </c>
      <c r="B93" s="13" t="s">
        <v>528</v>
      </c>
      <c r="C93" s="3">
        <f>SUMIF('Raw Data 04-30-2019'!$A$6:$A$254,'Q2 TB-19'!A93,'Raw Data 04-30-2019'!C$6:C$254)</f>
        <v>0</v>
      </c>
      <c r="D93" s="4"/>
      <c r="E93" s="3">
        <f>SUMIF('Raw Data 04-30-2019'!$A$6:$A$254,'Q2 TB-19'!A93,'Raw Data 04-30-2019'!D$6:D$254)</f>
        <v>64872.59</v>
      </c>
      <c r="F93" s="3"/>
      <c r="G93" s="3">
        <f t="shared" si="3"/>
        <v>-64872.59</v>
      </c>
      <c r="H93" s="53" t="s">
        <v>180</v>
      </c>
      <c r="J93" s="19"/>
    </row>
    <row r="94" spans="1:10" x14ac:dyDescent="0.75">
      <c r="A94" s="12">
        <v>2410</v>
      </c>
      <c r="B94" s="13" t="s">
        <v>529</v>
      </c>
      <c r="C94" s="3">
        <f>SUMIF('Raw Data 04-30-2019'!$A$6:$A$254,'Q2 TB-19'!A94,'Raw Data 04-30-2019'!C$6:C$254)</f>
        <v>0</v>
      </c>
      <c r="D94" s="4"/>
      <c r="E94" s="3">
        <f>SUMIF('Raw Data 04-30-2019'!$A$6:$A$254,'Q2 TB-19'!A94,'Raw Data 04-30-2019'!D$6:D$254)</f>
        <v>0</v>
      </c>
      <c r="F94" s="3"/>
      <c r="G94" s="3">
        <f t="shared" si="3"/>
        <v>0</v>
      </c>
      <c r="H94" s="53" t="s">
        <v>180</v>
      </c>
      <c r="J94" s="19"/>
    </row>
    <row r="95" spans="1:10" x14ac:dyDescent="0.75">
      <c r="A95" s="12">
        <v>2415</v>
      </c>
      <c r="B95" s="13" t="s">
        <v>530</v>
      </c>
      <c r="C95" s="3">
        <f>SUMIF('Raw Data 04-30-2019'!$A$6:$A$254,'Q2 TB-19'!A95,'Raw Data 04-30-2019'!C$6:C$254)</f>
        <v>0</v>
      </c>
      <c r="D95" s="4"/>
      <c r="E95" s="3">
        <f>SUMIF('Raw Data 04-30-2019'!$A$6:$A$254,'Q2 TB-19'!A95,'Raw Data 04-30-2019'!D$6:D$254)</f>
        <v>0</v>
      </c>
      <c r="F95" s="3"/>
      <c r="G95" s="3">
        <f t="shared" si="3"/>
        <v>0</v>
      </c>
      <c r="H95" s="53" t="s">
        <v>180</v>
      </c>
      <c r="J95" s="19"/>
    </row>
    <row r="96" spans="1:10" x14ac:dyDescent="0.75">
      <c r="A96" s="12">
        <v>2420</v>
      </c>
      <c r="B96" s="13" t="s">
        <v>531</v>
      </c>
      <c r="C96" s="3">
        <f>SUMIF('Raw Data 04-30-2019'!$A$6:$A$254,'Q2 TB-19'!A96,'Raw Data 04-30-2019'!C$6:C$254)</f>
        <v>0</v>
      </c>
      <c r="D96" s="4"/>
      <c r="E96" s="3">
        <f>SUMIF('Raw Data 04-30-2019'!$A$6:$A$254,'Q2 TB-19'!A96,'Raw Data 04-30-2019'!D$6:D$254)</f>
        <v>0</v>
      </c>
      <c r="F96" s="3"/>
      <c r="G96" s="3">
        <f t="shared" si="3"/>
        <v>0</v>
      </c>
      <c r="H96" s="53" t="s">
        <v>180</v>
      </c>
      <c r="J96" s="19"/>
    </row>
    <row r="97" spans="1:10" x14ac:dyDescent="0.75">
      <c r="A97" s="12">
        <v>2425</v>
      </c>
      <c r="B97" s="13" t="s">
        <v>532</v>
      </c>
      <c r="C97" s="3">
        <f>SUMIF('Raw Data 04-30-2019'!$A$6:$A$254,'Q2 TB-19'!A97,'Raw Data 04-30-2019'!C$6:C$254)</f>
        <v>0</v>
      </c>
      <c r="D97" s="4"/>
      <c r="E97" s="3">
        <f>SUMIF('Raw Data 04-30-2019'!$A$6:$A$254,'Q2 TB-19'!A97,'Raw Data 04-30-2019'!D$6:D$254)</f>
        <v>0</v>
      </c>
      <c r="F97" s="3"/>
      <c r="G97" s="3">
        <f t="shared" si="3"/>
        <v>0</v>
      </c>
      <c r="H97" s="53" t="s">
        <v>180</v>
      </c>
      <c r="J97" s="19"/>
    </row>
    <row r="98" spans="1:10" x14ac:dyDescent="0.75">
      <c r="A98" s="12">
        <v>2430</v>
      </c>
      <c r="B98" s="13" t="s">
        <v>533</v>
      </c>
      <c r="C98" s="3">
        <f>SUMIF('Raw Data 04-30-2019'!$A$6:$A$254,'Q2 TB-19'!A98,'Raw Data 04-30-2019'!C$6:C$254)</f>
        <v>0</v>
      </c>
      <c r="D98" s="4"/>
      <c r="E98" s="3">
        <f>SUMIF('Raw Data 04-30-2019'!$A$6:$A$254,'Q2 TB-19'!A98,'Raw Data 04-30-2019'!D$6:D$254)</f>
        <v>0</v>
      </c>
      <c r="F98" s="3"/>
      <c r="G98" s="3">
        <f t="shared" si="3"/>
        <v>0</v>
      </c>
      <c r="H98" s="53" t="s">
        <v>180</v>
      </c>
      <c r="J98" s="19"/>
    </row>
    <row r="99" spans="1:10" s="85" customFormat="1" x14ac:dyDescent="0.75">
      <c r="A99" s="12" t="s">
        <v>952</v>
      </c>
      <c r="B99" s="13" t="s">
        <v>953</v>
      </c>
      <c r="C99" s="3">
        <f>SUMIF('Raw Data 04-30-2019'!$A$6:$A$254,'Q2 TB-19'!A99,'Raw Data 04-30-2019'!C$6:C$254)</f>
        <v>0</v>
      </c>
      <c r="D99" s="4"/>
      <c r="E99" s="3">
        <f>SUMIF('Raw Data 04-30-2019'!$A$6:$A$254,'Q2 TB-19'!A99,'Raw Data 04-30-2019'!D$6:D$254)</f>
        <v>74007</v>
      </c>
      <c r="F99" s="3"/>
      <c r="G99" s="3">
        <f t="shared" ref="G99" si="5">C99-E99</f>
        <v>-74007</v>
      </c>
      <c r="H99" s="85" t="s">
        <v>954</v>
      </c>
      <c r="J99" s="19"/>
    </row>
    <row r="100" spans="1:10" x14ac:dyDescent="0.75">
      <c r="A100" s="12">
        <v>2705</v>
      </c>
      <c r="B100" s="13" t="s">
        <v>547</v>
      </c>
      <c r="C100" s="3">
        <f>SUMIF('Raw Data 04-30-2019'!$A$6:$A$254,'Q2 TB-19'!A100,'Raw Data 04-30-2019'!C$6:C$254)</f>
        <v>0</v>
      </c>
      <c r="D100" s="4"/>
      <c r="E100" s="3">
        <f>SUMIF('Raw Data 04-30-2019'!$A$6:$A$254,'Q2 TB-19'!A100,'Raw Data 04-30-2019'!D$6:D$254)</f>
        <v>50000</v>
      </c>
      <c r="F100" s="3"/>
      <c r="G100" s="3">
        <f t="shared" si="3"/>
        <v>-50000</v>
      </c>
      <c r="H100" s="53" t="s">
        <v>800</v>
      </c>
      <c r="J100" s="19"/>
    </row>
    <row r="101" spans="1:10" x14ac:dyDescent="0.75">
      <c r="A101" s="12">
        <v>2710</v>
      </c>
      <c r="B101" s="13" t="s">
        <v>548</v>
      </c>
      <c r="C101" s="3">
        <f>SUMIF('Raw Data 04-30-2019'!$A$6:$A$254,'Q2 TB-19'!A101,'Raw Data 04-30-2019'!C$6:C$254)</f>
        <v>0</v>
      </c>
      <c r="D101" s="4"/>
      <c r="E101" s="3">
        <f>SUMIF('Raw Data 04-30-2019'!$A$6:$A$254,'Q2 TB-19'!A101,'Raw Data 04-30-2019'!D$6:D$254)</f>
        <v>15000</v>
      </c>
      <c r="F101" s="3"/>
      <c r="G101" s="3">
        <f t="shared" si="3"/>
        <v>-15000</v>
      </c>
      <c r="H101" s="53" t="s">
        <v>800</v>
      </c>
      <c r="J101" s="19"/>
    </row>
    <row r="102" spans="1:10" x14ac:dyDescent="0.75">
      <c r="A102" s="12">
        <v>2715</v>
      </c>
      <c r="B102" s="13" t="s">
        <v>549</v>
      </c>
      <c r="C102" s="3">
        <f>SUMIF('Raw Data 04-30-2019'!$A$6:$A$254,'Q2 TB-19'!A102,'Raw Data 04-30-2019'!C$6:C$254)</f>
        <v>0</v>
      </c>
      <c r="D102" s="4"/>
      <c r="E102" s="3">
        <f>SUMIF('Raw Data 04-30-2019'!$A$6:$A$254,'Q2 TB-19'!A102,'Raw Data 04-30-2019'!D$6:D$254)</f>
        <v>25000</v>
      </c>
      <c r="F102" s="3"/>
      <c r="G102" s="3">
        <f t="shared" si="3"/>
        <v>-25000</v>
      </c>
      <c r="H102" s="53" t="s">
        <v>800</v>
      </c>
      <c r="J102" s="19"/>
    </row>
    <row r="103" spans="1:10" x14ac:dyDescent="0.75">
      <c r="A103" s="12">
        <v>2720</v>
      </c>
      <c r="B103" s="13" t="s">
        <v>550</v>
      </c>
      <c r="C103" s="3">
        <f>SUMIF('Raw Data 04-30-2019'!$A$6:$A$254,'Q2 TB-19'!A103,'Raw Data 04-30-2019'!C$6:C$254)</f>
        <v>0</v>
      </c>
      <c r="D103" s="4"/>
      <c r="E103" s="3">
        <f>SUMIF('Raw Data 04-30-2019'!$A$6:$A$254,'Q2 TB-19'!A103,'Raw Data 04-30-2019'!D$6:D$254)</f>
        <v>50000</v>
      </c>
      <c r="F103" s="3"/>
      <c r="G103" s="3">
        <f t="shared" si="3"/>
        <v>-50000</v>
      </c>
      <c r="H103" s="53" t="s">
        <v>800</v>
      </c>
      <c r="J103" s="19"/>
    </row>
    <row r="104" spans="1:10" x14ac:dyDescent="0.75">
      <c r="A104" s="12">
        <v>2725</v>
      </c>
      <c r="B104" s="13" t="s">
        <v>551</v>
      </c>
      <c r="C104" s="3">
        <f>SUMIF('Raw Data 04-30-2019'!$A$6:$A$254,'Q2 TB-19'!A104,'Raw Data 04-30-2019'!C$6:C$254)</f>
        <v>0</v>
      </c>
      <c r="D104" s="4"/>
      <c r="E104" s="3">
        <f>SUMIF('Raw Data 04-30-2019'!$A$6:$A$254,'Q2 TB-19'!A104,'Raw Data 04-30-2019'!D$6:D$254)</f>
        <v>60000</v>
      </c>
      <c r="F104" s="3"/>
      <c r="G104" s="3">
        <f t="shared" si="3"/>
        <v>-60000</v>
      </c>
      <c r="H104" s="53" t="s">
        <v>800</v>
      </c>
      <c r="J104" s="19"/>
    </row>
    <row r="105" spans="1:10" x14ac:dyDescent="0.75">
      <c r="A105" s="12">
        <v>2730</v>
      </c>
      <c r="B105" s="13" t="s">
        <v>552</v>
      </c>
      <c r="C105" s="3">
        <f>SUMIF('Raw Data 04-30-2019'!$A$6:$A$254,'Q2 TB-19'!A105,'Raw Data 04-30-2019'!C$6:C$254)</f>
        <v>0</v>
      </c>
      <c r="D105" s="4"/>
      <c r="E105" s="3">
        <f>SUMIF('Raw Data 04-30-2019'!$A$6:$A$254,'Q2 TB-19'!A105,'Raw Data 04-30-2019'!D$6:D$254)</f>
        <v>100000</v>
      </c>
      <c r="F105" s="3"/>
      <c r="G105" s="3">
        <f t="shared" si="3"/>
        <v>-100000</v>
      </c>
      <c r="H105" s="53" t="s">
        <v>800</v>
      </c>
      <c r="J105" s="19"/>
    </row>
    <row r="106" spans="1:10" x14ac:dyDescent="0.75">
      <c r="A106" s="12">
        <v>2735</v>
      </c>
      <c r="B106" s="13" t="s">
        <v>553</v>
      </c>
      <c r="C106" s="3">
        <f>SUMIF('Raw Data 04-30-2019'!$A$6:$A$254,'Q2 TB-19'!A106,'Raw Data 04-30-2019'!C$6:C$254)</f>
        <v>0</v>
      </c>
      <c r="D106" s="4"/>
      <c r="E106" s="3">
        <f>SUMIF('Raw Data 04-30-2019'!$A$6:$A$254,'Q2 TB-19'!A106,'Raw Data 04-30-2019'!D$6:D$254)</f>
        <v>150000</v>
      </c>
      <c r="F106" s="3"/>
      <c r="G106" s="3">
        <f t="shared" si="3"/>
        <v>-150000</v>
      </c>
      <c r="H106" s="53" t="s">
        <v>800</v>
      </c>
      <c r="J106" s="19"/>
    </row>
    <row r="107" spans="1:10" x14ac:dyDescent="0.75">
      <c r="A107" s="12">
        <v>2740</v>
      </c>
      <c r="B107" s="13" t="s">
        <v>554</v>
      </c>
      <c r="C107" s="3">
        <f>SUMIF('Raw Data 04-30-2019'!$A$6:$A$254,'Q2 TB-19'!A107,'Raw Data 04-30-2019'!C$6:C$254)</f>
        <v>0</v>
      </c>
      <c r="D107" s="4"/>
      <c r="E107" s="3">
        <f>SUMIF('Raw Data 04-30-2019'!$A$6:$A$254,'Q2 TB-19'!A107,'Raw Data 04-30-2019'!D$6:D$254)</f>
        <v>37500</v>
      </c>
      <c r="F107" s="3"/>
      <c r="G107" s="3">
        <f t="shared" si="3"/>
        <v>-37500</v>
      </c>
      <c r="H107" s="53" t="s">
        <v>800</v>
      </c>
      <c r="J107" s="19"/>
    </row>
    <row r="108" spans="1:10" x14ac:dyDescent="0.75">
      <c r="A108" s="12">
        <v>2745</v>
      </c>
      <c r="B108" s="13" t="s">
        <v>939</v>
      </c>
      <c r="C108" s="3">
        <f>SUMIF('Raw Data 04-30-2019'!$A$6:$A$254,'Q2 TB-19'!A108,'Raw Data 04-30-2019'!C$6:C$254)</f>
        <v>0</v>
      </c>
      <c r="D108" s="4"/>
      <c r="E108" s="3">
        <f>SUMIF('Raw Data 04-30-2019'!$A$6:$A$254,'Q2 TB-19'!A108,'Raw Data 04-30-2019'!D$6:D$254)</f>
        <v>71824.66</v>
      </c>
      <c r="F108" s="3"/>
      <c r="G108" s="3">
        <f t="shared" si="3"/>
        <v>-71824.66</v>
      </c>
      <c r="H108" s="56" t="s">
        <v>182</v>
      </c>
      <c r="J108" s="19"/>
    </row>
    <row r="109" spans="1:10" x14ac:dyDescent="0.75">
      <c r="A109" s="12">
        <v>2750</v>
      </c>
      <c r="B109" s="13" t="s">
        <v>555</v>
      </c>
      <c r="C109" s="3">
        <f>SUMIF('Raw Data 04-30-2019'!$A$6:$A$254,'Q2 TB-19'!A109,'Raw Data 04-30-2019'!C$6:C$254)</f>
        <v>0</v>
      </c>
      <c r="D109" s="4"/>
      <c r="E109" s="3">
        <f>SUMIF('Raw Data 04-30-2019'!$A$6:$A$254,'Q2 TB-19'!A109,'Raw Data 04-30-2019'!D$6:D$254)</f>
        <v>50000</v>
      </c>
      <c r="F109" s="3"/>
      <c r="G109" s="3">
        <f t="shared" si="3"/>
        <v>-50000</v>
      </c>
      <c r="H109" s="53" t="s">
        <v>800</v>
      </c>
      <c r="J109" s="19"/>
    </row>
    <row r="110" spans="1:10" x14ac:dyDescent="0.75">
      <c r="A110" s="12">
        <v>2755</v>
      </c>
      <c r="B110" s="13" t="s">
        <v>556</v>
      </c>
      <c r="C110" s="3">
        <f>SUMIF('Raw Data 04-30-2019'!$A$6:$A$254,'Q2 TB-19'!A110,'Raw Data 04-30-2019'!C$6:C$254)</f>
        <v>0</v>
      </c>
      <c r="D110" s="4"/>
      <c r="E110" s="3">
        <f>SUMIF('Raw Data 04-30-2019'!$A$6:$A$254,'Q2 TB-19'!A110,'Raw Data 04-30-2019'!D$6:D$254)</f>
        <v>25000</v>
      </c>
      <c r="F110" s="3"/>
      <c r="G110" s="3">
        <f t="shared" si="3"/>
        <v>-25000</v>
      </c>
      <c r="H110" s="53" t="s">
        <v>800</v>
      </c>
      <c r="J110" s="19"/>
    </row>
    <row r="111" spans="1:10" x14ac:dyDescent="0.75">
      <c r="A111" s="12">
        <v>2760</v>
      </c>
      <c r="B111" s="13" t="s">
        <v>557</v>
      </c>
      <c r="C111" s="3">
        <f>SUMIF('Raw Data 04-30-2019'!$A$6:$A$254,'Q2 TB-19'!A111,'Raw Data 04-30-2019'!C$6:C$254)</f>
        <v>0</v>
      </c>
      <c r="D111" s="4"/>
      <c r="E111" s="3">
        <f>SUMIF('Raw Data 04-30-2019'!$A$6:$A$254,'Q2 TB-19'!A111,'Raw Data 04-30-2019'!D$6:D$254)</f>
        <v>100000</v>
      </c>
      <c r="F111" s="3"/>
      <c r="G111" s="3">
        <f t="shared" si="3"/>
        <v>-100000</v>
      </c>
      <c r="H111" s="53" t="s">
        <v>800</v>
      </c>
      <c r="J111" s="19"/>
    </row>
    <row r="112" spans="1:10" x14ac:dyDescent="0.75">
      <c r="A112" s="12">
        <v>2765</v>
      </c>
      <c r="B112" s="13" t="s">
        <v>558</v>
      </c>
      <c r="C112" s="3">
        <f>SUMIF('Raw Data 04-30-2019'!$A$6:$A$254,'Q2 TB-19'!A112,'Raw Data 04-30-2019'!C$6:C$254)</f>
        <v>0</v>
      </c>
      <c r="D112" s="4"/>
      <c r="E112" s="3">
        <f>SUMIF('Raw Data 04-30-2019'!$A$6:$A$254,'Q2 TB-19'!A112,'Raw Data 04-30-2019'!D$6:D$254)</f>
        <v>50000</v>
      </c>
      <c r="F112" s="3"/>
      <c r="G112" s="3">
        <f t="shared" si="3"/>
        <v>-50000</v>
      </c>
      <c r="H112" s="53" t="s">
        <v>800</v>
      </c>
      <c r="J112" s="19"/>
    </row>
    <row r="113" spans="1:10" x14ac:dyDescent="0.75">
      <c r="A113" s="12">
        <v>2770</v>
      </c>
      <c r="B113" s="13" t="s">
        <v>559</v>
      </c>
      <c r="C113" s="3">
        <f>SUMIF('Raw Data 04-30-2019'!$A$6:$A$254,'Q2 TB-19'!A113,'Raw Data 04-30-2019'!C$6:C$254)</f>
        <v>0</v>
      </c>
      <c r="D113" s="4"/>
      <c r="E113" s="3">
        <f>SUMIF('Raw Data 04-30-2019'!$A$6:$A$254,'Q2 TB-19'!A113,'Raw Data 04-30-2019'!D$6:D$254)</f>
        <v>2500</v>
      </c>
      <c r="F113" s="3"/>
      <c r="G113" s="3">
        <f t="shared" si="3"/>
        <v>-2500</v>
      </c>
      <c r="H113" s="53" t="s">
        <v>800</v>
      </c>
      <c r="J113" s="19"/>
    </row>
    <row r="114" spans="1:10" x14ac:dyDescent="0.75">
      <c r="A114" s="12">
        <v>2775</v>
      </c>
      <c r="B114" s="13" t="s">
        <v>560</v>
      </c>
      <c r="C114" s="3">
        <f>SUMIF('Raw Data 04-30-2019'!$A$6:$A$254,'Q2 TB-19'!A114,'Raw Data 04-30-2019'!C$6:C$254)</f>
        <v>0</v>
      </c>
      <c r="D114" s="4"/>
      <c r="E114" s="3">
        <f>SUMIF('Raw Data 04-30-2019'!$A$6:$A$254,'Q2 TB-19'!A114,'Raw Data 04-30-2019'!D$6:D$254)</f>
        <v>50000</v>
      </c>
      <c r="F114" s="3"/>
      <c r="G114" s="3">
        <f t="shared" si="3"/>
        <v>-50000</v>
      </c>
      <c r="H114" s="53" t="s">
        <v>800</v>
      </c>
      <c r="J114" s="19"/>
    </row>
    <row r="115" spans="1:10" x14ac:dyDescent="0.75">
      <c r="A115" s="12">
        <v>2780</v>
      </c>
      <c r="B115" s="13" t="s">
        <v>561</v>
      </c>
      <c r="C115" s="3">
        <f>SUMIF('Raw Data 04-30-2019'!$A$6:$A$254,'Q2 TB-19'!A115,'Raw Data 04-30-2019'!C$6:C$254)</f>
        <v>0</v>
      </c>
      <c r="D115" s="4"/>
      <c r="E115" s="3">
        <f>SUMIF('Raw Data 04-30-2019'!$A$6:$A$254,'Q2 TB-19'!A115,'Raw Data 04-30-2019'!D$6:D$254)</f>
        <v>25000</v>
      </c>
      <c r="F115" s="3"/>
      <c r="G115" s="3">
        <f t="shared" si="3"/>
        <v>-25000</v>
      </c>
      <c r="H115" s="53" t="s">
        <v>800</v>
      </c>
      <c r="J115" s="19"/>
    </row>
    <row r="116" spans="1:10" s="67" customFormat="1" x14ac:dyDescent="0.75">
      <c r="A116" s="12" t="s">
        <v>941</v>
      </c>
      <c r="B116" s="13" t="s">
        <v>942</v>
      </c>
      <c r="C116" s="3">
        <f>SUMIF('Raw Data 04-30-2019'!$A$6:$A$254,'Q2 TB-19'!A116,'Raw Data 04-30-2019'!C$6:C$254)</f>
        <v>340829</v>
      </c>
      <c r="D116" s="4"/>
      <c r="E116" s="3">
        <f>SUMIF('Raw Data 04-30-2019'!$A$6:$A$254,'Q2 TB-19'!A116,'Raw Data 04-30-2019'!D$6:D$254)</f>
        <v>0</v>
      </c>
      <c r="F116" s="3"/>
      <c r="G116" s="3">
        <f t="shared" ref="G116" si="6">C116-E116</f>
        <v>340829</v>
      </c>
      <c r="H116" s="67" t="s">
        <v>800</v>
      </c>
      <c r="J116" s="19"/>
    </row>
    <row r="117" spans="1:10" x14ac:dyDescent="0.75">
      <c r="A117" s="12">
        <v>3000</v>
      </c>
      <c r="B117" s="13" t="s">
        <v>563</v>
      </c>
      <c r="C117" s="3">
        <f>SUMIF('Raw Data 04-30-2019'!$A$6:$A$254,'Q2 TB-19'!A117,'Raw Data 04-30-2019'!C$6:C$254)</f>
        <v>0</v>
      </c>
      <c r="D117" s="4"/>
      <c r="E117" s="3">
        <f>SUMIF('Raw Data 04-30-2019'!$A$6:$A$254,'Q2 TB-19'!A117,'Raw Data 04-30-2019'!D$6:D$254)</f>
        <v>46184.14</v>
      </c>
      <c r="F117" s="3"/>
      <c r="G117" s="3">
        <f t="shared" si="3"/>
        <v>-46184.14</v>
      </c>
      <c r="H117" s="53" t="s">
        <v>183</v>
      </c>
      <c r="J117" s="19"/>
    </row>
    <row r="118" spans="1:10" x14ac:dyDescent="0.75">
      <c r="A118" s="12">
        <v>3050</v>
      </c>
      <c r="B118" s="13" t="s">
        <v>569</v>
      </c>
      <c r="C118" s="3">
        <f>SUMIF('Raw Data 04-30-2019'!$A$6:$A$254,'Q2 TB-19'!A118,'Raw Data 04-30-2019'!C$6:C$254)</f>
        <v>0</v>
      </c>
      <c r="D118" s="4"/>
      <c r="E118" s="3">
        <f>SUMIF('Raw Data 04-30-2019'!$A$6:$A$254,'Q2 TB-19'!A118,'Raw Data 04-30-2019'!D$6:D$254)</f>
        <v>0</v>
      </c>
      <c r="F118" s="3"/>
      <c r="G118" s="3">
        <f t="shared" si="3"/>
        <v>0</v>
      </c>
      <c r="H118" s="53" t="s">
        <v>802</v>
      </c>
      <c r="J118" s="19"/>
    </row>
    <row r="119" spans="1:10" x14ac:dyDescent="0.75">
      <c r="A119" s="12">
        <v>3100</v>
      </c>
      <c r="B119" s="13" t="s">
        <v>567</v>
      </c>
      <c r="C119" s="3">
        <f>SUMIF('Raw Data 04-30-2019'!$A$6:$A$254,'Q2 TB-19'!A119,'Raw Data 04-30-2019'!C$6:C$254)</f>
        <v>0</v>
      </c>
      <c r="D119" s="4"/>
      <c r="E119" s="3">
        <f>SUMIF('Raw Data 04-30-2019'!$A$6:$A$254,'Q2 TB-19'!A119,'Raw Data 04-30-2019'!D$6:D$254)</f>
        <v>7277686.9199999999</v>
      </c>
      <c r="F119" s="3"/>
      <c r="G119" s="3">
        <f t="shared" si="3"/>
        <v>-7277686.9199999999</v>
      </c>
      <c r="H119" s="53" t="s">
        <v>184</v>
      </c>
      <c r="J119" s="19"/>
    </row>
    <row r="120" spans="1:10" s="89" customFormat="1" x14ac:dyDescent="0.75">
      <c r="A120" s="12" t="s">
        <v>1003</v>
      </c>
      <c r="B120" s="13" t="s">
        <v>1004</v>
      </c>
      <c r="C120" s="3">
        <f>SUMIF('Raw Data 04-30-2019'!$A$6:$A$254,'Q2 TB-19'!A120,'Raw Data 04-30-2019'!C$6:C$254)</f>
        <v>0</v>
      </c>
      <c r="D120" s="4"/>
      <c r="E120" s="3">
        <f>SUMIF('Raw Data 04-30-2019'!$A$6:$A$254,'Q2 TB-19'!A120,'Raw Data 04-30-2019'!D$6:D$254)</f>
        <v>0</v>
      </c>
      <c r="F120" s="3"/>
      <c r="G120" s="3">
        <f t="shared" ref="G120" si="7">C120-E120</f>
        <v>0</v>
      </c>
      <c r="H120" s="89" t="s">
        <v>184</v>
      </c>
      <c r="J120" s="19"/>
    </row>
    <row r="121" spans="1:10" x14ac:dyDescent="0.75">
      <c r="A121" s="12">
        <v>3200</v>
      </c>
      <c r="B121" s="13" t="s">
        <v>562</v>
      </c>
      <c r="C121" s="3">
        <f>SUMIF('Raw Data 04-30-2019'!$A$6:$A$254,'Q2 TB-19'!A121,'Raw Data 04-30-2019'!C$6:C$254)</f>
        <v>0</v>
      </c>
      <c r="D121" s="4"/>
      <c r="E121" s="3">
        <f>SUMIF('Raw Data 04-30-2019'!$A$6:$A$254,'Q2 TB-19'!A121,'Raw Data 04-30-2019'!D$6:D$254)</f>
        <v>0</v>
      </c>
      <c r="F121" s="3"/>
      <c r="G121" s="3">
        <f t="shared" si="3"/>
        <v>0</v>
      </c>
      <c r="H121" s="53" t="s">
        <v>184</v>
      </c>
      <c r="J121" s="19"/>
    </row>
    <row r="122" spans="1:10" x14ac:dyDescent="0.75">
      <c r="A122" s="12">
        <v>3300</v>
      </c>
      <c r="B122" s="13" t="s">
        <v>564</v>
      </c>
      <c r="C122" s="3">
        <f>SUMIF('Raw Data 04-30-2019'!$A$6:$A$254,'Q2 TB-19'!A122,'Raw Data 04-30-2019'!C$6:C$254)</f>
        <v>0</v>
      </c>
      <c r="D122" s="4"/>
      <c r="E122" s="3">
        <f>SUMIF('Raw Data 04-30-2019'!$A$6:$A$254,'Q2 TB-19'!A122,'Raw Data 04-30-2019'!D$6:D$254)</f>
        <v>0</v>
      </c>
      <c r="F122" s="3"/>
      <c r="G122" s="3">
        <f t="shared" si="3"/>
        <v>0</v>
      </c>
      <c r="H122" s="53" t="s">
        <v>184</v>
      </c>
      <c r="J122" s="19"/>
    </row>
    <row r="123" spans="1:10" x14ac:dyDescent="0.75">
      <c r="A123" s="12">
        <v>3400</v>
      </c>
      <c r="B123" s="13" t="s">
        <v>565</v>
      </c>
      <c r="C123" s="3">
        <f>SUMIF('Raw Data 04-30-2019'!$A$6:$A$254,'Q2 TB-19'!A123,'Raw Data 04-30-2019'!C$6:C$254)</f>
        <v>0</v>
      </c>
      <c r="D123" s="4"/>
      <c r="E123" s="3">
        <f>SUMIF('Raw Data 04-30-2019'!$A$6:$A$254,'Q2 TB-19'!A123,'Raw Data 04-30-2019'!D$6:D$254)</f>
        <v>0</v>
      </c>
      <c r="F123" s="3"/>
      <c r="G123" s="3">
        <f t="shared" si="3"/>
        <v>0</v>
      </c>
      <c r="H123" s="53" t="s">
        <v>184</v>
      </c>
      <c r="J123" s="19"/>
    </row>
    <row r="124" spans="1:10" x14ac:dyDescent="0.75">
      <c r="A124" s="12">
        <v>3500</v>
      </c>
      <c r="B124" s="13" t="s">
        <v>566</v>
      </c>
      <c r="C124" s="3">
        <f>SUMIF('Raw Data 04-30-2019'!$A$6:$A$254,'Q2 TB-19'!A124,'Raw Data 04-30-2019'!C$6:C$254)</f>
        <v>0</v>
      </c>
      <c r="D124" s="4"/>
      <c r="E124" s="3">
        <f>SUMIF('Raw Data 04-30-2019'!$A$6:$A$254,'Q2 TB-19'!A124,'Raw Data 04-30-2019'!D$6:D$254)</f>
        <v>0</v>
      </c>
      <c r="F124" s="3"/>
      <c r="G124" s="3">
        <f t="shared" si="3"/>
        <v>0</v>
      </c>
      <c r="H124" s="53" t="s">
        <v>184</v>
      </c>
      <c r="J124" s="19"/>
    </row>
    <row r="125" spans="1:10" s="56" customFormat="1" x14ac:dyDescent="0.75">
      <c r="A125" s="12" t="s">
        <v>382</v>
      </c>
      <c r="B125" s="13" t="s">
        <v>933</v>
      </c>
      <c r="C125" s="3">
        <f>SUMIF('Raw Data 04-30-2019'!$A$6:$A$254,'Q2 TB-19'!A125,'Raw Data 04-30-2019'!C$6:C$254)</f>
        <v>94000</v>
      </c>
      <c r="D125" s="4"/>
      <c r="E125" s="3">
        <f>SUMIF('Raw Data 04-30-2019'!$A$6:$A$254,'Q2 TB-19'!A125,'Raw Data 04-30-2019'!D$6:D$254)</f>
        <v>0</v>
      </c>
      <c r="F125" s="3"/>
      <c r="G125" s="3">
        <f t="shared" ref="G125" si="8">C125-E125</f>
        <v>94000</v>
      </c>
      <c r="H125" s="56" t="s">
        <v>934</v>
      </c>
      <c r="J125" s="19"/>
    </row>
    <row r="126" spans="1:10" x14ac:dyDescent="0.75">
      <c r="A126" s="12">
        <v>3800</v>
      </c>
      <c r="B126" s="13" t="s">
        <v>568</v>
      </c>
      <c r="C126" s="3">
        <f>SUMIF('Raw Data 04-30-2019'!$A$6:$A$254,'Q2 TB-19'!A126,'Raw Data 04-30-2019'!C$6:C$254)</f>
        <v>0</v>
      </c>
      <c r="D126" s="4"/>
      <c r="E126" s="3">
        <f>SUMIF('Raw Data 04-30-2019'!$A$6:$A$254,'Q2 TB-19'!A126,'Raw Data 04-30-2019'!D$6:D$254)</f>
        <v>0</v>
      </c>
      <c r="F126" s="3"/>
      <c r="G126" s="3">
        <f t="shared" si="3"/>
        <v>0</v>
      </c>
      <c r="H126" s="53" t="s">
        <v>185</v>
      </c>
      <c r="J126" s="19"/>
    </row>
    <row r="127" spans="1:10" x14ac:dyDescent="0.75">
      <c r="A127" s="12">
        <v>3900</v>
      </c>
      <c r="B127" s="13" t="s">
        <v>400</v>
      </c>
      <c r="C127" s="3">
        <f>SUMIF('Raw Data 04-30-2019'!$A$6:$A$254,'Q2 TB-19'!A127,'Raw Data 04-30-2019'!C$6:C$254)</f>
        <v>9072443.3699999992</v>
      </c>
      <c r="D127" s="4"/>
      <c r="E127" s="3">
        <f>SUMIF('Raw Data 04-30-2019'!$A$6:$A$254,'Q2 TB-19'!A127,'Raw Data 04-30-2019'!D$6:D$254)</f>
        <v>0</v>
      </c>
      <c r="F127" s="3"/>
      <c r="G127" s="3">
        <f t="shared" si="3"/>
        <v>9072443.3699999992</v>
      </c>
      <c r="H127" s="53" t="s">
        <v>185</v>
      </c>
      <c r="J127" s="19"/>
    </row>
    <row r="128" spans="1:10" x14ac:dyDescent="0.75">
      <c r="A128" s="12">
        <v>4100</v>
      </c>
      <c r="B128" s="13" t="s">
        <v>576</v>
      </c>
      <c r="C128" s="3">
        <f>SUMIF('Raw Data 04-30-2019'!$A$6:$A$254,'Q2 TB-19'!A128,'Raw Data 04-30-2019'!C$6:C$254)</f>
        <v>0</v>
      </c>
      <c r="D128" s="4"/>
      <c r="E128" s="3">
        <f>SUMIF('Raw Data 04-30-2019'!$A$6:$A$254,'Q2 TB-19'!A128,'Raw Data 04-30-2019'!D$6:D$254)</f>
        <v>384398.97</v>
      </c>
      <c r="F128" s="3"/>
      <c r="G128" s="3">
        <f t="shared" si="3"/>
        <v>-384398.97</v>
      </c>
      <c r="H128" s="53" t="s">
        <v>437</v>
      </c>
      <c r="J128" s="19"/>
    </row>
    <row r="129" spans="1:10" x14ac:dyDescent="0.75">
      <c r="A129" s="12">
        <v>4110</v>
      </c>
      <c r="B129" s="13" t="s">
        <v>577</v>
      </c>
      <c r="C129" s="3">
        <f>SUMIF('Raw Data 04-30-2019'!$A$6:$A$254,'Q2 TB-19'!A129,'Raw Data 04-30-2019'!C$6:C$254)</f>
        <v>0</v>
      </c>
      <c r="D129" s="4"/>
      <c r="E129" s="3">
        <f>SUMIF('Raw Data 04-30-2019'!$A$6:$A$254,'Q2 TB-19'!A129,'Raw Data 04-30-2019'!D$6:D$254)</f>
        <v>0</v>
      </c>
      <c r="F129" s="3"/>
      <c r="G129" s="3">
        <f t="shared" si="3"/>
        <v>0</v>
      </c>
      <c r="H129" s="53" t="s">
        <v>437</v>
      </c>
      <c r="J129" s="19"/>
    </row>
    <row r="130" spans="1:10" x14ac:dyDescent="0.75">
      <c r="A130" s="12">
        <v>4200</v>
      </c>
      <c r="B130" s="13" t="s">
        <v>573</v>
      </c>
      <c r="C130" s="3">
        <f>SUMIF('Raw Data 04-30-2019'!$A$6:$A$254,'Q2 TB-19'!A130,'Raw Data 04-30-2019'!C$6:C$254)</f>
        <v>0</v>
      </c>
      <c r="D130" s="4"/>
      <c r="E130" s="3">
        <f>SUMIF('Raw Data 04-30-2019'!$A$6:$A$254,'Q2 TB-19'!A130,'Raw Data 04-30-2019'!D$6:D$254)</f>
        <v>0</v>
      </c>
      <c r="F130" s="3"/>
      <c r="G130" s="3">
        <f t="shared" si="3"/>
        <v>0</v>
      </c>
      <c r="H130" s="53" t="s">
        <v>437</v>
      </c>
      <c r="J130" s="19"/>
    </row>
    <row r="131" spans="1:10" x14ac:dyDescent="0.75">
      <c r="A131" s="12">
        <v>4300</v>
      </c>
      <c r="B131" s="13" t="s">
        <v>571</v>
      </c>
      <c r="C131" s="3">
        <f>SUMIF('Raw Data 04-30-2019'!$A$6:$A$254,'Q2 TB-19'!A131,'Raw Data 04-30-2019'!C$6:C$254)</f>
        <v>0</v>
      </c>
      <c r="D131" s="4"/>
      <c r="E131" s="3">
        <f>SUMIF('Raw Data 04-30-2019'!$A$6:$A$254,'Q2 TB-19'!A131,'Raw Data 04-30-2019'!D$6:D$254)</f>
        <v>0</v>
      </c>
      <c r="F131" s="3"/>
      <c r="G131" s="3">
        <f t="shared" si="3"/>
        <v>0</v>
      </c>
      <c r="H131" s="53" t="s">
        <v>437</v>
      </c>
      <c r="J131" s="19"/>
    </row>
    <row r="132" spans="1:10" x14ac:dyDescent="0.75">
      <c r="A132" s="12">
        <v>4400</v>
      </c>
      <c r="B132" s="13" t="s">
        <v>570</v>
      </c>
      <c r="C132" s="3">
        <f>SUMIF('Raw Data 04-30-2019'!$A$6:$A$254,'Q2 TB-19'!A132,'Raw Data 04-30-2019'!C$6:C$254)</f>
        <v>0</v>
      </c>
      <c r="D132" s="4"/>
      <c r="E132" s="3">
        <f>SUMIF('Raw Data 04-30-2019'!$A$6:$A$254,'Q2 TB-19'!A132,'Raw Data 04-30-2019'!D$6:D$254)</f>
        <v>0</v>
      </c>
      <c r="F132" s="3"/>
      <c r="G132" s="3">
        <f t="shared" si="3"/>
        <v>0</v>
      </c>
      <c r="H132" s="53" t="s">
        <v>437</v>
      </c>
      <c r="J132" s="19"/>
    </row>
    <row r="133" spans="1:10" x14ac:dyDescent="0.75">
      <c r="A133" s="12">
        <v>4420</v>
      </c>
      <c r="B133" s="13" t="s">
        <v>574</v>
      </c>
      <c r="C133" s="3">
        <f>SUMIF('Raw Data 04-30-2019'!$A$6:$A$254,'Q2 TB-19'!A133,'Raw Data 04-30-2019'!C$6:C$254)</f>
        <v>0</v>
      </c>
      <c r="D133" s="4"/>
      <c r="E133" s="3">
        <f>SUMIF('Raw Data 04-30-2019'!$A$6:$A$254,'Q2 TB-19'!A133,'Raw Data 04-30-2019'!D$6:D$254)</f>
        <v>0</v>
      </c>
      <c r="F133" s="3"/>
      <c r="G133" s="3">
        <f t="shared" si="3"/>
        <v>0</v>
      </c>
      <c r="H133" s="53" t="s">
        <v>437</v>
      </c>
      <c r="J133" s="19"/>
    </row>
    <row r="134" spans="1:10" x14ac:dyDescent="0.75">
      <c r="A134" s="12">
        <v>4440</v>
      </c>
      <c r="B134" s="13" t="s">
        <v>575</v>
      </c>
      <c r="C134" s="3">
        <f>SUMIF('Raw Data 04-30-2019'!$A$6:$A$254,'Q2 TB-19'!A134,'Raw Data 04-30-2019'!C$6:C$254)</f>
        <v>0</v>
      </c>
      <c r="D134" s="4"/>
      <c r="E134" s="3">
        <f>SUMIF('Raw Data 04-30-2019'!$A$6:$A$254,'Q2 TB-19'!A134,'Raw Data 04-30-2019'!D$6:D$254)</f>
        <v>0</v>
      </c>
      <c r="F134" s="3"/>
      <c r="G134" s="3">
        <f t="shared" si="3"/>
        <v>0</v>
      </c>
      <c r="H134" s="53" t="s">
        <v>437</v>
      </c>
      <c r="J134" s="19"/>
    </row>
    <row r="135" spans="1:10" x14ac:dyDescent="0.75">
      <c r="A135" s="12">
        <v>4500</v>
      </c>
      <c r="B135" s="13" t="s">
        <v>578</v>
      </c>
      <c r="C135" s="3">
        <f>SUMIF('Raw Data 04-30-2019'!$A$6:$A$254,'Q2 TB-19'!A135,'Raw Data 04-30-2019'!C$6:C$254)</f>
        <v>0</v>
      </c>
      <c r="D135" s="4"/>
      <c r="E135" s="3">
        <f>SUMIF('Raw Data 04-30-2019'!$A$6:$A$254,'Q2 TB-19'!A135,'Raw Data 04-30-2019'!D$6:D$254)</f>
        <v>17578.599999999999</v>
      </c>
      <c r="F135" s="3"/>
      <c r="G135" s="3">
        <f t="shared" si="3"/>
        <v>-17578.599999999999</v>
      </c>
      <c r="H135" s="53" t="s">
        <v>437</v>
      </c>
      <c r="J135" s="19"/>
    </row>
    <row r="136" spans="1:10" x14ac:dyDescent="0.75">
      <c r="A136" s="12">
        <v>4550</v>
      </c>
      <c r="B136" s="13" t="s">
        <v>579</v>
      </c>
      <c r="C136" s="3">
        <f>SUMIF('Raw Data 04-30-2019'!$A$6:$A$254,'Q2 TB-19'!A136,'Raw Data 04-30-2019'!C$6:C$254)</f>
        <v>0</v>
      </c>
      <c r="D136" s="4"/>
      <c r="E136" s="3">
        <f>SUMIF('Raw Data 04-30-2019'!$A$6:$A$254,'Q2 TB-19'!A136,'Raw Data 04-30-2019'!D$6:D$254)</f>
        <v>0</v>
      </c>
      <c r="F136" s="3"/>
      <c r="G136" s="3">
        <f t="shared" si="3"/>
        <v>0</v>
      </c>
      <c r="H136" s="53" t="s">
        <v>437</v>
      </c>
      <c r="J136" s="19"/>
    </row>
    <row r="137" spans="1:10" x14ac:dyDescent="0.75">
      <c r="A137" s="12">
        <v>4900</v>
      </c>
      <c r="B137" s="13" t="s">
        <v>572</v>
      </c>
      <c r="C137" s="3">
        <f>SUMIF('Raw Data 04-30-2019'!$A$6:$A$254,'Q2 TB-19'!A137,'Raw Data 04-30-2019'!C$6:C$254)</f>
        <v>0</v>
      </c>
      <c r="D137" s="4"/>
      <c r="E137" s="3">
        <f>SUMIF('Raw Data 04-30-2019'!$A$6:$A$254,'Q2 TB-19'!A137,'Raw Data 04-30-2019'!D$6:D$254)</f>
        <v>3835</v>
      </c>
      <c r="F137" s="3"/>
      <c r="G137" s="3">
        <f t="shared" si="3"/>
        <v>-3835</v>
      </c>
      <c r="H137" s="53" t="s">
        <v>801</v>
      </c>
      <c r="J137" s="19"/>
    </row>
    <row r="138" spans="1:10" x14ac:dyDescent="0.75">
      <c r="A138" s="12">
        <v>4950</v>
      </c>
      <c r="B138" s="13" t="s">
        <v>580</v>
      </c>
      <c r="C138" s="3">
        <f>SUMIF('Raw Data 04-30-2019'!$A$6:$A$254,'Q2 TB-19'!A138,'Raw Data 04-30-2019'!C$6:C$254)</f>
        <v>0</v>
      </c>
      <c r="D138" s="4"/>
      <c r="E138" s="3">
        <f>SUMIF('Raw Data 04-30-2019'!$A$6:$A$254,'Q2 TB-19'!A138,'Raw Data 04-30-2019'!D$6:D$254)</f>
        <v>0</v>
      </c>
      <c r="F138" s="3"/>
      <c r="G138" s="3">
        <f t="shared" si="3"/>
        <v>0</v>
      </c>
      <c r="H138" s="53" t="s">
        <v>437</v>
      </c>
      <c r="J138" s="19"/>
    </row>
    <row r="139" spans="1:10" x14ac:dyDescent="0.75">
      <c r="A139" s="12">
        <v>4980</v>
      </c>
      <c r="B139" s="13" t="s">
        <v>581</v>
      </c>
      <c r="C139" s="3">
        <f>SUMIF('Raw Data 04-30-2019'!$A$6:$A$254,'Q2 TB-19'!A139,'Raw Data 04-30-2019'!C$6:C$254)</f>
        <v>0</v>
      </c>
      <c r="D139" s="4"/>
      <c r="E139" s="3">
        <f>SUMIF('Raw Data 04-30-2019'!$A$6:$A$254,'Q2 TB-19'!A139,'Raw Data 04-30-2019'!D$6:D$254)</f>
        <v>0</v>
      </c>
      <c r="F139" s="3"/>
      <c r="G139" s="3">
        <f t="shared" si="3"/>
        <v>0</v>
      </c>
      <c r="H139" s="53" t="s">
        <v>437</v>
      </c>
      <c r="J139" s="19"/>
    </row>
    <row r="140" spans="1:10" x14ac:dyDescent="0.75">
      <c r="A140" s="12">
        <v>5000</v>
      </c>
      <c r="B140" s="13" t="s">
        <v>582</v>
      </c>
      <c r="C140" s="3">
        <f>SUMIF('Raw Data 04-30-2019'!$A$6:$A$254,'Q2 TB-19'!A140,'Raw Data 04-30-2019'!C$6:C$254)</f>
        <v>20904.27</v>
      </c>
      <c r="D140" s="4"/>
      <c r="E140" s="3">
        <f>SUMIF('Raw Data 04-30-2019'!$A$6:$A$254,'Q2 TB-19'!A140,'Raw Data 04-30-2019'!D$6:D$254)</f>
        <v>0</v>
      </c>
      <c r="F140" s="3"/>
      <c r="G140" s="3">
        <f t="shared" si="3"/>
        <v>20904.27</v>
      </c>
      <c r="H140" s="53" t="s">
        <v>438</v>
      </c>
      <c r="J140" s="19"/>
    </row>
    <row r="141" spans="1:10" x14ac:dyDescent="0.75">
      <c r="A141" s="12">
        <v>5010</v>
      </c>
      <c r="B141" s="13" t="s">
        <v>583</v>
      </c>
      <c r="C141" s="3">
        <f>SUMIF('Raw Data 04-30-2019'!$A$6:$A$254,'Q2 TB-19'!A141,'Raw Data 04-30-2019'!C$6:C$254)</f>
        <v>18441.55</v>
      </c>
      <c r="D141" s="4"/>
      <c r="E141" s="3">
        <f>SUMIF('Raw Data 04-30-2019'!$A$6:$A$254,'Q2 TB-19'!A141,'Raw Data 04-30-2019'!D$6:D$254)</f>
        <v>0</v>
      </c>
      <c r="F141" s="3"/>
      <c r="G141" s="3">
        <f t="shared" si="3"/>
        <v>18441.55</v>
      </c>
      <c r="H141" s="53" t="s">
        <v>438</v>
      </c>
      <c r="J141" s="19"/>
    </row>
    <row r="142" spans="1:10" x14ac:dyDescent="0.75">
      <c r="A142" s="12">
        <v>5020</v>
      </c>
      <c r="B142" s="13" t="s">
        <v>584</v>
      </c>
      <c r="C142" s="3">
        <f>SUMIF('Raw Data 04-30-2019'!$A$6:$A$254,'Q2 TB-19'!A142,'Raw Data 04-30-2019'!C$6:C$254)</f>
        <v>0</v>
      </c>
      <c r="D142" s="4"/>
      <c r="E142" s="3">
        <f>SUMIF('Raw Data 04-30-2019'!$A$6:$A$254,'Q2 TB-19'!A142,'Raw Data 04-30-2019'!D$6:D$254)</f>
        <v>0</v>
      </c>
      <c r="F142" s="3"/>
      <c r="G142" s="3">
        <f t="shared" ref="G142:G205" si="9">C142-E142</f>
        <v>0</v>
      </c>
      <c r="H142" s="53" t="s">
        <v>438</v>
      </c>
      <c r="J142" s="19"/>
    </row>
    <row r="143" spans="1:10" x14ac:dyDescent="0.75">
      <c r="A143" s="12">
        <v>5030</v>
      </c>
      <c r="B143" s="13" t="s">
        <v>585</v>
      </c>
      <c r="C143" s="3">
        <f>SUMIF('Raw Data 04-30-2019'!$A$6:$A$254,'Q2 TB-19'!A143,'Raw Data 04-30-2019'!C$6:C$254)</f>
        <v>0</v>
      </c>
      <c r="D143" s="4"/>
      <c r="E143" s="3">
        <f>SUMIF('Raw Data 04-30-2019'!$A$6:$A$254,'Q2 TB-19'!A143,'Raw Data 04-30-2019'!D$6:D$254)</f>
        <v>0</v>
      </c>
      <c r="F143" s="3"/>
      <c r="G143" s="3">
        <f t="shared" si="9"/>
        <v>0</v>
      </c>
      <c r="H143" s="53" t="s">
        <v>438</v>
      </c>
      <c r="J143" s="19"/>
    </row>
    <row r="144" spans="1:10" x14ac:dyDescent="0.75">
      <c r="A144" s="12">
        <v>5040</v>
      </c>
      <c r="B144" s="13" t="s">
        <v>586</v>
      </c>
      <c r="C144" s="3">
        <f>SUMIF('Raw Data 04-30-2019'!$A$6:$A$254,'Q2 TB-19'!A144,'Raw Data 04-30-2019'!C$6:C$254)</f>
        <v>0</v>
      </c>
      <c r="D144" s="4"/>
      <c r="E144" s="3">
        <f>SUMIF('Raw Data 04-30-2019'!$A$6:$A$254,'Q2 TB-19'!A144,'Raw Data 04-30-2019'!D$6:D$254)</f>
        <v>0</v>
      </c>
      <c r="F144" s="3"/>
      <c r="G144" s="3">
        <f t="shared" si="9"/>
        <v>0</v>
      </c>
      <c r="H144" s="53" t="s">
        <v>438</v>
      </c>
      <c r="J144" s="19"/>
    </row>
    <row r="145" spans="1:10" x14ac:dyDescent="0.75">
      <c r="A145" s="12">
        <v>5050</v>
      </c>
      <c r="B145" s="13" t="s">
        <v>587</v>
      </c>
      <c r="C145" s="3">
        <f>SUMIF('Raw Data 04-30-2019'!$A$6:$A$254,'Q2 TB-19'!A145,'Raw Data 04-30-2019'!C$6:C$254)</f>
        <v>69783.070000000007</v>
      </c>
      <c r="D145" s="4"/>
      <c r="E145" s="3">
        <f>SUMIF('Raw Data 04-30-2019'!$A$6:$A$254,'Q2 TB-19'!A145,'Raw Data 04-30-2019'!D$6:D$254)</f>
        <v>0</v>
      </c>
      <c r="F145" s="3"/>
      <c r="G145" s="3">
        <f t="shared" si="9"/>
        <v>69783.070000000007</v>
      </c>
      <c r="H145" s="53" t="s">
        <v>438</v>
      </c>
      <c r="J145" s="19"/>
    </row>
    <row r="146" spans="1:10" x14ac:dyDescent="0.75">
      <c r="A146" s="12">
        <v>5060</v>
      </c>
      <c r="B146" s="13" t="s">
        <v>588</v>
      </c>
      <c r="C146" s="3">
        <f>SUMIF('Raw Data 04-30-2019'!$A$6:$A$254,'Q2 TB-19'!A146,'Raw Data 04-30-2019'!C$6:C$254)</f>
        <v>0</v>
      </c>
      <c r="D146" s="4"/>
      <c r="E146" s="3">
        <f>SUMIF('Raw Data 04-30-2019'!$A$6:$A$254,'Q2 TB-19'!A146,'Raw Data 04-30-2019'!D$6:D$254)</f>
        <v>0</v>
      </c>
      <c r="F146" s="3"/>
      <c r="G146" s="3">
        <f t="shared" si="9"/>
        <v>0</v>
      </c>
      <c r="H146" s="53" t="s">
        <v>438</v>
      </c>
      <c r="J146" s="19"/>
    </row>
    <row r="147" spans="1:10" x14ac:dyDescent="0.75">
      <c r="A147" s="12">
        <v>5070</v>
      </c>
      <c r="B147" s="13" t="s">
        <v>589</v>
      </c>
      <c r="C147" s="3">
        <f>SUMIF('Raw Data 04-30-2019'!$A$6:$A$254,'Q2 TB-19'!A147,'Raw Data 04-30-2019'!C$6:C$254)</f>
        <v>0</v>
      </c>
      <c r="D147" s="4"/>
      <c r="E147" s="3">
        <f>SUMIF('Raw Data 04-30-2019'!$A$6:$A$254,'Q2 TB-19'!A147,'Raw Data 04-30-2019'!D$6:D$254)</f>
        <v>0</v>
      </c>
      <c r="F147" s="3"/>
      <c r="G147" s="3">
        <f t="shared" si="9"/>
        <v>0</v>
      </c>
      <c r="H147" s="53" t="s">
        <v>438</v>
      </c>
      <c r="J147" s="19"/>
    </row>
    <row r="148" spans="1:10" x14ac:dyDescent="0.75">
      <c r="A148" s="12">
        <v>5080</v>
      </c>
      <c r="B148" s="13" t="s">
        <v>597</v>
      </c>
      <c r="C148" s="3">
        <f>SUMIF('Raw Data 04-30-2019'!$A$6:$A$254,'Q2 TB-19'!A148,'Raw Data 04-30-2019'!C$6:C$254)</f>
        <v>0</v>
      </c>
      <c r="D148" s="4"/>
      <c r="E148" s="3">
        <f>SUMIF('Raw Data 04-30-2019'!$A$6:$A$254,'Q2 TB-19'!A148,'Raw Data 04-30-2019'!D$6:D$254)</f>
        <v>0</v>
      </c>
      <c r="F148" s="3"/>
      <c r="G148" s="3">
        <f t="shared" si="9"/>
        <v>0</v>
      </c>
      <c r="H148" s="53" t="s">
        <v>438</v>
      </c>
      <c r="J148" s="19"/>
    </row>
    <row r="149" spans="1:10" x14ac:dyDescent="0.75">
      <c r="A149" s="12">
        <v>5085</v>
      </c>
      <c r="B149" s="13" t="s">
        <v>598</v>
      </c>
      <c r="C149" s="3">
        <f>SUMIF('Raw Data 04-30-2019'!$A$6:$A$254,'Q2 TB-19'!A149,'Raw Data 04-30-2019'!C$6:C$254)</f>
        <v>0</v>
      </c>
      <c r="D149" s="4"/>
      <c r="E149" s="3">
        <f>SUMIF('Raw Data 04-30-2019'!$A$6:$A$254,'Q2 TB-19'!A149,'Raw Data 04-30-2019'!D$6:D$254)</f>
        <v>0</v>
      </c>
      <c r="F149" s="3"/>
      <c r="G149" s="3">
        <f t="shared" si="9"/>
        <v>0</v>
      </c>
      <c r="H149" s="53" t="s">
        <v>438</v>
      </c>
      <c r="J149" s="19"/>
    </row>
    <row r="150" spans="1:10" x14ac:dyDescent="0.75">
      <c r="A150" s="12">
        <v>6010</v>
      </c>
      <c r="B150" s="13" t="s">
        <v>590</v>
      </c>
      <c r="C150" s="3">
        <f>SUMIF('Raw Data 04-30-2019'!$A$6:$A$254,'Q2 TB-19'!A150,'Raw Data 04-30-2019'!C$6:C$254)</f>
        <v>7810.96</v>
      </c>
      <c r="D150" s="4"/>
      <c r="E150" s="3">
        <f>SUMIF('Raw Data 04-30-2019'!$A$6:$A$254,'Q2 TB-19'!A150,'Raw Data 04-30-2019'!D$6:D$254)</f>
        <v>0</v>
      </c>
      <c r="F150" s="3"/>
      <c r="G150" s="3">
        <f t="shared" si="9"/>
        <v>7810.96</v>
      </c>
      <c r="H150" s="53" t="s">
        <v>439</v>
      </c>
      <c r="J150" s="19"/>
    </row>
    <row r="151" spans="1:10" x14ac:dyDescent="0.75">
      <c r="A151" s="12">
        <v>6015</v>
      </c>
      <c r="B151" s="13" t="s">
        <v>591</v>
      </c>
      <c r="C151" s="3">
        <f>SUMIF('Raw Data 04-30-2019'!$A$6:$A$254,'Q2 TB-19'!A151,'Raw Data 04-30-2019'!C$6:C$254)</f>
        <v>0</v>
      </c>
      <c r="D151" s="4"/>
      <c r="E151" s="3">
        <f>SUMIF('Raw Data 04-30-2019'!$A$6:$A$254,'Q2 TB-19'!A151,'Raw Data 04-30-2019'!D$6:D$254)</f>
        <v>0</v>
      </c>
      <c r="F151" s="3"/>
      <c r="G151" s="3">
        <f t="shared" si="9"/>
        <v>0</v>
      </c>
      <c r="H151" s="53" t="s">
        <v>439</v>
      </c>
      <c r="J151" s="19"/>
    </row>
    <row r="152" spans="1:10" x14ac:dyDescent="0.75">
      <c r="A152" s="12">
        <v>6020</v>
      </c>
      <c r="B152" s="13" t="s">
        <v>592</v>
      </c>
      <c r="C152" s="3">
        <f>SUMIF('Raw Data 04-30-2019'!$A$6:$A$254,'Q2 TB-19'!A152,'Raw Data 04-30-2019'!C$6:C$254)</f>
        <v>0</v>
      </c>
      <c r="D152" s="4"/>
      <c r="E152" s="3">
        <f>SUMIF('Raw Data 04-30-2019'!$A$6:$A$254,'Q2 TB-19'!A152,'Raw Data 04-30-2019'!D$6:D$254)</f>
        <v>0</v>
      </c>
      <c r="F152" s="3"/>
      <c r="G152" s="3">
        <f t="shared" si="9"/>
        <v>0</v>
      </c>
      <c r="H152" s="53" t="s">
        <v>439</v>
      </c>
      <c r="J152" s="19"/>
    </row>
    <row r="153" spans="1:10" x14ac:dyDescent="0.75">
      <c r="A153" s="12">
        <v>6025</v>
      </c>
      <c r="B153" s="13" t="s">
        <v>593</v>
      </c>
      <c r="C153" s="3">
        <f>SUMIF('Raw Data 04-30-2019'!$A$6:$A$254,'Q2 TB-19'!A153,'Raw Data 04-30-2019'!C$6:C$254)</f>
        <v>816</v>
      </c>
      <c r="D153" s="4"/>
      <c r="E153" s="3">
        <f>SUMIF('Raw Data 04-30-2019'!$A$6:$A$254,'Q2 TB-19'!A153,'Raw Data 04-30-2019'!D$6:D$254)</f>
        <v>0</v>
      </c>
      <c r="F153" s="3"/>
      <c r="G153" s="3">
        <f t="shared" si="9"/>
        <v>816</v>
      </c>
      <c r="H153" s="53" t="s">
        <v>439</v>
      </c>
      <c r="J153" s="19"/>
    </row>
    <row r="154" spans="1:10" x14ac:dyDescent="0.75">
      <c r="A154" s="12">
        <v>6030</v>
      </c>
      <c r="B154" s="13" t="s">
        <v>594</v>
      </c>
      <c r="C154" s="3">
        <f>SUMIF('Raw Data 04-30-2019'!$A$6:$A$254,'Q2 TB-19'!A154,'Raw Data 04-30-2019'!C$6:C$254)</f>
        <v>1780.3</v>
      </c>
      <c r="D154" s="4"/>
      <c r="E154" s="3">
        <f>SUMIF('Raw Data 04-30-2019'!$A$6:$A$254,'Q2 TB-19'!A154,'Raw Data 04-30-2019'!D$6:D$254)</f>
        <v>0</v>
      </c>
      <c r="F154" s="3"/>
      <c r="G154" s="3">
        <f t="shared" si="9"/>
        <v>1780.3</v>
      </c>
      <c r="H154" s="53" t="s">
        <v>439</v>
      </c>
      <c r="J154" s="19"/>
    </row>
    <row r="155" spans="1:10" x14ac:dyDescent="0.75">
      <c r="A155" s="12">
        <v>6035</v>
      </c>
      <c r="B155" s="13" t="s">
        <v>595</v>
      </c>
      <c r="C155" s="3">
        <f>SUMIF('Raw Data 04-30-2019'!$A$6:$A$254,'Q2 TB-19'!A155,'Raw Data 04-30-2019'!C$6:C$254)</f>
        <v>0</v>
      </c>
      <c r="D155" s="4"/>
      <c r="E155" s="3">
        <f>SUMIF('Raw Data 04-30-2019'!$A$6:$A$254,'Q2 TB-19'!A155,'Raw Data 04-30-2019'!D$6:D$254)</f>
        <v>0</v>
      </c>
      <c r="F155" s="3"/>
      <c r="G155" s="3">
        <f t="shared" si="9"/>
        <v>0</v>
      </c>
      <c r="H155" s="53" t="s">
        <v>439</v>
      </c>
      <c r="J155" s="19"/>
    </row>
    <row r="156" spans="1:10" x14ac:dyDescent="0.75">
      <c r="A156" s="12">
        <v>6040</v>
      </c>
      <c r="B156" s="13" t="s">
        <v>596</v>
      </c>
      <c r="C156" s="3">
        <f>SUMIF('Raw Data 04-30-2019'!$A$6:$A$254,'Q2 TB-19'!A156,'Raw Data 04-30-2019'!C$6:C$254)</f>
        <v>0</v>
      </c>
      <c r="D156" s="4"/>
      <c r="E156" s="3">
        <f>SUMIF('Raw Data 04-30-2019'!$A$6:$A$254,'Q2 TB-19'!A156,'Raw Data 04-30-2019'!D$6:D$254)</f>
        <v>0</v>
      </c>
      <c r="F156" s="3"/>
      <c r="G156" s="3">
        <f t="shared" si="9"/>
        <v>0</v>
      </c>
      <c r="H156" s="53" t="s">
        <v>439</v>
      </c>
      <c r="J156" s="19"/>
    </row>
    <row r="157" spans="1:10" x14ac:dyDescent="0.75">
      <c r="A157" s="12">
        <v>6055</v>
      </c>
      <c r="B157" s="13" t="s">
        <v>599</v>
      </c>
      <c r="C157" s="3">
        <f>SUMIF('Raw Data 04-30-2019'!$A$6:$A$254,'Q2 TB-19'!A157,'Raw Data 04-30-2019'!C$6:C$254)</f>
        <v>598</v>
      </c>
      <c r="D157" s="4"/>
      <c r="E157" s="3">
        <f>SUMIF('Raw Data 04-30-2019'!$A$6:$A$254,'Q2 TB-19'!A157,'Raw Data 04-30-2019'!D$6:D$254)</f>
        <v>0</v>
      </c>
      <c r="F157" s="3"/>
      <c r="G157" s="3">
        <f t="shared" si="9"/>
        <v>598</v>
      </c>
      <c r="H157" s="53" t="s">
        <v>439</v>
      </c>
      <c r="J157" s="19"/>
    </row>
    <row r="158" spans="1:10" x14ac:dyDescent="0.75">
      <c r="A158" s="12">
        <v>6060</v>
      </c>
      <c r="B158" s="13" t="s">
        <v>600</v>
      </c>
      <c r="C158" s="3">
        <f>SUMIF('Raw Data 04-30-2019'!$A$6:$A$254,'Q2 TB-19'!A158,'Raw Data 04-30-2019'!C$6:C$254)</f>
        <v>1298.71</v>
      </c>
      <c r="D158" s="4"/>
      <c r="E158" s="3">
        <f>SUMIF('Raw Data 04-30-2019'!$A$6:$A$254,'Q2 TB-19'!A158,'Raw Data 04-30-2019'!D$6:D$254)</f>
        <v>0</v>
      </c>
      <c r="F158" s="3"/>
      <c r="G158" s="3">
        <f t="shared" si="9"/>
        <v>1298.71</v>
      </c>
      <c r="H158" s="53" t="s">
        <v>439</v>
      </c>
      <c r="J158" s="19"/>
    </row>
    <row r="159" spans="1:10" x14ac:dyDescent="0.75">
      <c r="A159" s="12">
        <v>6065</v>
      </c>
      <c r="B159" s="13" t="s">
        <v>601</v>
      </c>
      <c r="C159" s="3">
        <f>SUMIF('Raw Data 04-30-2019'!$A$6:$A$254,'Q2 TB-19'!A159,'Raw Data 04-30-2019'!C$6:C$254)</f>
        <v>0</v>
      </c>
      <c r="D159" s="4"/>
      <c r="E159" s="3">
        <f>SUMIF('Raw Data 04-30-2019'!$A$6:$A$254,'Q2 TB-19'!A159,'Raw Data 04-30-2019'!D$6:D$254)</f>
        <v>0</v>
      </c>
      <c r="F159" s="3"/>
      <c r="G159" s="3">
        <f t="shared" si="9"/>
        <v>0</v>
      </c>
      <c r="H159" s="53" t="s">
        <v>439</v>
      </c>
      <c r="J159" s="19"/>
    </row>
    <row r="160" spans="1:10" x14ac:dyDescent="0.75">
      <c r="A160" s="12">
        <v>6070</v>
      </c>
      <c r="B160" s="13" t="s">
        <v>602</v>
      </c>
      <c r="C160" s="3">
        <f>SUMIF('Raw Data 04-30-2019'!$A$6:$A$254,'Q2 TB-19'!A160,'Raw Data 04-30-2019'!C$6:C$254)</f>
        <v>0</v>
      </c>
      <c r="D160" s="4"/>
      <c r="E160" s="3">
        <f>SUMIF('Raw Data 04-30-2019'!$A$6:$A$254,'Q2 TB-19'!A160,'Raw Data 04-30-2019'!D$6:D$254)</f>
        <v>0</v>
      </c>
      <c r="F160" s="3"/>
      <c r="G160" s="3">
        <f t="shared" si="9"/>
        <v>0</v>
      </c>
      <c r="H160" s="53" t="s">
        <v>439</v>
      </c>
      <c r="J160" s="19"/>
    </row>
    <row r="161" spans="1:10" x14ac:dyDescent="0.75">
      <c r="A161" s="12">
        <v>6075</v>
      </c>
      <c r="B161" s="13" t="s">
        <v>603</v>
      </c>
      <c r="C161" s="3">
        <f>SUMIF('Raw Data 04-30-2019'!$A$6:$A$254,'Q2 TB-19'!A161,'Raw Data 04-30-2019'!C$6:C$254)</f>
        <v>16315.39</v>
      </c>
      <c r="D161" s="4"/>
      <c r="E161" s="3">
        <f>SUMIF('Raw Data 04-30-2019'!$A$6:$A$254,'Q2 TB-19'!A161,'Raw Data 04-30-2019'!D$6:D$254)</f>
        <v>0</v>
      </c>
      <c r="F161" s="3"/>
      <c r="G161" s="3">
        <f t="shared" si="9"/>
        <v>16315.39</v>
      </c>
      <c r="H161" s="53" t="s">
        <v>439</v>
      </c>
      <c r="J161" s="19"/>
    </row>
    <row r="162" spans="1:10" x14ac:dyDescent="0.75">
      <c r="A162" s="12">
        <v>6080</v>
      </c>
      <c r="B162" s="13" t="s">
        <v>604</v>
      </c>
      <c r="C162" s="3">
        <f>SUMIF('Raw Data 04-30-2019'!$A$6:$A$254,'Q2 TB-19'!A162,'Raw Data 04-30-2019'!C$6:C$254)</f>
        <v>0</v>
      </c>
      <c r="D162" s="4"/>
      <c r="E162" s="3">
        <f>SUMIF('Raw Data 04-30-2019'!$A$6:$A$254,'Q2 TB-19'!A162,'Raw Data 04-30-2019'!D$6:D$254)</f>
        <v>0</v>
      </c>
      <c r="F162" s="3"/>
      <c r="G162" s="3">
        <f t="shared" si="9"/>
        <v>0</v>
      </c>
      <c r="H162" s="53" t="s">
        <v>439</v>
      </c>
      <c r="J162" s="19"/>
    </row>
    <row r="163" spans="1:10" x14ac:dyDescent="0.75">
      <c r="A163" s="12">
        <v>6085</v>
      </c>
      <c r="B163" s="13" t="s">
        <v>605</v>
      </c>
      <c r="C163" s="3">
        <f>SUMIF('Raw Data 04-30-2019'!$A$6:$A$254,'Q2 TB-19'!A163,'Raw Data 04-30-2019'!C$6:C$254)</f>
        <v>1102.7</v>
      </c>
      <c r="D163" s="4"/>
      <c r="E163" s="3">
        <f>SUMIF('Raw Data 04-30-2019'!$A$6:$A$254,'Q2 TB-19'!A163,'Raw Data 04-30-2019'!D$6:D$254)</f>
        <v>0</v>
      </c>
      <c r="F163" s="3"/>
      <c r="G163" s="3">
        <f t="shared" si="9"/>
        <v>1102.7</v>
      </c>
      <c r="H163" s="53" t="s">
        <v>439</v>
      </c>
      <c r="J163" s="19"/>
    </row>
    <row r="164" spans="1:10" x14ac:dyDescent="0.75">
      <c r="A164" s="12">
        <v>6090</v>
      </c>
      <c r="B164" s="13" t="s">
        <v>606</v>
      </c>
      <c r="C164" s="3">
        <f>SUMIF('Raw Data 04-30-2019'!$A$6:$A$254,'Q2 TB-19'!A164,'Raw Data 04-30-2019'!C$6:C$254)</f>
        <v>0</v>
      </c>
      <c r="D164" s="4"/>
      <c r="E164" s="3">
        <f>SUMIF('Raw Data 04-30-2019'!$A$6:$A$254,'Q2 TB-19'!A164,'Raw Data 04-30-2019'!D$6:D$254)</f>
        <v>0</v>
      </c>
      <c r="F164" s="3"/>
      <c r="G164" s="3">
        <f t="shared" si="9"/>
        <v>0</v>
      </c>
      <c r="H164" s="53" t="s">
        <v>439</v>
      </c>
      <c r="J164" s="19"/>
    </row>
    <row r="165" spans="1:10" x14ac:dyDescent="0.75">
      <c r="A165" s="12">
        <v>6095</v>
      </c>
      <c r="B165" s="13" t="s">
        <v>607</v>
      </c>
      <c r="C165" s="3">
        <f>SUMIF('Raw Data 04-30-2019'!$A$6:$A$254,'Q2 TB-19'!A165,'Raw Data 04-30-2019'!C$6:C$254)</f>
        <v>0</v>
      </c>
      <c r="D165" s="4"/>
      <c r="E165" s="3">
        <f>SUMIF('Raw Data 04-30-2019'!$A$6:$A$254,'Q2 TB-19'!A165,'Raw Data 04-30-2019'!D$6:D$254)</f>
        <v>0</v>
      </c>
      <c r="F165" s="3"/>
      <c r="G165" s="3">
        <f t="shared" si="9"/>
        <v>0</v>
      </c>
      <c r="H165" s="53" t="s">
        <v>439</v>
      </c>
      <c r="J165" s="19"/>
    </row>
    <row r="166" spans="1:10" x14ac:dyDescent="0.75">
      <c r="A166" s="12">
        <v>6100</v>
      </c>
      <c r="B166" s="13" t="s">
        <v>608</v>
      </c>
      <c r="C166" s="3">
        <f>SUMIF('Raw Data 04-30-2019'!$A$6:$A$254,'Q2 TB-19'!A166,'Raw Data 04-30-2019'!C$6:C$254)</f>
        <v>0</v>
      </c>
      <c r="D166" s="4"/>
      <c r="E166" s="3">
        <f>SUMIF('Raw Data 04-30-2019'!$A$6:$A$254,'Q2 TB-19'!A166,'Raw Data 04-30-2019'!D$6:D$254)</f>
        <v>0</v>
      </c>
      <c r="F166" s="3"/>
      <c r="G166" s="3">
        <f t="shared" si="9"/>
        <v>0</v>
      </c>
      <c r="H166" s="53" t="s">
        <v>439</v>
      </c>
      <c r="J166" s="19"/>
    </row>
    <row r="167" spans="1:10" x14ac:dyDescent="0.75">
      <c r="A167" s="12">
        <v>6105</v>
      </c>
      <c r="B167" s="13" t="s">
        <v>609</v>
      </c>
      <c r="C167" s="3">
        <f>SUMIF('Raw Data 04-30-2019'!$A$6:$A$254,'Q2 TB-19'!A167,'Raw Data 04-30-2019'!C$6:C$254)</f>
        <v>3339.88</v>
      </c>
      <c r="D167" s="4"/>
      <c r="E167" s="3">
        <f>SUMIF('Raw Data 04-30-2019'!$A$6:$A$254,'Q2 TB-19'!A167,'Raw Data 04-30-2019'!D$6:D$254)</f>
        <v>0</v>
      </c>
      <c r="F167" s="3"/>
      <c r="G167" s="3">
        <f t="shared" si="9"/>
        <v>3339.88</v>
      </c>
      <c r="H167" s="53" t="s">
        <v>439</v>
      </c>
      <c r="J167" s="19"/>
    </row>
    <row r="168" spans="1:10" x14ac:dyDescent="0.75">
      <c r="A168" s="12">
        <v>6110</v>
      </c>
      <c r="B168" s="13" t="s">
        <v>610</v>
      </c>
      <c r="C168" s="3">
        <f>SUMIF('Raw Data 04-30-2019'!$A$6:$A$254,'Q2 TB-19'!A168,'Raw Data 04-30-2019'!C$6:C$254)</f>
        <v>0</v>
      </c>
      <c r="D168" s="4"/>
      <c r="E168" s="3">
        <f>SUMIF('Raw Data 04-30-2019'!$A$6:$A$254,'Q2 TB-19'!A168,'Raw Data 04-30-2019'!D$6:D$254)</f>
        <v>0</v>
      </c>
      <c r="F168" s="3"/>
      <c r="G168" s="3">
        <f t="shared" si="9"/>
        <v>0</v>
      </c>
      <c r="H168" s="53" t="s">
        <v>439</v>
      </c>
      <c r="J168" s="19"/>
    </row>
    <row r="169" spans="1:10" x14ac:dyDescent="0.75">
      <c r="A169" s="12">
        <v>6115</v>
      </c>
      <c r="B169" s="13" t="s">
        <v>611</v>
      </c>
      <c r="C169" s="3">
        <f>SUMIF('Raw Data 04-30-2019'!$A$6:$A$254,'Q2 TB-19'!A169,'Raw Data 04-30-2019'!C$6:C$254)</f>
        <v>3111.42</v>
      </c>
      <c r="D169" s="4"/>
      <c r="E169" s="3">
        <f>SUMIF('Raw Data 04-30-2019'!$A$6:$A$254,'Q2 TB-19'!A169,'Raw Data 04-30-2019'!D$6:D$254)</f>
        <v>0</v>
      </c>
      <c r="F169" s="3"/>
      <c r="G169" s="3">
        <f t="shared" si="9"/>
        <v>3111.42</v>
      </c>
      <c r="H169" s="53" t="s">
        <v>439</v>
      </c>
      <c r="J169" s="19"/>
    </row>
    <row r="170" spans="1:10" x14ac:dyDescent="0.75">
      <c r="A170" s="12">
        <v>6120</v>
      </c>
      <c r="B170" s="13" t="s">
        <v>612</v>
      </c>
      <c r="C170" s="3">
        <f>SUMIF('Raw Data 04-30-2019'!$A$6:$A$254,'Q2 TB-19'!A170,'Raw Data 04-30-2019'!C$6:C$254)</f>
        <v>0</v>
      </c>
      <c r="D170" s="4"/>
      <c r="E170" s="3">
        <f>SUMIF('Raw Data 04-30-2019'!$A$6:$A$254,'Q2 TB-19'!A170,'Raw Data 04-30-2019'!D$6:D$254)</f>
        <v>401.63</v>
      </c>
      <c r="F170" s="3"/>
      <c r="G170" s="3">
        <f t="shared" si="9"/>
        <v>-401.63</v>
      </c>
      <c r="H170" s="53" t="s">
        <v>439</v>
      </c>
      <c r="J170" s="19"/>
    </row>
    <row r="171" spans="1:10" x14ac:dyDescent="0.75">
      <c r="A171" s="12">
        <v>6125</v>
      </c>
      <c r="B171" s="13" t="s">
        <v>613</v>
      </c>
      <c r="C171" s="3">
        <f>SUMIF('Raw Data 04-30-2019'!$A$6:$A$254,'Q2 TB-19'!A171,'Raw Data 04-30-2019'!C$6:C$254)</f>
        <v>0</v>
      </c>
      <c r="D171" s="4"/>
      <c r="E171" s="3">
        <f>SUMIF('Raw Data 04-30-2019'!$A$6:$A$254,'Q2 TB-19'!A171,'Raw Data 04-30-2019'!D$6:D$254)</f>
        <v>0</v>
      </c>
      <c r="F171" s="3"/>
      <c r="G171" s="3">
        <f t="shared" si="9"/>
        <v>0</v>
      </c>
      <c r="H171" s="53" t="s">
        <v>439</v>
      </c>
      <c r="J171" s="19"/>
    </row>
    <row r="172" spans="1:10" x14ac:dyDescent="0.75">
      <c r="A172" s="12">
        <v>6130</v>
      </c>
      <c r="B172" s="13" t="s">
        <v>614</v>
      </c>
      <c r="C172" s="3">
        <f>SUMIF('Raw Data 04-30-2019'!$A$6:$A$254,'Q2 TB-19'!A172,'Raw Data 04-30-2019'!C$6:C$254)</f>
        <v>0</v>
      </c>
      <c r="D172" s="4"/>
      <c r="E172" s="3">
        <f>SUMIF('Raw Data 04-30-2019'!$A$6:$A$254,'Q2 TB-19'!A172,'Raw Data 04-30-2019'!D$6:D$254)</f>
        <v>0</v>
      </c>
      <c r="F172" s="3"/>
      <c r="G172" s="3">
        <f t="shared" si="9"/>
        <v>0</v>
      </c>
      <c r="H172" s="53" t="s">
        <v>439</v>
      </c>
      <c r="J172" s="19"/>
    </row>
    <row r="173" spans="1:10" x14ac:dyDescent="0.75">
      <c r="A173" s="12">
        <v>6135</v>
      </c>
      <c r="B173" s="13" t="s">
        <v>615</v>
      </c>
      <c r="C173" s="3">
        <f>SUMIF('Raw Data 04-30-2019'!$A$6:$A$254,'Q2 TB-19'!A173,'Raw Data 04-30-2019'!C$6:C$254)</f>
        <v>1369.33</v>
      </c>
      <c r="D173" s="4"/>
      <c r="E173" s="3">
        <f>SUMIF('Raw Data 04-30-2019'!$A$6:$A$254,'Q2 TB-19'!A173,'Raw Data 04-30-2019'!D$6:D$254)</f>
        <v>0</v>
      </c>
      <c r="F173" s="3"/>
      <c r="G173" s="3">
        <f t="shared" si="9"/>
        <v>1369.33</v>
      </c>
      <c r="H173" s="53" t="s">
        <v>439</v>
      </c>
      <c r="J173" s="19"/>
    </row>
    <row r="174" spans="1:10" x14ac:dyDescent="0.75">
      <c r="A174" s="12">
        <v>6140</v>
      </c>
      <c r="B174" s="13" t="s">
        <v>616</v>
      </c>
      <c r="C174" s="3">
        <f>SUMIF('Raw Data 04-30-2019'!$A$6:$A$254,'Q2 TB-19'!A174,'Raw Data 04-30-2019'!C$6:C$254)</f>
        <v>0</v>
      </c>
      <c r="D174" s="4"/>
      <c r="E174" s="3">
        <f>SUMIF('Raw Data 04-30-2019'!$A$6:$A$254,'Q2 TB-19'!A174,'Raw Data 04-30-2019'!D$6:D$254)</f>
        <v>0</v>
      </c>
      <c r="F174" s="3"/>
      <c r="G174" s="3">
        <f t="shared" si="9"/>
        <v>0</v>
      </c>
      <c r="H174" s="53" t="s">
        <v>439</v>
      </c>
      <c r="J174" s="19"/>
    </row>
    <row r="175" spans="1:10" x14ac:dyDescent="0.75">
      <c r="A175" s="12">
        <v>6145</v>
      </c>
      <c r="B175" s="13" t="s">
        <v>617</v>
      </c>
      <c r="C175" s="3">
        <f>SUMIF('Raw Data 04-30-2019'!$A$6:$A$254,'Q2 TB-19'!A175,'Raw Data 04-30-2019'!C$6:C$254)</f>
        <v>0</v>
      </c>
      <c r="D175" s="4"/>
      <c r="E175" s="3">
        <f>SUMIF('Raw Data 04-30-2019'!$A$6:$A$254,'Q2 TB-19'!A175,'Raw Data 04-30-2019'!D$6:D$254)</f>
        <v>0</v>
      </c>
      <c r="F175" s="3"/>
      <c r="G175" s="3">
        <f t="shared" si="9"/>
        <v>0</v>
      </c>
      <c r="H175" s="53" t="s">
        <v>439</v>
      </c>
      <c r="J175" s="19"/>
    </row>
    <row r="176" spans="1:10" x14ac:dyDescent="0.75">
      <c r="A176" s="12">
        <v>6150</v>
      </c>
      <c r="B176" s="13" t="s">
        <v>618</v>
      </c>
      <c r="C176" s="3">
        <f>SUMIF('Raw Data 04-30-2019'!$A$6:$A$254,'Q2 TB-19'!A176,'Raw Data 04-30-2019'!C$6:C$254)</f>
        <v>2624</v>
      </c>
      <c r="D176" s="4"/>
      <c r="E176" s="3">
        <f>SUMIF('Raw Data 04-30-2019'!$A$6:$A$254,'Q2 TB-19'!A176,'Raw Data 04-30-2019'!D$6:D$254)</f>
        <v>0</v>
      </c>
      <c r="F176" s="3"/>
      <c r="G176" s="3">
        <f t="shared" si="9"/>
        <v>2624</v>
      </c>
      <c r="H176" s="53" t="s">
        <v>439</v>
      </c>
      <c r="J176" s="19"/>
    </row>
    <row r="177" spans="1:10" x14ac:dyDescent="0.75">
      <c r="A177" s="12">
        <v>6155</v>
      </c>
      <c r="B177" s="13" t="s">
        <v>619</v>
      </c>
      <c r="C177" s="3">
        <f>SUMIF('Raw Data 04-30-2019'!$A$6:$A$254,'Q2 TB-19'!A177,'Raw Data 04-30-2019'!C$6:C$254)</f>
        <v>5974.3</v>
      </c>
      <c r="D177" s="4"/>
      <c r="E177" s="3">
        <f>SUMIF('Raw Data 04-30-2019'!$A$6:$A$254,'Q2 TB-19'!A177,'Raw Data 04-30-2019'!D$6:D$254)</f>
        <v>0</v>
      </c>
      <c r="F177" s="3"/>
      <c r="G177" s="3">
        <f t="shared" si="9"/>
        <v>5974.3</v>
      </c>
      <c r="H177" s="53" t="s">
        <v>439</v>
      </c>
      <c r="J177" s="19"/>
    </row>
    <row r="178" spans="1:10" x14ac:dyDescent="0.75">
      <c r="A178" s="12">
        <v>6200</v>
      </c>
      <c r="B178" s="13" t="s">
        <v>625</v>
      </c>
      <c r="C178" s="3">
        <f>SUMIF('Raw Data 04-30-2019'!$A$6:$A$254,'Q2 TB-19'!A178,'Raw Data 04-30-2019'!C$6:C$254)</f>
        <v>0</v>
      </c>
      <c r="D178" s="4"/>
      <c r="E178" s="3">
        <f>SUMIF('Raw Data 04-30-2019'!$A$6:$A$254,'Q2 TB-19'!A178,'Raw Data 04-30-2019'!D$6:D$254)</f>
        <v>0</v>
      </c>
      <c r="F178" s="3"/>
      <c r="G178" s="3">
        <f t="shared" si="9"/>
        <v>0</v>
      </c>
      <c r="H178" s="53" t="s">
        <v>439</v>
      </c>
      <c r="J178" s="19"/>
    </row>
    <row r="179" spans="1:10" x14ac:dyDescent="0.75">
      <c r="A179" s="12">
        <v>6205</v>
      </c>
      <c r="B179" s="13" t="s">
        <v>626</v>
      </c>
      <c r="C179" s="3">
        <f>SUMIF('Raw Data 04-30-2019'!$A$6:$A$254,'Q2 TB-19'!A179,'Raw Data 04-30-2019'!C$6:C$254)</f>
        <v>0</v>
      </c>
      <c r="D179" s="4"/>
      <c r="E179" s="3">
        <f>SUMIF('Raw Data 04-30-2019'!$A$6:$A$254,'Q2 TB-19'!A179,'Raw Data 04-30-2019'!D$6:D$254)</f>
        <v>0</v>
      </c>
      <c r="F179" s="3"/>
      <c r="G179" s="3">
        <f t="shared" si="9"/>
        <v>0</v>
      </c>
      <c r="H179" s="53" t="s">
        <v>439</v>
      </c>
      <c r="J179" s="19"/>
    </row>
    <row r="180" spans="1:10" x14ac:dyDescent="0.75">
      <c r="A180" s="12">
        <v>6210</v>
      </c>
      <c r="B180" s="13" t="s">
        <v>627</v>
      </c>
      <c r="C180" s="3">
        <f>SUMIF('Raw Data 04-30-2019'!$A$6:$A$254,'Q2 TB-19'!A180,'Raw Data 04-30-2019'!C$6:C$254)</f>
        <v>835</v>
      </c>
      <c r="D180" s="4"/>
      <c r="E180" s="3">
        <f>SUMIF('Raw Data 04-30-2019'!$A$6:$A$254,'Q2 TB-19'!A180,'Raw Data 04-30-2019'!D$6:D$254)</f>
        <v>0</v>
      </c>
      <c r="F180" s="3"/>
      <c r="G180" s="3">
        <f t="shared" si="9"/>
        <v>835</v>
      </c>
      <c r="H180" s="53" t="s">
        <v>439</v>
      </c>
      <c r="J180" s="19"/>
    </row>
    <row r="181" spans="1:10" x14ac:dyDescent="0.75">
      <c r="A181" s="12">
        <v>6215</v>
      </c>
      <c r="B181" s="13" t="s">
        <v>628</v>
      </c>
      <c r="C181" s="3">
        <f>SUMIF('Raw Data 04-30-2019'!$A$6:$A$254,'Q2 TB-19'!A181,'Raw Data 04-30-2019'!C$6:C$254)</f>
        <v>1735.41</v>
      </c>
      <c r="D181" s="4"/>
      <c r="E181" s="3">
        <f>SUMIF('Raw Data 04-30-2019'!$A$6:$A$254,'Q2 TB-19'!A181,'Raw Data 04-30-2019'!D$6:D$254)</f>
        <v>0</v>
      </c>
      <c r="F181" s="3"/>
      <c r="G181" s="3">
        <f t="shared" si="9"/>
        <v>1735.41</v>
      </c>
      <c r="H181" s="53" t="s">
        <v>439</v>
      </c>
      <c r="J181" s="19"/>
    </row>
    <row r="182" spans="1:10" x14ac:dyDescent="0.75">
      <c r="A182" s="12">
        <v>6220</v>
      </c>
      <c r="B182" s="13" t="s">
        <v>629</v>
      </c>
      <c r="C182" s="3">
        <f>SUMIF('Raw Data 04-30-2019'!$A$6:$A$254,'Q2 TB-19'!A182,'Raw Data 04-30-2019'!C$6:C$254)</f>
        <v>3048.97</v>
      </c>
      <c r="D182" s="4"/>
      <c r="E182" s="3">
        <f>SUMIF('Raw Data 04-30-2019'!$A$6:$A$254,'Q2 TB-19'!A182,'Raw Data 04-30-2019'!D$6:D$254)</f>
        <v>0</v>
      </c>
      <c r="F182" s="3"/>
      <c r="G182" s="3">
        <f t="shared" si="9"/>
        <v>3048.97</v>
      </c>
      <c r="H182" s="53" t="s">
        <v>439</v>
      </c>
      <c r="J182" s="19"/>
    </row>
    <row r="183" spans="1:10" x14ac:dyDescent="0.75">
      <c r="A183" s="12">
        <v>6225</v>
      </c>
      <c r="B183" s="13" t="s">
        <v>630</v>
      </c>
      <c r="C183" s="3">
        <f>SUMIF('Raw Data 04-30-2019'!$A$6:$A$254,'Q2 TB-19'!A183,'Raw Data 04-30-2019'!C$6:C$254)</f>
        <v>0</v>
      </c>
      <c r="D183" s="4"/>
      <c r="E183" s="3">
        <f>SUMIF('Raw Data 04-30-2019'!$A$6:$A$254,'Q2 TB-19'!A183,'Raw Data 04-30-2019'!D$6:D$254)</f>
        <v>0</v>
      </c>
      <c r="F183" s="3"/>
      <c r="G183" s="3">
        <f t="shared" si="9"/>
        <v>0</v>
      </c>
      <c r="H183" s="53" t="s">
        <v>439</v>
      </c>
      <c r="J183" s="19"/>
    </row>
    <row r="184" spans="1:10" x14ac:dyDescent="0.75">
      <c r="A184" s="12">
        <v>6230</v>
      </c>
      <c r="B184" s="13" t="s">
        <v>631</v>
      </c>
      <c r="C184" s="3">
        <f>SUMIF('Raw Data 04-30-2019'!$A$6:$A$254,'Q2 TB-19'!A184,'Raw Data 04-30-2019'!C$6:C$254)</f>
        <v>0</v>
      </c>
      <c r="D184" s="4"/>
      <c r="E184" s="3">
        <f>SUMIF('Raw Data 04-30-2019'!$A$6:$A$254,'Q2 TB-19'!A184,'Raw Data 04-30-2019'!D$6:D$254)</f>
        <v>0</v>
      </c>
      <c r="F184" s="3"/>
      <c r="G184" s="3">
        <f t="shared" si="9"/>
        <v>0</v>
      </c>
      <c r="H184" s="53" t="s">
        <v>439</v>
      </c>
      <c r="J184" s="19"/>
    </row>
    <row r="185" spans="1:10" x14ac:dyDescent="0.75">
      <c r="A185" s="12">
        <v>6235</v>
      </c>
      <c r="B185" s="13" t="s">
        <v>632</v>
      </c>
      <c r="C185" s="3">
        <f>SUMIF('Raw Data 04-30-2019'!$A$6:$A$254,'Q2 TB-19'!A185,'Raw Data 04-30-2019'!C$6:C$254)</f>
        <v>0</v>
      </c>
      <c r="D185" s="4"/>
      <c r="E185" s="3">
        <f>SUMIF('Raw Data 04-30-2019'!$A$6:$A$254,'Q2 TB-19'!A185,'Raw Data 04-30-2019'!D$6:D$254)</f>
        <v>0</v>
      </c>
      <c r="F185" s="3"/>
      <c r="G185" s="3">
        <f t="shared" si="9"/>
        <v>0</v>
      </c>
      <c r="H185" s="53" t="s">
        <v>439</v>
      </c>
      <c r="J185" s="19"/>
    </row>
    <row r="186" spans="1:10" x14ac:dyDescent="0.75">
      <c r="A186" s="12">
        <v>6240</v>
      </c>
      <c r="B186" s="13" t="s">
        <v>633</v>
      </c>
      <c r="C186" s="3">
        <f>SUMIF('Raw Data 04-30-2019'!$A$6:$A$254,'Q2 TB-19'!A186,'Raw Data 04-30-2019'!C$6:C$254)</f>
        <v>0</v>
      </c>
      <c r="D186" s="4"/>
      <c r="E186" s="3">
        <f>SUMIF('Raw Data 04-30-2019'!$A$6:$A$254,'Q2 TB-19'!A186,'Raw Data 04-30-2019'!D$6:D$254)</f>
        <v>0</v>
      </c>
      <c r="F186" s="3"/>
      <c r="G186" s="3">
        <f t="shared" si="9"/>
        <v>0</v>
      </c>
      <c r="H186" s="53" t="s">
        <v>439</v>
      </c>
      <c r="J186" s="19"/>
    </row>
    <row r="187" spans="1:10" x14ac:dyDescent="0.75">
      <c r="A187" s="12">
        <v>6245</v>
      </c>
      <c r="B187" s="13" t="s">
        <v>634</v>
      </c>
      <c r="C187" s="3">
        <f>SUMIF('Raw Data 04-30-2019'!$A$6:$A$254,'Q2 TB-19'!A187,'Raw Data 04-30-2019'!C$6:C$254)</f>
        <v>1109.51</v>
      </c>
      <c r="D187" s="4"/>
      <c r="E187" s="3">
        <f>SUMIF('Raw Data 04-30-2019'!$A$6:$A$254,'Q2 TB-19'!A187,'Raw Data 04-30-2019'!D$6:D$254)</f>
        <v>0</v>
      </c>
      <c r="F187" s="3"/>
      <c r="G187" s="3">
        <f t="shared" si="9"/>
        <v>1109.51</v>
      </c>
      <c r="H187" s="53" t="s">
        <v>439</v>
      </c>
      <c r="J187" s="19"/>
    </row>
    <row r="188" spans="1:10" x14ac:dyDescent="0.75">
      <c r="A188" s="12">
        <v>6250</v>
      </c>
      <c r="B188" s="13" t="s">
        <v>635</v>
      </c>
      <c r="C188" s="3">
        <f>SUMIF('Raw Data 04-30-2019'!$A$6:$A$254,'Q2 TB-19'!A188,'Raw Data 04-30-2019'!C$6:C$254)</f>
        <v>0</v>
      </c>
      <c r="D188" s="4"/>
      <c r="E188" s="3">
        <f>SUMIF('Raw Data 04-30-2019'!$A$6:$A$254,'Q2 TB-19'!A188,'Raw Data 04-30-2019'!D$6:D$254)</f>
        <v>0</v>
      </c>
      <c r="F188" s="3"/>
      <c r="G188" s="3">
        <f t="shared" si="9"/>
        <v>0</v>
      </c>
      <c r="H188" s="53" t="s">
        <v>439</v>
      </c>
      <c r="J188" s="19"/>
    </row>
    <row r="189" spans="1:10" x14ac:dyDescent="0.75">
      <c r="A189" s="14">
        <v>6255</v>
      </c>
      <c r="B189" s="13" t="s">
        <v>636</v>
      </c>
      <c r="C189" s="3">
        <f>SUMIF('Raw Data 04-30-2019'!$A$6:$A$254,'Q2 TB-19'!A189,'Raw Data 04-30-2019'!C$6:C$254)</f>
        <v>58.68</v>
      </c>
      <c r="D189" s="4"/>
      <c r="E189" s="3">
        <f>SUMIF('Raw Data 04-30-2019'!$A$6:$A$254,'Q2 TB-19'!A189,'Raw Data 04-30-2019'!D$6:D$254)</f>
        <v>0</v>
      </c>
      <c r="F189" s="3"/>
      <c r="G189" s="3">
        <f t="shared" si="9"/>
        <v>58.68</v>
      </c>
      <c r="H189" s="53" t="s">
        <v>439</v>
      </c>
      <c r="J189" s="19"/>
    </row>
    <row r="190" spans="1:10" x14ac:dyDescent="0.75">
      <c r="A190" s="14">
        <v>6260</v>
      </c>
      <c r="B190" s="13" t="s">
        <v>637</v>
      </c>
      <c r="C190" s="3">
        <f>SUMIF('Raw Data 04-30-2019'!$A$6:$A$254,'Q2 TB-19'!A190,'Raw Data 04-30-2019'!C$6:C$254)</f>
        <v>0</v>
      </c>
      <c r="D190" s="4"/>
      <c r="E190" s="3">
        <f>SUMIF('Raw Data 04-30-2019'!$A$6:$A$254,'Q2 TB-19'!A190,'Raw Data 04-30-2019'!D$6:D$254)</f>
        <v>0</v>
      </c>
      <c r="F190" s="3"/>
      <c r="G190" s="3">
        <f t="shared" si="9"/>
        <v>0</v>
      </c>
      <c r="H190" s="53" t="s">
        <v>439</v>
      </c>
      <c r="J190" s="19"/>
    </row>
    <row r="191" spans="1:10" x14ac:dyDescent="0.75">
      <c r="A191" s="14">
        <v>6265</v>
      </c>
      <c r="B191" s="13" t="s">
        <v>638</v>
      </c>
      <c r="C191" s="3">
        <f>SUMIF('Raw Data 04-30-2019'!$A$6:$A$254,'Q2 TB-19'!A191,'Raw Data 04-30-2019'!C$6:C$254)</f>
        <v>14.5</v>
      </c>
      <c r="D191" s="4"/>
      <c r="E191" s="3">
        <f>SUMIF('Raw Data 04-30-2019'!$A$6:$A$254,'Q2 TB-19'!A191,'Raw Data 04-30-2019'!D$6:D$254)</f>
        <v>0</v>
      </c>
      <c r="F191" s="3"/>
      <c r="G191" s="3">
        <f t="shared" si="9"/>
        <v>14.5</v>
      </c>
      <c r="H191" s="53" t="s">
        <v>439</v>
      </c>
      <c r="J191" s="19"/>
    </row>
    <row r="192" spans="1:10" x14ac:dyDescent="0.75">
      <c r="A192" s="14">
        <v>6270</v>
      </c>
      <c r="B192" s="13" t="s">
        <v>639</v>
      </c>
      <c r="C192" s="3">
        <f>SUMIF('Raw Data 04-30-2019'!$A$6:$A$254,'Q2 TB-19'!A192,'Raw Data 04-30-2019'!C$6:C$254)</f>
        <v>37195</v>
      </c>
      <c r="D192" s="4"/>
      <c r="E192" s="3">
        <f>SUMIF('Raw Data 04-30-2019'!$A$6:$A$254,'Q2 TB-19'!A192,'Raw Data 04-30-2019'!D$6:D$254)</f>
        <v>0</v>
      </c>
      <c r="F192" s="3"/>
      <c r="G192" s="3">
        <f t="shared" si="9"/>
        <v>37195</v>
      </c>
      <c r="H192" s="53" t="s">
        <v>439</v>
      </c>
      <c r="J192" s="19"/>
    </row>
    <row r="193" spans="1:10" s="6" customFormat="1" x14ac:dyDescent="0.75">
      <c r="A193" s="12">
        <v>6275</v>
      </c>
      <c r="B193" s="13" t="s">
        <v>640</v>
      </c>
      <c r="C193" s="3">
        <f>SUMIF('Raw Data 04-30-2019'!$A$6:$A$254,'Q2 TB-19'!A193,'Raw Data 04-30-2019'!C$6:C$254)</f>
        <v>51290.76</v>
      </c>
      <c r="D193" s="4"/>
      <c r="E193" s="3">
        <f>SUMIF('Raw Data 04-30-2019'!$A$6:$A$254,'Q2 TB-19'!A193,'Raw Data 04-30-2019'!D$6:D$254)</f>
        <v>0</v>
      </c>
      <c r="F193" s="3"/>
      <c r="G193" s="3">
        <f t="shared" si="9"/>
        <v>51290.76</v>
      </c>
      <c r="H193" s="53" t="s">
        <v>439</v>
      </c>
      <c r="I193"/>
      <c r="J193" s="19"/>
    </row>
    <row r="194" spans="1:10" x14ac:dyDescent="0.75">
      <c r="A194" s="14">
        <v>6280</v>
      </c>
      <c r="B194" s="13" t="s">
        <v>641</v>
      </c>
      <c r="C194" s="3">
        <f>SUMIF('Raw Data 04-30-2019'!$A$6:$A$254,'Q2 TB-19'!A194,'Raw Data 04-30-2019'!C$6:C$254)</f>
        <v>9220</v>
      </c>
      <c r="D194" s="4"/>
      <c r="E194" s="3">
        <f>SUMIF('Raw Data 04-30-2019'!$A$6:$A$254,'Q2 TB-19'!A194,'Raw Data 04-30-2019'!D$6:D$254)</f>
        <v>0</v>
      </c>
      <c r="F194" s="3"/>
      <c r="G194" s="3">
        <f t="shared" si="9"/>
        <v>9220</v>
      </c>
      <c r="H194" s="53" t="s">
        <v>439</v>
      </c>
      <c r="J194" s="19"/>
    </row>
    <row r="195" spans="1:10" x14ac:dyDescent="0.75">
      <c r="A195" s="12">
        <v>6285</v>
      </c>
      <c r="B195" s="13" t="s">
        <v>642</v>
      </c>
      <c r="C195" s="3">
        <f>SUMIF('Raw Data 04-30-2019'!$A$6:$A$254,'Q2 TB-19'!A195,'Raw Data 04-30-2019'!C$6:C$254)</f>
        <v>0</v>
      </c>
      <c r="D195" s="4"/>
      <c r="E195" s="3">
        <f>SUMIF('Raw Data 04-30-2019'!$A$6:$A$254,'Q2 TB-19'!A195,'Raw Data 04-30-2019'!D$6:D$254)</f>
        <v>0</v>
      </c>
      <c r="F195" s="3"/>
      <c r="G195" s="3">
        <f t="shared" si="9"/>
        <v>0</v>
      </c>
      <c r="H195" s="53" t="s">
        <v>439</v>
      </c>
      <c r="J195" s="19"/>
    </row>
    <row r="196" spans="1:10" x14ac:dyDescent="0.75">
      <c r="A196" s="14">
        <v>6290</v>
      </c>
      <c r="B196" s="13" t="s">
        <v>643</v>
      </c>
      <c r="C196" s="3">
        <f>SUMIF('Raw Data 04-30-2019'!$A$6:$A$254,'Q2 TB-19'!A196,'Raw Data 04-30-2019'!C$6:C$254)</f>
        <v>0</v>
      </c>
      <c r="D196" s="4"/>
      <c r="E196" s="3">
        <f>SUMIF('Raw Data 04-30-2019'!$A$6:$A$254,'Q2 TB-19'!A196,'Raw Data 04-30-2019'!D$6:D$254)</f>
        <v>0</v>
      </c>
      <c r="F196" s="3"/>
      <c r="G196" s="3">
        <f t="shared" si="9"/>
        <v>0</v>
      </c>
      <c r="H196" s="53" t="s">
        <v>439</v>
      </c>
      <c r="J196" s="19"/>
    </row>
    <row r="197" spans="1:10" x14ac:dyDescent="0.75">
      <c r="A197" s="14">
        <v>6295</v>
      </c>
      <c r="B197" s="13" t="s">
        <v>644</v>
      </c>
      <c r="C197" s="3">
        <f>SUMIF('Raw Data 04-30-2019'!$A$6:$A$254,'Q2 TB-19'!A197,'Raw Data 04-30-2019'!C$6:C$254)</f>
        <v>0</v>
      </c>
      <c r="D197" s="4"/>
      <c r="E197" s="3">
        <f>SUMIF('Raw Data 04-30-2019'!$A$6:$A$254,'Q2 TB-19'!A197,'Raw Data 04-30-2019'!D$6:D$254)</f>
        <v>0</v>
      </c>
      <c r="F197" s="3"/>
      <c r="G197" s="3">
        <f t="shared" si="9"/>
        <v>0</v>
      </c>
      <c r="H197" s="53" t="s">
        <v>439</v>
      </c>
      <c r="I197" s="6"/>
      <c r="J197" s="19"/>
    </row>
    <row r="198" spans="1:10" x14ac:dyDescent="0.75">
      <c r="A198" s="14">
        <v>6300</v>
      </c>
      <c r="B198" s="13" t="s">
        <v>645</v>
      </c>
      <c r="C198" s="3">
        <f>SUMIF('Raw Data 04-30-2019'!$A$6:$A$254,'Q2 TB-19'!A198,'Raw Data 04-30-2019'!C$6:C$254)</f>
        <v>3255.78</v>
      </c>
      <c r="D198" s="4"/>
      <c r="E198" s="3">
        <f>SUMIF('Raw Data 04-30-2019'!$A$6:$A$254,'Q2 TB-19'!A198,'Raw Data 04-30-2019'!D$6:D$254)</f>
        <v>0</v>
      </c>
      <c r="F198" s="3"/>
      <c r="G198" s="3">
        <f t="shared" si="9"/>
        <v>3255.78</v>
      </c>
      <c r="H198" s="53" t="s">
        <v>439</v>
      </c>
      <c r="J198" s="19"/>
    </row>
    <row r="199" spans="1:10" x14ac:dyDescent="0.75">
      <c r="A199" s="14">
        <v>6305</v>
      </c>
      <c r="B199" s="13" t="s">
        <v>646</v>
      </c>
      <c r="C199" s="3">
        <f>SUMIF('Raw Data 04-30-2019'!$A$6:$A$254,'Q2 TB-19'!A199,'Raw Data 04-30-2019'!C$6:C$254)</f>
        <v>0</v>
      </c>
      <c r="D199" s="4"/>
      <c r="E199" s="3">
        <f>SUMIF('Raw Data 04-30-2019'!$A$6:$A$254,'Q2 TB-19'!A199,'Raw Data 04-30-2019'!D$6:D$254)</f>
        <v>0</v>
      </c>
      <c r="F199" s="3"/>
      <c r="G199" s="3">
        <f t="shared" si="9"/>
        <v>0</v>
      </c>
      <c r="H199" s="53" t="s">
        <v>439</v>
      </c>
      <c r="J199" s="19"/>
    </row>
    <row r="200" spans="1:10" x14ac:dyDescent="0.75">
      <c r="A200" s="12">
        <v>6310</v>
      </c>
      <c r="B200" s="13" t="s">
        <v>647</v>
      </c>
      <c r="C200" s="3">
        <f>SUMIF('Raw Data 04-30-2019'!$A$6:$A$254,'Q2 TB-19'!A200,'Raw Data 04-30-2019'!C$6:C$254)</f>
        <v>0</v>
      </c>
      <c r="D200" s="4"/>
      <c r="E200" s="3">
        <f>SUMIF('Raw Data 04-30-2019'!$A$6:$A$254,'Q2 TB-19'!A200,'Raw Data 04-30-2019'!D$6:D$254)</f>
        <v>0</v>
      </c>
      <c r="F200" s="3"/>
      <c r="G200" s="3">
        <f t="shared" si="9"/>
        <v>0</v>
      </c>
      <c r="H200" s="53" t="s">
        <v>439</v>
      </c>
      <c r="J200" s="19"/>
    </row>
    <row r="201" spans="1:10" x14ac:dyDescent="0.75">
      <c r="A201" s="14">
        <v>6315</v>
      </c>
      <c r="B201" s="13" t="s">
        <v>648</v>
      </c>
      <c r="C201" s="3">
        <f>SUMIF('Raw Data 04-30-2019'!$A$6:$A$254,'Q2 TB-19'!A201,'Raw Data 04-30-2019'!C$6:C$254)</f>
        <v>16600.87</v>
      </c>
      <c r="D201" s="4"/>
      <c r="E201" s="3">
        <f>SUMIF('Raw Data 04-30-2019'!$A$6:$A$254,'Q2 TB-19'!A201,'Raw Data 04-30-2019'!D$6:D$254)</f>
        <v>0</v>
      </c>
      <c r="F201" s="3"/>
      <c r="G201" s="3">
        <f t="shared" si="9"/>
        <v>16600.87</v>
      </c>
      <c r="H201" s="53" t="s">
        <v>439</v>
      </c>
      <c r="J201" s="19"/>
    </row>
    <row r="202" spans="1:10" x14ac:dyDescent="0.75">
      <c r="A202" s="12">
        <v>6320</v>
      </c>
      <c r="B202" s="13" t="s">
        <v>649</v>
      </c>
      <c r="C202" s="3">
        <f>SUMIF('Raw Data 04-30-2019'!$A$6:$A$254,'Q2 TB-19'!A202,'Raw Data 04-30-2019'!C$6:C$254)</f>
        <v>0</v>
      </c>
      <c r="D202" s="4"/>
      <c r="E202" s="3">
        <f>SUMIF('Raw Data 04-30-2019'!$A$6:$A$254,'Q2 TB-19'!A202,'Raw Data 04-30-2019'!D$6:D$254)</f>
        <v>0</v>
      </c>
      <c r="F202" s="3"/>
      <c r="G202" s="3">
        <f t="shared" si="9"/>
        <v>0</v>
      </c>
      <c r="H202" s="53" t="s">
        <v>439</v>
      </c>
      <c r="J202" s="19"/>
    </row>
    <row r="203" spans="1:10" x14ac:dyDescent="0.75">
      <c r="A203" s="12">
        <v>6325</v>
      </c>
      <c r="B203" s="13" t="s">
        <v>650</v>
      </c>
      <c r="C203" s="3">
        <f>SUMIF('Raw Data 04-30-2019'!$A$6:$A$254,'Q2 TB-19'!A203,'Raw Data 04-30-2019'!C$6:C$254)</f>
        <v>0</v>
      </c>
      <c r="D203" s="4"/>
      <c r="E203" s="3">
        <f>SUMIF('Raw Data 04-30-2019'!$A$6:$A$254,'Q2 TB-19'!A203,'Raw Data 04-30-2019'!D$6:D$254)</f>
        <v>0</v>
      </c>
      <c r="F203" s="3"/>
      <c r="G203" s="3">
        <f t="shared" si="9"/>
        <v>0</v>
      </c>
      <c r="H203" s="53" t="s">
        <v>439</v>
      </c>
      <c r="J203" s="19"/>
    </row>
    <row r="204" spans="1:10" x14ac:dyDescent="0.75">
      <c r="A204" s="12">
        <v>6330</v>
      </c>
      <c r="B204" s="13" t="s">
        <v>651</v>
      </c>
      <c r="C204" s="3">
        <f>SUMIF('Raw Data 04-30-2019'!$A$6:$A$254,'Q2 TB-19'!A204,'Raw Data 04-30-2019'!C$6:C$254)</f>
        <v>0</v>
      </c>
      <c r="D204" s="4"/>
      <c r="E204" s="3">
        <f>SUMIF('Raw Data 04-30-2019'!$A$6:$A$254,'Q2 TB-19'!A204,'Raw Data 04-30-2019'!D$6:D$254)</f>
        <v>0</v>
      </c>
      <c r="F204" s="3"/>
      <c r="G204" s="3">
        <f t="shared" si="9"/>
        <v>0</v>
      </c>
      <c r="H204" s="53" t="s">
        <v>439</v>
      </c>
      <c r="J204" s="19"/>
    </row>
    <row r="205" spans="1:10" x14ac:dyDescent="0.75">
      <c r="A205" s="14">
        <v>6335</v>
      </c>
      <c r="B205" s="18" t="s">
        <v>652</v>
      </c>
      <c r="C205" s="3">
        <f>SUMIF('Raw Data 04-30-2019'!$A$6:$A$254,'Q2 TB-19'!A205,'Raw Data 04-30-2019'!C$6:C$254)</f>
        <v>178.37</v>
      </c>
      <c r="D205" s="4"/>
      <c r="E205" s="3">
        <f>SUMIF('Raw Data 04-30-2019'!$A$6:$A$254,'Q2 TB-19'!A205,'Raw Data 04-30-2019'!D$6:D$254)</f>
        <v>0</v>
      </c>
      <c r="F205" s="3"/>
      <c r="G205" s="3">
        <f t="shared" si="9"/>
        <v>178.37</v>
      </c>
      <c r="H205" s="53" t="s">
        <v>439</v>
      </c>
      <c r="J205" s="19"/>
    </row>
    <row r="206" spans="1:10" x14ac:dyDescent="0.75">
      <c r="A206" s="14">
        <v>6340</v>
      </c>
      <c r="B206" s="18" t="s">
        <v>653</v>
      </c>
      <c r="C206" s="3">
        <f>SUMIF('Raw Data 04-30-2019'!$A$6:$A$254,'Q2 TB-19'!A206,'Raw Data 04-30-2019'!C$6:C$254)</f>
        <v>0</v>
      </c>
      <c r="D206" s="4"/>
      <c r="E206" s="3">
        <f>SUMIF('Raw Data 04-30-2019'!$A$6:$A$254,'Q2 TB-19'!A206,'Raw Data 04-30-2019'!D$6:D$254)</f>
        <v>0</v>
      </c>
      <c r="F206" s="5"/>
      <c r="G206" s="3">
        <f>C206-E206</f>
        <v>0</v>
      </c>
      <c r="H206" s="53" t="s">
        <v>439</v>
      </c>
      <c r="J206" s="19"/>
    </row>
    <row r="207" spans="1:10" x14ac:dyDescent="0.75">
      <c r="A207" s="14">
        <v>6345</v>
      </c>
      <c r="B207" s="18" t="s">
        <v>654</v>
      </c>
      <c r="C207" s="3">
        <f>SUMIF('Raw Data 04-30-2019'!$A$6:$A$254,'Q2 TB-19'!A207,'Raw Data 04-30-2019'!C$6:C$254)</f>
        <v>1822.74</v>
      </c>
      <c r="D207" s="4"/>
      <c r="E207" s="3">
        <f>SUMIF('Raw Data 04-30-2019'!$A$6:$A$254,'Q2 TB-19'!A207,'Raw Data 04-30-2019'!D$6:D$254)</f>
        <v>0</v>
      </c>
      <c r="F207" s="5"/>
      <c r="G207" s="3">
        <f>C207-E207</f>
        <v>1822.74</v>
      </c>
      <c r="H207" s="53" t="s">
        <v>439</v>
      </c>
      <c r="J207" s="19"/>
    </row>
    <row r="208" spans="1:10" x14ac:dyDescent="0.75">
      <c r="A208" s="14">
        <v>6350</v>
      </c>
      <c r="B208" s="18" t="s">
        <v>655</v>
      </c>
      <c r="C208" s="3">
        <f>SUMIF('Raw Data 04-30-2019'!$A$6:$A$254,'Q2 TB-19'!A208,'Raw Data 04-30-2019'!C$6:C$254)</f>
        <v>473.95</v>
      </c>
      <c r="D208" s="4"/>
      <c r="E208" s="3">
        <f>SUMIF('Raw Data 04-30-2019'!$A$6:$A$254,'Q2 TB-19'!A208,'Raw Data 04-30-2019'!D$6:D$254)</f>
        <v>0</v>
      </c>
      <c r="F208" s="5"/>
      <c r="G208" s="3">
        <f>C208-E208</f>
        <v>473.95</v>
      </c>
      <c r="H208" s="53" t="s">
        <v>439</v>
      </c>
      <c r="J208" s="19"/>
    </row>
    <row r="209" spans="1:8" x14ac:dyDescent="0.75">
      <c r="A209" s="14">
        <v>6355</v>
      </c>
      <c r="B209" s="18" t="s">
        <v>656</v>
      </c>
      <c r="C209" s="3">
        <f>SUMIF('Raw Data 04-30-2019'!$A$6:$A$254,'Q2 TB-19'!A209,'Raw Data 04-30-2019'!C$6:C$254)</f>
        <v>0</v>
      </c>
      <c r="D209" s="4"/>
      <c r="E209" s="3">
        <f>SUMIF('Raw Data 04-30-2019'!$A$6:$A$254,'Q2 TB-19'!A209,'Raw Data 04-30-2019'!D$6:D$254)</f>
        <v>0</v>
      </c>
      <c r="F209" s="5"/>
      <c r="G209" s="3">
        <f t="shared" ref="G209:G254" si="10">C209-E209</f>
        <v>0</v>
      </c>
      <c r="H209" s="53" t="s">
        <v>439</v>
      </c>
    </row>
    <row r="210" spans="1:8" x14ac:dyDescent="0.75">
      <c r="A210" s="14">
        <v>6400</v>
      </c>
      <c r="B210" s="18" t="s">
        <v>657</v>
      </c>
      <c r="C210" s="3">
        <f>SUMIF('Raw Data 04-30-2019'!$A$6:$A$254,'Q2 TB-19'!A210,'Raw Data 04-30-2019'!C$6:C$254)</f>
        <v>61324.65</v>
      </c>
      <c r="D210" s="4"/>
      <c r="E210" s="3">
        <f>SUMIF('Raw Data 04-30-2019'!$A$6:$A$254,'Q2 TB-19'!A210,'Raw Data 04-30-2019'!D$6:D$254)</f>
        <v>0</v>
      </c>
      <c r="F210" s="5"/>
      <c r="G210" s="3">
        <f t="shared" si="10"/>
        <v>61324.65</v>
      </c>
      <c r="H210" s="53" t="s">
        <v>439</v>
      </c>
    </row>
    <row r="211" spans="1:8" x14ac:dyDescent="0.75">
      <c r="A211" s="14">
        <v>6405</v>
      </c>
      <c r="B211" s="18" t="s">
        <v>658</v>
      </c>
      <c r="C211" s="3">
        <f>SUMIF('Raw Data 04-30-2019'!$A$6:$A$254,'Q2 TB-19'!A211,'Raw Data 04-30-2019'!C$6:C$254)</f>
        <v>0</v>
      </c>
      <c r="D211" s="4"/>
      <c r="E211" s="3">
        <f>SUMIF('Raw Data 04-30-2019'!$A$6:$A$254,'Q2 TB-19'!A211,'Raw Data 04-30-2019'!D$6:D$254)</f>
        <v>0</v>
      </c>
      <c r="F211" s="5"/>
      <c r="G211" s="3">
        <f t="shared" si="10"/>
        <v>0</v>
      </c>
      <c r="H211" s="53" t="s">
        <v>439</v>
      </c>
    </row>
    <row r="212" spans="1:8" x14ac:dyDescent="0.75">
      <c r="A212" s="14">
        <v>6410</v>
      </c>
      <c r="B212" s="18" t="s">
        <v>659</v>
      </c>
      <c r="C212" s="3">
        <f>SUMIF('Raw Data 04-30-2019'!$A$6:$A$254,'Q2 TB-19'!A212,'Raw Data 04-30-2019'!C$6:C$254)</f>
        <v>0</v>
      </c>
      <c r="D212" s="4"/>
      <c r="E212" s="3">
        <f>SUMIF('Raw Data 04-30-2019'!$A$6:$A$254,'Q2 TB-19'!A212,'Raw Data 04-30-2019'!D$6:D$254)</f>
        <v>0</v>
      </c>
      <c r="F212" s="5"/>
      <c r="G212" s="3">
        <f t="shared" si="10"/>
        <v>0</v>
      </c>
      <c r="H212" s="53" t="s">
        <v>439</v>
      </c>
    </row>
    <row r="213" spans="1:8" x14ac:dyDescent="0.75">
      <c r="A213" s="14">
        <v>6415</v>
      </c>
      <c r="B213" s="18" t="s">
        <v>660</v>
      </c>
      <c r="C213" s="3">
        <f>SUMIF('Raw Data 04-30-2019'!$A$6:$A$254,'Q2 TB-19'!A213,'Raw Data 04-30-2019'!C$6:C$254)</f>
        <v>0</v>
      </c>
      <c r="D213" s="4"/>
      <c r="E213" s="3">
        <f>SUMIF('Raw Data 04-30-2019'!$A$6:$A$254,'Q2 TB-19'!A213,'Raw Data 04-30-2019'!D$6:D$254)</f>
        <v>0</v>
      </c>
      <c r="F213" s="5"/>
      <c r="G213" s="3">
        <f t="shared" si="10"/>
        <v>0</v>
      </c>
      <c r="H213" s="53" t="s">
        <v>439</v>
      </c>
    </row>
    <row r="214" spans="1:8" x14ac:dyDescent="0.75">
      <c r="A214" s="14">
        <v>6420</v>
      </c>
      <c r="B214" s="18" t="s">
        <v>661</v>
      </c>
      <c r="C214" s="3">
        <f>SUMIF('Raw Data 04-30-2019'!$A$6:$A$254,'Q2 TB-19'!A214,'Raw Data 04-30-2019'!C$6:C$254)</f>
        <v>0</v>
      </c>
      <c r="D214" s="4"/>
      <c r="E214" s="3">
        <f>SUMIF('Raw Data 04-30-2019'!$A$6:$A$254,'Q2 TB-19'!A214,'Raw Data 04-30-2019'!D$6:D$254)</f>
        <v>0</v>
      </c>
      <c r="F214" s="5"/>
      <c r="G214" s="3">
        <f t="shared" si="10"/>
        <v>0</v>
      </c>
      <c r="H214" s="53" t="s">
        <v>439</v>
      </c>
    </row>
    <row r="215" spans="1:8" x14ac:dyDescent="0.75">
      <c r="A215" s="14">
        <v>6425</v>
      </c>
      <c r="B215" s="18" t="s">
        <v>662</v>
      </c>
      <c r="C215" s="3">
        <f>SUMIF('Raw Data 04-30-2019'!$A$6:$A$254,'Q2 TB-19'!A215,'Raw Data 04-30-2019'!C$6:C$254)</f>
        <v>0</v>
      </c>
      <c r="D215" s="4"/>
      <c r="E215" s="3">
        <f>SUMIF('Raw Data 04-30-2019'!$A$6:$A$254,'Q2 TB-19'!A215,'Raw Data 04-30-2019'!D$6:D$254)</f>
        <v>0</v>
      </c>
      <c r="F215" s="5"/>
      <c r="G215" s="3">
        <f t="shared" si="10"/>
        <v>0</v>
      </c>
      <c r="H215" s="53" t="s">
        <v>439</v>
      </c>
    </row>
    <row r="216" spans="1:8" x14ac:dyDescent="0.75">
      <c r="A216" s="14">
        <v>6430</v>
      </c>
      <c r="B216" s="18" t="s">
        <v>663</v>
      </c>
      <c r="C216" s="3">
        <f>SUMIF('Raw Data 04-30-2019'!$A$6:$A$254,'Q2 TB-19'!A216,'Raw Data 04-30-2019'!C$6:C$254)</f>
        <v>57148.76</v>
      </c>
      <c r="D216" s="4"/>
      <c r="E216" s="3">
        <f>SUMIF('Raw Data 04-30-2019'!$A$6:$A$254,'Q2 TB-19'!A216,'Raw Data 04-30-2019'!D$6:D$254)</f>
        <v>0</v>
      </c>
      <c r="F216" s="5"/>
      <c r="G216" s="3">
        <f t="shared" si="10"/>
        <v>57148.76</v>
      </c>
      <c r="H216" s="53" t="s">
        <v>439</v>
      </c>
    </row>
    <row r="217" spans="1:8" x14ac:dyDescent="0.75">
      <c r="A217" s="14">
        <v>6435</v>
      </c>
      <c r="B217" s="18" t="s">
        <v>664</v>
      </c>
      <c r="C217" s="3">
        <f>SUMIF('Raw Data 04-30-2019'!$A$6:$A$254,'Q2 TB-19'!A217,'Raw Data 04-30-2019'!C$6:C$254)</f>
        <v>4122.47</v>
      </c>
      <c r="D217" s="4"/>
      <c r="E217" s="3">
        <f>SUMIF('Raw Data 04-30-2019'!$A$6:$A$254,'Q2 TB-19'!A217,'Raw Data 04-30-2019'!D$6:D$254)</f>
        <v>0</v>
      </c>
      <c r="F217" s="5"/>
      <c r="G217" s="3">
        <f t="shared" si="10"/>
        <v>4122.47</v>
      </c>
      <c r="H217" s="53" t="s">
        <v>439</v>
      </c>
    </row>
    <row r="218" spans="1:8" x14ac:dyDescent="0.75">
      <c r="A218" s="14">
        <v>6440</v>
      </c>
      <c r="B218" s="18" t="s">
        <v>665</v>
      </c>
      <c r="C218" s="3">
        <f>SUMIF('Raw Data 04-30-2019'!$A$6:$A$254,'Q2 TB-19'!A218,'Raw Data 04-30-2019'!C$6:C$254)</f>
        <v>34739.54</v>
      </c>
      <c r="D218" s="4"/>
      <c r="E218" s="3">
        <f>SUMIF('Raw Data 04-30-2019'!$A$6:$A$254,'Q2 TB-19'!A218,'Raw Data 04-30-2019'!D$6:D$254)</f>
        <v>0</v>
      </c>
      <c r="F218" s="5"/>
      <c r="G218" s="3">
        <f t="shared" si="10"/>
        <v>34739.54</v>
      </c>
      <c r="H218" s="53" t="s">
        <v>439</v>
      </c>
    </row>
    <row r="219" spans="1:8" x14ac:dyDescent="0.75">
      <c r="A219" s="14">
        <v>6445</v>
      </c>
      <c r="B219" s="18" t="s">
        <v>666</v>
      </c>
      <c r="C219" s="3">
        <f>SUMIF('Raw Data 04-30-2019'!$A$6:$A$254,'Q2 TB-19'!A219,'Raw Data 04-30-2019'!C$6:C$254)</f>
        <v>17838.38</v>
      </c>
      <c r="D219" s="4"/>
      <c r="E219" s="3">
        <f>SUMIF('Raw Data 04-30-2019'!$A$6:$A$254,'Q2 TB-19'!A219,'Raw Data 04-30-2019'!D$6:D$254)</f>
        <v>0</v>
      </c>
      <c r="F219" s="5"/>
      <c r="G219" s="3">
        <f t="shared" si="10"/>
        <v>17838.38</v>
      </c>
      <c r="H219" s="53" t="s">
        <v>439</v>
      </c>
    </row>
    <row r="220" spans="1:8" x14ac:dyDescent="0.75">
      <c r="A220" s="14">
        <v>6450</v>
      </c>
      <c r="B220" s="18" t="s">
        <v>667</v>
      </c>
      <c r="C220" s="3">
        <f>SUMIF('Raw Data 04-30-2019'!$A$6:$A$254,'Q2 TB-19'!A220,'Raw Data 04-30-2019'!C$6:C$254)</f>
        <v>0</v>
      </c>
      <c r="D220" s="4"/>
      <c r="E220" s="3">
        <f>SUMIF('Raw Data 04-30-2019'!$A$6:$A$254,'Q2 TB-19'!A220,'Raw Data 04-30-2019'!D$6:D$254)</f>
        <v>0</v>
      </c>
      <c r="F220" s="5"/>
      <c r="G220" s="3">
        <f t="shared" si="10"/>
        <v>0</v>
      </c>
      <c r="H220" s="53" t="s">
        <v>439</v>
      </c>
    </row>
    <row r="221" spans="1:8" x14ac:dyDescent="0.75">
      <c r="A221" s="14">
        <v>6455</v>
      </c>
      <c r="B221" s="18" t="s">
        <v>668</v>
      </c>
      <c r="C221" s="3">
        <f>SUMIF('Raw Data 04-30-2019'!$A$6:$A$254,'Q2 TB-19'!A221,'Raw Data 04-30-2019'!C$6:C$254)</f>
        <v>0</v>
      </c>
      <c r="D221" s="4"/>
      <c r="E221" s="3">
        <f>SUMIF('Raw Data 04-30-2019'!$A$6:$A$254,'Q2 TB-19'!A221,'Raw Data 04-30-2019'!D$6:D$254)</f>
        <v>0</v>
      </c>
      <c r="F221" s="5"/>
      <c r="G221" s="3">
        <f t="shared" si="10"/>
        <v>0</v>
      </c>
      <c r="H221" s="53" t="s">
        <v>439</v>
      </c>
    </row>
    <row r="222" spans="1:8" x14ac:dyDescent="0.75">
      <c r="A222" s="14">
        <v>6460</v>
      </c>
      <c r="B222" s="18" t="s">
        <v>669</v>
      </c>
      <c r="C222" s="3">
        <f>SUMIF('Raw Data 04-30-2019'!$A$6:$A$254,'Q2 TB-19'!A222,'Raw Data 04-30-2019'!C$6:C$254)</f>
        <v>0</v>
      </c>
      <c r="D222" s="4"/>
      <c r="E222" s="3">
        <f>SUMIF('Raw Data 04-30-2019'!$A$6:$A$254,'Q2 TB-19'!A222,'Raw Data 04-30-2019'!D$6:D$254)</f>
        <v>0</v>
      </c>
      <c r="F222" s="5"/>
      <c r="G222" s="3">
        <f t="shared" si="10"/>
        <v>0</v>
      </c>
      <c r="H222" s="53" t="s">
        <v>439</v>
      </c>
    </row>
    <row r="223" spans="1:8" x14ac:dyDescent="0.75">
      <c r="A223" s="14">
        <v>6500</v>
      </c>
      <c r="B223" s="18" t="s">
        <v>670</v>
      </c>
      <c r="C223" s="3">
        <f>SUMIF('Raw Data 04-30-2019'!$A$6:$A$254,'Q2 TB-19'!A223,'Raw Data 04-30-2019'!C$6:C$254)</f>
        <v>0</v>
      </c>
      <c r="D223" s="4"/>
      <c r="E223" s="3">
        <f>SUMIF('Raw Data 04-30-2019'!$A$6:$A$254,'Q2 TB-19'!A223,'Raw Data 04-30-2019'!D$6:D$254)</f>
        <v>0</v>
      </c>
      <c r="F223" s="5"/>
      <c r="G223" s="3">
        <f t="shared" si="10"/>
        <v>0</v>
      </c>
      <c r="H223" s="53" t="s">
        <v>439</v>
      </c>
    </row>
    <row r="224" spans="1:8" x14ac:dyDescent="0.75">
      <c r="A224" s="14">
        <v>6505</v>
      </c>
      <c r="B224" s="18" t="s">
        <v>671</v>
      </c>
      <c r="C224" s="3">
        <f>SUMIF('Raw Data 04-30-2019'!$A$6:$A$254,'Q2 TB-19'!A224,'Raw Data 04-30-2019'!C$6:C$254)</f>
        <v>0</v>
      </c>
      <c r="D224" s="4"/>
      <c r="E224" s="3">
        <f>SUMIF('Raw Data 04-30-2019'!$A$6:$A$254,'Q2 TB-19'!A224,'Raw Data 04-30-2019'!D$6:D$254)</f>
        <v>0</v>
      </c>
      <c r="F224" s="5"/>
      <c r="G224" s="3">
        <f t="shared" si="10"/>
        <v>0</v>
      </c>
      <c r="H224" s="53" t="s">
        <v>439</v>
      </c>
    </row>
    <row r="225" spans="1:8" x14ac:dyDescent="0.75">
      <c r="A225" s="14">
        <v>6510</v>
      </c>
      <c r="B225" s="18" t="s">
        <v>672</v>
      </c>
      <c r="C225" s="3">
        <f>SUMIF('Raw Data 04-30-2019'!$A$6:$A$254,'Q2 TB-19'!A225,'Raw Data 04-30-2019'!C$6:C$254)</f>
        <v>5655.15</v>
      </c>
      <c r="D225" s="4"/>
      <c r="E225" s="3">
        <f>SUMIF('Raw Data 04-30-2019'!$A$6:$A$254,'Q2 TB-19'!A225,'Raw Data 04-30-2019'!D$6:D$254)</f>
        <v>0</v>
      </c>
      <c r="F225" s="5"/>
      <c r="G225" s="3">
        <f t="shared" si="10"/>
        <v>5655.15</v>
      </c>
      <c r="H225" s="53" t="s">
        <v>439</v>
      </c>
    </row>
    <row r="226" spans="1:8" x14ac:dyDescent="0.75">
      <c r="A226" s="14">
        <v>6515</v>
      </c>
      <c r="B226" s="18" t="s">
        <v>673</v>
      </c>
      <c r="C226" s="3">
        <f>SUMIF('Raw Data 04-30-2019'!$A$6:$A$254,'Q2 TB-19'!A226,'Raw Data 04-30-2019'!C$6:C$254)</f>
        <v>0</v>
      </c>
      <c r="D226" s="4"/>
      <c r="E226" s="3">
        <f>SUMIF('Raw Data 04-30-2019'!$A$6:$A$254,'Q2 TB-19'!A226,'Raw Data 04-30-2019'!D$6:D$254)</f>
        <v>0</v>
      </c>
      <c r="F226" s="5"/>
      <c r="G226" s="3">
        <f t="shared" si="10"/>
        <v>0</v>
      </c>
      <c r="H226" s="53" t="s">
        <v>439</v>
      </c>
    </row>
    <row r="227" spans="1:8" x14ac:dyDescent="0.75">
      <c r="A227" s="14">
        <v>6520</v>
      </c>
      <c r="B227" s="18" t="s">
        <v>674</v>
      </c>
      <c r="C227" s="3">
        <f>SUMIF('Raw Data 04-30-2019'!$A$6:$A$254,'Q2 TB-19'!A227,'Raw Data 04-30-2019'!C$6:C$254)</f>
        <v>0</v>
      </c>
      <c r="D227" s="4"/>
      <c r="E227" s="3">
        <f>SUMIF('Raw Data 04-30-2019'!$A$6:$A$254,'Q2 TB-19'!A227,'Raw Data 04-30-2019'!D$6:D$254)</f>
        <v>0</v>
      </c>
      <c r="F227" s="5"/>
      <c r="G227" s="3">
        <f t="shared" si="10"/>
        <v>0</v>
      </c>
      <c r="H227" s="53" t="s">
        <v>439</v>
      </c>
    </row>
    <row r="228" spans="1:8" x14ac:dyDescent="0.75">
      <c r="A228" s="14">
        <v>6525</v>
      </c>
      <c r="B228" s="18" t="s">
        <v>675</v>
      </c>
      <c r="C228" s="3">
        <f>SUMIF('Raw Data 04-30-2019'!$A$6:$A$254,'Q2 TB-19'!A228,'Raw Data 04-30-2019'!C$6:C$254)</f>
        <v>1232.8800000000001</v>
      </c>
      <c r="D228" s="4"/>
      <c r="E228" s="3">
        <f>SUMIF('Raw Data 04-30-2019'!$A$6:$A$254,'Q2 TB-19'!A228,'Raw Data 04-30-2019'!D$6:D$254)</f>
        <v>0</v>
      </c>
      <c r="F228" s="5"/>
      <c r="G228" s="3">
        <f t="shared" si="10"/>
        <v>1232.8800000000001</v>
      </c>
      <c r="H228" s="53" t="s">
        <v>439</v>
      </c>
    </row>
    <row r="229" spans="1:8" x14ac:dyDescent="0.75">
      <c r="A229" s="14">
        <v>6530</v>
      </c>
      <c r="B229" s="18" t="s">
        <v>676</v>
      </c>
      <c r="C229" s="3">
        <f>SUMIF('Raw Data 04-30-2019'!$A$6:$A$254,'Q2 TB-19'!A229,'Raw Data 04-30-2019'!C$6:C$254)</f>
        <v>0</v>
      </c>
      <c r="D229" s="4"/>
      <c r="E229" s="3">
        <f>SUMIF('Raw Data 04-30-2019'!$A$6:$A$254,'Q2 TB-19'!A229,'Raw Data 04-30-2019'!D$6:D$254)</f>
        <v>0</v>
      </c>
      <c r="F229" s="5"/>
      <c r="G229" s="3">
        <f t="shared" si="10"/>
        <v>0</v>
      </c>
      <c r="H229" s="53" t="s">
        <v>439</v>
      </c>
    </row>
    <row r="230" spans="1:8" x14ac:dyDescent="0.75">
      <c r="A230" s="14">
        <v>6535</v>
      </c>
      <c r="B230" s="18" t="s">
        <v>677</v>
      </c>
      <c r="C230" s="3">
        <f>SUMIF('Raw Data 04-30-2019'!$A$6:$A$254,'Q2 TB-19'!A230,'Raw Data 04-30-2019'!C$6:C$254)</f>
        <v>0</v>
      </c>
      <c r="D230" s="4"/>
      <c r="E230" s="3">
        <f>SUMIF('Raw Data 04-30-2019'!$A$6:$A$254,'Q2 TB-19'!A230,'Raw Data 04-30-2019'!D$6:D$254)</f>
        <v>0</v>
      </c>
      <c r="F230" s="5"/>
      <c r="G230" s="3">
        <f t="shared" si="10"/>
        <v>0</v>
      </c>
      <c r="H230" s="53" t="s">
        <v>439</v>
      </c>
    </row>
    <row r="231" spans="1:8" x14ac:dyDescent="0.75">
      <c r="A231" s="14">
        <v>6540</v>
      </c>
      <c r="B231" s="18" t="s">
        <v>678</v>
      </c>
      <c r="C231" s="3">
        <f>SUMIF('Raw Data 04-30-2019'!$A$6:$A$254,'Q2 TB-19'!A231,'Raw Data 04-30-2019'!C$6:C$254)</f>
        <v>0</v>
      </c>
      <c r="D231" s="4"/>
      <c r="E231" s="3">
        <f>SUMIF('Raw Data 04-30-2019'!$A$6:$A$254,'Q2 TB-19'!A231,'Raw Data 04-30-2019'!D$6:D$254)</f>
        <v>0</v>
      </c>
      <c r="F231" s="5"/>
      <c r="G231" s="3">
        <f t="shared" si="10"/>
        <v>0</v>
      </c>
      <c r="H231" s="53" t="s">
        <v>439</v>
      </c>
    </row>
    <row r="232" spans="1:8" x14ac:dyDescent="0.75">
      <c r="A232" s="14">
        <v>6545</v>
      </c>
      <c r="B232" s="18" t="s">
        <v>679</v>
      </c>
      <c r="C232" s="3">
        <f>SUMIF('Raw Data 04-30-2019'!$A$6:$A$254,'Q2 TB-19'!A232,'Raw Data 04-30-2019'!C$6:C$254)</f>
        <v>48.37</v>
      </c>
      <c r="D232" s="4"/>
      <c r="E232" s="3">
        <f>SUMIF('Raw Data 04-30-2019'!$A$6:$A$254,'Q2 TB-19'!A232,'Raw Data 04-30-2019'!D$6:D$254)</f>
        <v>0</v>
      </c>
      <c r="F232" s="5"/>
      <c r="G232" s="3">
        <f t="shared" si="10"/>
        <v>48.37</v>
      </c>
      <c r="H232" s="53" t="s">
        <v>439</v>
      </c>
    </row>
    <row r="233" spans="1:8" x14ac:dyDescent="0.75">
      <c r="A233" s="14">
        <v>6550</v>
      </c>
      <c r="B233" s="18" t="s">
        <v>680</v>
      </c>
      <c r="C233" s="3">
        <f>SUMIF('Raw Data 04-30-2019'!$A$6:$A$254,'Q2 TB-19'!A233,'Raw Data 04-30-2019'!C$6:C$254)</f>
        <v>7478.63</v>
      </c>
      <c r="D233" s="4"/>
      <c r="E233" s="3">
        <f>SUMIF('Raw Data 04-30-2019'!$A$6:$A$254,'Q2 TB-19'!A233,'Raw Data 04-30-2019'!D$6:D$254)</f>
        <v>0</v>
      </c>
      <c r="F233" s="5"/>
      <c r="G233" s="3">
        <f t="shared" si="10"/>
        <v>7478.63</v>
      </c>
      <c r="H233" s="53" t="s">
        <v>439</v>
      </c>
    </row>
    <row r="234" spans="1:8" x14ac:dyDescent="0.75">
      <c r="A234" s="14">
        <v>6555</v>
      </c>
      <c r="B234" s="18" t="s">
        <v>681</v>
      </c>
      <c r="C234" s="3">
        <f>SUMIF('Raw Data 04-30-2019'!$A$6:$A$254,'Q2 TB-19'!A234,'Raw Data 04-30-2019'!C$6:C$254)</f>
        <v>422.9</v>
      </c>
      <c r="D234" s="4"/>
      <c r="E234" s="3">
        <f>SUMIF('Raw Data 04-30-2019'!$A$6:$A$254,'Q2 TB-19'!A234,'Raw Data 04-30-2019'!D$6:D$254)</f>
        <v>0</v>
      </c>
      <c r="F234" s="5"/>
      <c r="G234" s="3">
        <f t="shared" si="10"/>
        <v>422.9</v>
      </c>
      <c r="H234" s="53" t="s">
        <v>439</v>
      </c>
    </row>
    <row r="235" spans="1:8" x14ac:dyDescent="0.75">
      <c r="A235" s="14">
        <v>6560</v>
      </c>
      <c r="B235" s="18" t="s">
        <v>682</v>
      </c>
      <c r="C235" s="3">
        <f>SUMIF('Raw Data 04-30-2019'!$A$6:$A$254,'Q2 TB-19'!A235,'Raw Data 04-30-2019'!C$6:C$254)</f>
        <v>0</v>
      </c>
      <c r="D235" s="4"/>
      <c r="E235" s="3">
        <f>SUMIF('Raw Data 04-30-2019'!$A$6:$A$254,'Q2 TB-19'!A235,'Raw Data 04-30-2019'!D$6:D$254)</f>
        <v>0</v>
      </c>
      <c r="F235" s="5"/>
      <c r="G235" s="3">
        <f t="shared" si="10"/>
        <v>0</v>
      </c>
      <c r="H235" s="53" t="s">
        <v>439</v>
      </c>
    </row>
    <row r="236" spans="1:8" x14ac:dyDescent="0.75">
      <c r="A236" s="14">
        <v>6565</v>
      </c>
      <c r="B236" s="18" t="s">
        <v>683</v>
      </c>
      <c r="C236" s="3">
        <f>SUMIF('Raw Data 04-30-2019'!$A$6:$A$254,'Q2 TB-19'!A236,'Raw Data 04-30-2019'!C$6:C$254)</f>
        <v>0</v>
      </c>
      <c r="D236" s="4"/>
      <c r="E236" s="3">
        <f>SUMIF('Raw Data 04-30-2019'!$A$6:$A$254,'Q2 TB-19'!A236,'Raw Data 04-30-2019'!D$6:D$254)</f>
        <v>0</v>
      </c>
      <c r="F236" s="5"/>
      <c r="G236" s="3">
        <f t="shared" si="10"/>
        <v>0</v>
      </c>
      <c r="H236" s="53" t="s">
        <v>439</v>
      </c>
    </row>
    <row r="237" spans="1:8" x14ac:dyDescent="0.75">
      <c r="A237" s="14">
        <v>6570</v>
      </c>
      <c r="B237" s="18" t="s">
        <v>684</v>
      </c>
      <c r="C237" s="3">
        <f>SUMIF('Raw Data 04-30-2019'!$A$6:$A$254,'Q2 TB-19'!A237,'Raw Data 04-30-2019'!C$6:C$254)</f>
        <v>0</v>
      </c>
      <c r="D237" s="4"/>
      <c r="E237" s="3">
        <f>SUMIF('Raw Data 04-30-2019'!$A$6:$A$254,'Q2 TB-19'!A237,'Raw Data 04-30-2019'!D$6:D$254)</f>
        <v>0</v>
      </c>
      <c r="F237" s="5"/>
      <c r="G237" s="3">
        <f t="shared" si="10"/>
        <v>0</v>
      </c>
      <c r="H237" s="53" t="s">
        <v>439</v>
      </c>
    </row>
    <row r="238" spans="1:8" x14ac:dyDescent="0.75">
      <c r="A238" s="14">
        <v>6575</v>
      </c>
      <c r="B238" s="18" t="s">
        <v>685</v>
      </c>
      <c r="C238" s="3">
        <f>SUMIF('Raw Data 04-30-2019'!$A$6:$A$254,'Q2 TB-19'!A238,'Raw Data 04-30-2019'!C$6:C$254)</f>
        <v>0</v>
      </c>
      <c r="D238" s="4"/>
      <c r="E238" s="3">
        <f>SUMIF('Raw Data 04-30-2019'!$A$6:$A$254,'Q2 TB-19'!A238,'Raw Data 04-30-2019'!D$6:D$254)</f>
        <v>0</v>
      </c>
      <c r="F238" s="5"/>
      <c r="G238" s="3">
        <f t="shared" si="10"/>
        <v>0</v>
      </c>
      <c r="H238" s="53" t="s">
        <v>439</v>
      </c>
    </row>
    <row r="239" spans="1:8" x14ac:dyDescent="0.75">
      <c r="A239" s="14">
        <v>6580</v>
      </c>
      <c r="B239" s="18" t="s">
        <v>686</v>
      </c>
      <c r="C239" s="3">
        <f>SUMIF('Raw Data 04-30-2019'!$A$6:$A$254,'Q2 TB-19'!A239,'Raw Data 04-30-2019'!C$6:C$254)</f>
        <v>0</v>
      </c>
      <c r="D239" s="4"/>
      <c r="E239" s="3">
        <f>SUMIF('Raw Data 04-30-2019'!$A$6:$A$254,'Q2 TB-19'!A239,'Raw Data 04-30-2019'!D$6:D$254)</f>
        <v>0</v>
      </c>
      <c r="F239" s="5"/>
      <c r="G239" s="3">
        <f t="shared" si="10"/>
        <v>0</v>
      </c>
      <c r="H239" s="53" t="s">
        <v>439</v>
      </c>
    </row>
    <row r="240" spans="1:8" x14ac:dyDescent="0.75">
      <c r="A240" s="14">
        <v>6585</v>
      </c>
      <c r="B240" s="18" t="s">
        <v>687</v>
      </c>
      <c r="C240" s="3">
        <f>SUMIF('Raw Data 04-30-2019'!$A$6:$A$254,'Q2 TB-19'!A240,'Raw Data 04-30-2019'!C$6:C$254)</f>
        <v>0</v>
      </c>
      <c r="D240" s="4"/>
      <c r="E240" s="3">
        <f>SUMIF('Raw Data 04-30-2019'!$A$6:$A$254,'Q2 TB-19'!A240,'Raw Data 04-30-2019'!D$6:D$254)</f>
        <v>0</v>
      </c>
      <c r="F240" s="5"/>
      <c r="G240" s="3">
        <f t="shared" si="10"/>
        <v>0</v>
      </c>
      <c r="H240" s="53" t="s">
        <v>439</v>
      </c>
    </row>
    <row r="241" spans="1:8" x14ac:dyDescent="0.75">
      <c r="A241" s="14">
        <v>6590</v>
      </c>
      <c r="B241" s="18" t="s">
        <v>688</v>
      </c>
      <c r="C241" s="3">
        <f>SUMIF('Raw Data 04-30-2019'!$A$6:$A$254,'Q2 TB-19'!A241,'Raw Data 04-30-2019'!C$6:C$254)</f>
        <v>0</v>
      </c>
      <c r="D241" s="4"/>
      <c r="E241" s="3">
        <f>SUMIF('Raw Data 04-30-2019'!$A$6:$A$254,'Q2 TB-19'!A241,'Raw Data 04-30-2019'!D$6:D$254)</f>
        <v>0</v>
      </c>
      <c r="F241" s="5"/>
      <c r="G241" s="3">
        <f t="shared" si="10"/>
        <v>0</v>
      </c>
      <c r="H241" s="53" t="s">
        <v>439</v>
      </c>
    </row>
    <row r="242" spans="1:8" x14ac:dyDescent="0.75">
      <c r="A242" s="14">
        <v>7100</v>
      </c>
      <c r="B242" s="18" t="s">
        <v>689</v>
      </c>
      <c r="C242" s="3">
        <f>SUMIF('Raw Data 04-30-2019'!$A$6:$A$254,'Q2 TB-19'!A242,'Raw Data 04-30-2019'!C$6:C$254)</f>
        <v>0</v>
      </c>
      <c r="D242" s="4"/>
      <c r="E242" s="3">
        <f>SUMIF('Raw Data 04-30-2019'!$A$6:$A$254,'Q2 TB-19'!A242,'Raw Data 04-30-2019'!D$6:D$254)</f>
        <v>66.11</v>
      </c>
      <c r="F242" s="5"/>
      <c r="G242" s="3">
        <f t="shared" si="10"/>
        <v>-66.11</v>
      </c>
      <c r="H242" s="53" t="s">
        <v>439</v>
      </c>
    </row>
    <row r="243" spans="1:8" x14ac:dyDescent="0.75">
      <c r="A243" s="14">
        <v>7200</v>
      </c>
      <c r="B243" s="18" t="s">
        <v>690</v>
      </c>
      <c r="C243" s="3">
        <f>SUMIF('Raw Data 04-30-2019'!$A$6:$A$254,'Q2 TB-19'!A243,'Raw Data 04-30-2019'!C$6:C$254)</f>
        <v>0</v>
      </c>
      <c r="D243" s="4"/>
      <c r="E243" s="3">
        <f>SUMIF('Raw Data 04-30-2019'!$A$6:$A$254,'Q2 TB-19'!A243,'Raw Data 04-30-2019'!D$6:D$254)</f>
        <v>0</v>
      </c>
      <c r="F243" s="5"/>
      <c r="G243" s="3">
        <f t="shared" si="10"/>
        <v>0</v>
      </c>
      <c r="H243" s="53" t="s">
        <v>439</v>
      </c>
    </row>
    <row r="244" spans="1:8" x14ac:dyDescent="0.75">
      <c r="A244" s="14">
        <v>7300</v>
      </c>
      <c r="B244" s="18" t="s">
        <v>691</v>
      </c>
      <c r="C244" s="3">
        <f>SUMIF('Raw Data 04-30-2019'!$A$6:$A$254,'Q2 TB-19'!A244,'Raw Data 04-30-2019'!C$6:C$254)</f>
        <v>0</v>
      </c>
      <c r="D244" s="4"/>
      <c r="E244" s="3">
        <f>SUMIF('Raw Data 04-30-2019'!$A$6:$A$254,'Q2 TB-19'!A244,'Raw Data 04-30-2019'!D$6:D$254)</f>
        <v>0</v>
      </c>
      <c r="F244" s="5"/>
      <c r="G244" s="3">
        <f t="shared" si="10"/>
        <v>0</v>
      </c>
      <c r="H244" s="53" t="s">
        <v>439</v>
      </c>
    </row>
    <row r="245" spans="1:8" x14ac:dyDescent="0.75">
      <c r="A245" s="14">
        <v>7310</v>
      </c>
      <c r="B245" s="18" t="s">
        <v>692</v>
      </c>
      <c r="C245" s="3">
        <f>SUMIF('Raw Data 04-30-2019'!$A$6:$A$254,'Q2 TB-19'!A245,'Raw Data 04-30-2019'!C$6:C$254)</f>
        <v>0</v>
      </c>
      <c r="D245" s="4"/>
      <c r="E245" s="3">
        <f>SUMIF('Raw Data 04-30-2019'!$A$6:$A$254,'Q2 TB-19'!A245,'Raw Data 04-30-2019'!D$6:D$254)</f>
        <v>0</v>
      </c>
      <c r="F245" s="5"/>
      <c r="G245" s="3">
        <f t="shared" si="10"/>
        <v>0</v>
      </c>
      <c r="H245" s="53" t="s">
        <v>439</v>
      </c>
    </row>
    <row r="246" spans="1:8" x14ac:dyDescent="0.75">
      <c r="A246" s="14">
        <v>7400</v>
      </c>
      <c r="B246" s="18" t="s">
        <v>693</v>
      </c>
      <c r="C246" s="3">
        <f>SUMIF('Raw Data 04-30-2019'!$A$6:$A$254,'Q2 TB-19'!A246,'Raw Data 04-30-2019'!C$6:C$254)</f>
        <v>0</v>
      </c>
      <c r="D246" s="4"/>
      <c r="E246" s="3">
        <f>SUMIF('Raw Data 04-30-2019'!$A$6:$A$254,'Q2 TB-19'!A246,'Raw Data 04-30-2019'!D$6:D$254)</f>
        <v>0</v>
      </c>
      <c r="F246" s="5"/>
      <c r="G246" s="3">
        <f t="shared" si="10"/>
        <v>0</v>
      </c>
      <c r="H246" s="53" t="s">
        <v>951</v>
      </c>
    </row>
    <row r="247" spans="1:8" x14ac:dyDescent="0.75">
      <c r="A247" s="12">
        <v>7500</v>
      </c>
      <c r="B247" s="13" t="s">
        <v>620</v>
      </c>
      <c r="C247" s="3">
        <f>SUMIF('Raw Data 04-30-2019'!$A$6:$A$254,'Q2 TB-19'!A247,'Raw Data 04-30-2019'!C$6:C$254)</f>
        <v>0</v>
      </c>
      <c r="D247" s="4"/>
      <c r="E247" s="3">
        <f>SUMIF('Raw Data 04-30-2019'!$A$6:$A$254,'Q2 TB-19'!A247,'Raw Data 04-30-2019'!D$6:D$254)</f>
        <v>0</v>
      </c>
      <c r="F247" s="5"/>
      <c r="G247" s="3">
        <f t="shared" si="10"/>
        <v>0</v>
      </c>
      <c r="H247" s="53" t="s">
        <v>441</v>
      </c>
    </row>
    <row r="248" spans="1:8" x14ac:dyDescent="0.75">
      <c r="A248" s="12">
        <v>7510</v>
      </c>
      <c r="B248" s="13" t="s">
        <v>621</v>
      </c>
      <c r="C248" s="3">
        <f>SUMIF('Raw Data 04-30-2019'!$A$6:$A$254,'Q2 TB-19'!A248,'Raw Data 04-30-2019'!C$6:C$254)</f>
        <v>3836.66</v>
      </c>
      <c r="D248" s="4"/>
      <c r="E248" s="3">
        <f>SUMIF('Raw Data 04-30-2019'!$A$6:$A$254,'Q2 TB-19'!A248,'Raw Data 04-30-2019'!D$6:D$254)</f>
        <v>0</v>
      </c>
      <c r="F248" s="5"/>
      <c r="G248" s="3">
        <f t="shared" si="10"/>
        <v>3836.66</v>
      </c>
      <c r="H248" s="53" t="s">
        <v>441</v>
      </c>
    </row>
    <row r="249" spans="1:8" x14ac:dyDescent="0.75">
      <c r="A249" s="12">
        <v>7520</v>
      </c>
      <c r="B249" s="13" t="s">
        <v>622</v>
      </c>
      <c r="C249" s="3">
        <f>SUMIF('Raw Data 04-30-2019'!$A$6:$A$254,'Q2 TB-19'!A249,'Raw Data 04-30-2019'!C$6:C$254)</f>
        <v>2679.88</v>
      </c>
      <c r="D249" s="4"/>
      <c r="E249" s="3">
        <f>SUMIF('Raw Data 04-30-2019'!$A$6:$A$254,'Q2 TB-19'!A249,'Raw Data 04-30-2019'!D$6:D$254)</f>
        <v>0</v>
      </c>
      <c r="F249" s="5"/>
      <c r="G249" s="3">
        <f t="shared" si="10"/>
        <v>2679.88</v>
      </c>
      <c r="H249" s="53" t="s">
        <v>441</v>
      </c>
    </row>
    <row r="250" spans="1:8" x14ac:dyDescent="0.75">
      <c r="A250" s="12">
        <v>7530</v>
      </c>
      <c r="B250" s="13" t="s">
        <v>623</v>
      </c>
      <c r="C250" s="3">
        <f>SUMIF('Raw Data 04-30-2019'!$A$6:$A$254,'Q2 TB-19'!A250,'Raw Data 04-30-2019'!C$6:C$254)</f>
        <v>17934.7</v>
      </c>
      <c r="D250" s="4"/>
      <c r="E250" s="3">
        <f>SUMIF('Raw Data 04-30-2019'!$A$6:$A$254,'Q2 TB-19'!A250,'Raw Data 04-30-2019'!D$6:D$254)</f>
        <v>0</v>
      </c>
      <c r="F250" s="5"/>
      <c r="G250" s="3">
        <f t="shared" si="10"/>
        <v>17934.7</v>
      </c>
      <c r="H250" s="53" t="s">
        <v>441</v>
      </c>
    </row>
    <row r="251" spans="1:8" x14ac:dyDescent="0.75">
      <c r="A251" s="12">
        <v>7540</v>
      </c>
      <c r="B251" s="13" t="s">
        <v>624</v>
      </c>
      <c r="C251" s="3">
        <f>SUMIF('Raw Data 04-30-2019'!$A$6:$A$254,'Q2 TB-19'!A251,'Raw Data 04-30-2019'!C$6:C$254)</f>
        <v>39114.379999999997</v>
      </c>
      <c r="D251" s="4"/>
      <c r="E251" s="3">
        <f>SUMIF('Raw Data 04-30-2019'!$A$6:$A$254,'Q2 TB-19'!A251,'Raw Data 04-30-2019'!D$6:D$254)</f>
        <v>0</v>
      </c>
      <c r="F251" s="5"/>
      <c r="G251" s="3">
        <f t="shared" si="10"/>
        <v>39114.379999999997</v>
      </c>
      <c r="H251" s="53" t="s">
        <v>441</v>
      </c>
    </row>
    <row r="252" spans="1:8" s="77" customFormat="1" x14ac:dyDescent="0.75">
      <c r="A252" s="12" t="s">
        <v>945</v>
      </c>
      <c r="B252" s="13" t="s">
        <v>946</v>
      </c>
      <c r="C252" s="3">
        <f>SUMIF('Raw Data 04-30-2019'!$A$6:$A$254,'Q2 TB-19'!A252,'Raw Data 04-30-2019'!C$6:C$254)</f>
        <v>76086</v>
      </c>
      <c r="D252" s="4"/>
      <c r="E252" s="3">
        <f>SUMIF('Raw Data 04-30-2019'!$A$6:$A$254,'Q2 TB-19'!A252,'Raw Data 04-30-2019'!D$6:D$254)</f>
        <v>0</v>
      </c>
      <c r="F252" s="5"/>
      <c r="G252" s="3">
        <f t="shared" ref="G252" si="11">C252-E252</f>
        <v>76086</v>
      </c>
      <c r="H252" s="77" t="s">
        <v>441</v>
      </c>
    </row>
    <row r="253" spans="1:8" x14ac:dyDescent="0.75">
      <c r="A253" s="14">
        <v>7600</v>
      </c>
      <c r="B253" s="18" t="s">
        <v>694</v>
      </c>
      <c r="C253" s="3">
        <f>SUMIF('Raw Data 04-30-2019'!$A$6:$A$254,'Q2 TB-19'!A253,'Raw Data 04-30-2019'!C$6:C$254)</f>
        <v>0</v>
      </c>
      <c r="D253" s="4"/>
      <c r="E253" s="3">
        <f>SUMIF('Raw Data 04-30-2019'!$A$6:$A$254,'Q2 TB-19'!A253,'Raw Data 04-30-2019'!D$6:D$254)</f>
        <v>0</v>
      </c>
      <c r="F253" s="5"/>
      <c r="G253" s="3">
        <f t="shared" si="10"/>
        <v>0</v>
      </c>
      <c r="H253" s="53" t="s">
        <v>439</v>
      </c>
    </row>
    <row r="254" spans="1:8" x14ac:dyDescent="0.75">
      <c r="A254" s="14">
        <v>7700</v>
      </c>
      <c r="B254" s="18" t="s">
        <v>695</v>
      </c>
      <c r="C254" s="3">
        <f>SUMIF('Raw Data 04-30-2019'!$A$6:$A$254,'Q2 TB-19'!A254,'Raw Data 04-30-2019'!C$6:C$254)</f>
        <v>0</v>
      </c>
      <c r="D254" s="4"/>
      <c r="E254" s="3">
        <f>SUMIF('Raw Data 04-30-2019'!$A$6:$A$254,'Q2 TB-19'!A254,'Raw Data 04-30-2019'!D$6:D$254)</f>
        <v>0</v>
      </c>
      <c r="F254" s="5"/>
      <c r="G254" s="3">
        <f t="shared" si="10"/>
        <v>0</v>
      </c>
      <c r="H254" s="53" t="s">
        <v>439</v>
      </c>
    </row>
    <row r="255" spans="1:8" x14ac:dyDescent="0.75">
      <c r="C255" s="51">
        <f>SUM(C6:C254)</f>
        <v>10958495.780000005</v>
      </c>
      <c r="E255" s="51">
        <f>SUM(E6:E254)</f>
        <v>10958495.780000001</v>
      </c>
      <c r="G255" s="51">
        <f>SUM(G6:G254)</f>
        <v>-6.9849193096160889E-10</v>
      </c>
    </row>
  </sheetData>
  <sortState xmlns:xlrd2="http://schemas.microsoft.com/office/spreadsheetml/2017/richdata2" ref="A6:B254">
    <sortCondition ref="A6:A254"/>
  </sortState>
  <mergeCells count="3">
    <mergeCell ref="B1:D1"/>
    <mergeCell ref="B2:D2"/>
    <mergeCell ref="B3:D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6386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16386" r:id="rId4" name="HEADER"/>
      </mc:Fallback>
    </mc:AlternateContent>
    <mc:AlternateContent xmlns:mc="http://schemas.openxmlformats.org/markup-compatibility/2006">
      <mc:Choice Requires="x14">
        <control shapeId="16385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1638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F41E9-CBB0-4FCF-890A-ED747FF180AA}">
  <sheetPr>
    <tabColor rgb="FF92D050"/>
    <pageSetUpPr fitToPage="1"/>
  </sheetPr>
  <dimension ref="A1:Q91"/>
  <sheetViews>
    <sheetView showGridLines="0" workbookViewId="0">
      <pane xSplit="2" ySplit="6" topLeftCell="C37" activePane="bottomRight" state="frozen"/>
      <selection activeCell="A80" sqref="A80"/>
      <selection pane="topRight" activeCell="A80" sqref="A80"/>
      <selection pane="bottomLeft" activeCell="A80" sqref="A80"/>
      <selection pane="bottomRight" sqref="A1:I39"/>
    </sheetView>
  </sheetViews>
  <sheetFormatPr defaultColWidth="9.1328125" defaultRowHeight="15.75" x14ac:dyDescent="0.75"/>
  <cols>
    <col min="1" max="1" width="50.7265625" style="125" customWidth="1"/>
    <col min="2" max="2" width="3.86328125" style="125" customWidth="1"/>
    <col min="3" max="5" width="22" style="125" hidden="1" customWidth="1"/>
    <col min="6" max="6" width="22" style="125" customWidth="1"/>
    <col min="7" max="7" width="2.86328125" style="125" customWidth="1"/>
    <col min="8" max="8" width="18.86328125" style="125" customWidth="1"/>
    <col min="9" max="9" width="4" style="125" customWidth="1"/>
    <col min="10" max="10" width="16.1328125" style="124" customWidth="1"/>
    <col min="11" max="11" width="13.7265625" style="125" customWidth="1"/>
    <col min="12" max="12" width="9.1328125" style="125"/>
    <col min="13" max="14" width="19.54296875" style="125" customWidth="1"/>
    <col min="15" max="15" width="19.54296875" style="137" customWidth="1"/>
    <col min="16" max="16" width="15" style="125" customWidth="1"/>
    <col min="17" max="17" width="13.40625" style="137" customWidth="1"/>
    <col min="18" max="16384" width="9.1328125" style="125"/>
  </cols>
  <sheetData>
    <row r="1" spans="1:15" x14ac:dyDescent="0.75">
      <c r="A1" s="192" t="s">
        <v>386</v>
      </c>
      <c r="B1" s="192"/>
      <c r="C1" s="192"/>
      <c r="D1" s="192"/>
      <c r="E1" s="192"/>
      <c r="F1" s="192"/>
      <c r="G1" s="192"/>
      <c r="H1" s="192"/>
    </row>
    <row r="2" spans="1:15" x14ac:dyDescent="0.75">
      <c r="A2" s="192" t="s">
        <v>401</v>
      </c>
      <c r="B2" s="192"/>
      <c r="C2" s="192"/>
      <c r="D2" s="192"/>
      <c r="E2" s="192"/>
      <c r="F2" s="192"/>
      <c r="G2" s="192"/>
      <c r="H2" s="192"/>
      <c r="O2" s="125"/>
    </row>
    <row r="3" spans="1:15" x14ac:dyDescent="0.75">
      <c r="A3" s="127"/>
      <c r="H3" s="176"/>
      <c r="O3" s="125"/>
    </row>
    <row r="4" spans="1:15" x14ac:dyDescent="0.75">
      <c r="C4" s="176" t="s">
        <v>402</v>
      </c>
      <c r="D4" s="176" t="s">
        <v>403</v>
      </c>
      <c r="E4" s="176" t="s">
        <v>404</v>
      </c>
      <c r="F4" s="176" t="s">
        <v>405</v>
      </c>
      <c r="H4" s="176" t="s">
        <v>405</v>
      </c>
      <c r="O4" s="125"/>
    </row>
    <row r="5" spans="1:15" x14ac:dyDescent="0.75">
      <c r="C5" s="156">
        <v>43861</v>
      </c>
      <c r="D5" s="156">
        <f>DATE(YEAR(C5),MONTH(C5)+4,1)-1</f>
        <v>43951</v>
      </c>
      <c r="E5" s="156">
        <f t="shared" ref="E5:F5" si="0">DATE(YEAR(D5),MONTH(D5)+4,1)-1</f>
        <v>44043</v>
      </c>
      <c r="F5" s="156">
        <f t="shared" si="0"/>
        <v>44135</v>
      </c>
      <c r="G5" s="133"/>
      <c r="H5" s="156">
        <f>DATE(YEAR(F5)-1,MONTH(F5),DAY(F5))</f>
        <v>43769</v>
      </c>
      <c r="J5" s="124" t="s">
        <v>393</v>
      </c>
      <c r="O5" s="125"/>
    </row>
    <row r="6" spans="1:15" x14ac:dyDescent="0.75">
      <c r="A6" s="127"/>
      <c r="O6" s="125"/>
    </row>
    <row r="7" spans="1:15" x14ac:dyDescent="0.75">
      <c r="A7" s="125" t="s">
        <v>425</v>
      </c>
      <c r="C7" s="157">
        <f>-ROUND(SUMIF('Q1 TB-20'!$H$6:$H$308,'Stmt of Ops FY-20 &amp; 19'!$J7,'Q1 TB-20'!$G$6:$G$308),0)</f>
        <v>225921</v>
      </c>
      <c r="D7" s="157">
        <f>-ROUND(SUMIF('Q2 TB-20'!$H$6:$H$308,'Stmt of Ops FY-20 &amp; 19'!$J7,'Q2 TB-20'!$G$6:$G$308),0)</f>
        <v>354553</v>
      </c>
      <c r="E7" s="157">
        <f>-ROUND(SUMIF('Q3 TB-20'!$H$6:$H$308,'Stmt of Ops FY-20 &amp; 19'!$J7,'Q3 TB-20'!$G$6:$G$308),0)</f>
        <v>486820</v>
      </c>
      <c r="F7" s="157">
        <f>-ROUND(SUMIF('Q4 TB-20'!$H$6:$H$308,'Stmt of Ops FY-20 &amp; 19'!$J7,'Q4 TB-20'!$G$6:$G$308),0)-F8</f>
        <v>370408</v>
      </c>
      <c r="G7" s="137"/>
      <c r="H7" s="157">
        <f>-ROUND(SUMIF('Q4 TB-19'!$H$6:$H$308,'Stmt of Ops FY-20 &amp; 19'!$J7,'Q4 TB-19'!$G$6:$G$308),0)-H8</f>
        <v>417028</v>
      </c>
      <c r="J7" s="124" t="s">
        <v>437</v>
      </c>
      <c r="K7" s="158">
        <f>F7-H7</f>
        <v>-46620</v>
      </c>
      <c r="O7" s="125"/>
    </row>
    <row r="8" spans="1:15" x14ac:dyDescent="0.75">
      <c r="A8" s="125" t="s">
        <v>1071</v>
      </c>
      <c r="C8" s="157"/>
      <c r="D8" s="157"/>
      <c r="E8" s="157"/>
      <c r="F8" s="137">
        <v>278300</v>
      </c>
      <c r="G8" s="137"/>
      <c r="H8" s="137">
        <v>465009</v>
      </c>
      <c r="J8" s="124" t="s">
        <v>1070</v>
      </c>
      <c r="K8" s="158">
        <f>F8-H8</f>
        <v>-186709</v>
      </c>
      <c r="O8" s="125"/>
    </row>
    <row r="9" spans="1:15" hidden="1" x14ac:dyDescent="0.75">
      <c r="A9" s="125" t="s">
        <v>448</v>
      </c>
      <c r="C9" s="137">
        <f>-ROUND(SUMIF('Q1 TB-20'!$H$6:$H$308,'Stmt of Ops FY-20 &amp; 19'!$J9,'Q1 TB-20'!$G$6:$G$308),0)</f>
        <v>0</v>
      </c>
      <c r="D9" s="137">
        <f>-ROUND(SUMIF('Q2 TB-20'!$H$6:$H$308,'Stmt of Ops FY-20 &amp; 19'!$J9,'Q2 TB-20'!$G$6:$G$308),0)</f>
        <v>0</v>
      </c>
      <c r="E9" s="137">
        <f>-ROUND(SUMIF('Q3 TB-20'!$H$6:$H$308,'Stmt of Ops FY-20 &amp; 19'!$J9,'Q3 TB-20'!$G$6:$G$308),0)</f>
        <v>0</v>
      </c>
      <c r="F9" s="137">
        <f>-ROUND(SUMIF('Q4 TB-20'!$H$6:$H$308,'Stmt of Ops FY-20 &amp; 19'!$J9,'Q4 TB-20'!$G$6:$G$308),0)</f>
        <v>0</v>
      </c>
      <c r="G9" s="137"/>
      <c r="H9" s="137">
        <f>-ROUND(SUMIF('Q4 TB-19'!$H$6:$H$308,'Stmt of Ops FY-20 &amp; 19'!$J9,'Q4 TB-19'!$G$6:$G$308),0)</f>
        <v>0</v>
      </c>
      <c r="J9" s="124" t="s">
        <v>801</v>
      </c>
      <c r="K9" s="158">
        <f>F9-H9</f>
        <v>0</v>
      </c>
      <c r="M9" s="125" t="s">
        <v>1096</v>
      </c>
      <c r="O9" s="125"/>
    </row>
    <row r="10" spans="1:15" x14ac:dyDescent="0.75">
      <c r="A10" s="125" t="s">
        <v>1091</v>
      </c>
      <c r="C10" s="141"/>
      <c r="D10" s="141"/>
      <c r="E10" s="141"/>
      <c r="F10" s="141">
        <f>SUM(F7:F9)</f>
        <v>648708</v>
      </c>
      <c r="G10" s="137"/>
      <c r="H10" s="141">
        <f>SUM(H7:H9)</f>
        <v>882037</v>
      </c>
      <c r="O10" s="125"/>
    </row>
    <row r="11" spans="1:15" x14ac:dyDescent="0.75">
      <c r="A11" s="125" t="s">
        <v>426</v>
      </c>
      <c r="C11" s="137">
        <f>-ROUND(SUMIF('Q1 TB-20'!$H$6:$H$308,'Stmt of Ops FY-20 &amp; 19'!$J11,'Q1 TB-20'!$G$6:$G$308),0)</f>
        <v>-55462</v>
      </c>
      <c r="D11" s="137">
        <f>-ROUND(SUMIF('Q2 TB-20'!$H$6:$H$308,'Stmt of Ops FY-20 &amp; 19'!$J11,'Q2 TB-20'!$G$6:$G$308),0)</f>
        <v>-103070</v>
      </c>
      <c r="E11" s="137">
        <f>-ROUND(SUMIF('Q3 TB-20'!$H$6:$H$308,'Stmt of Ops FY-20 &amp; 19'!$J11,'Q3 TB-20'!$G$6:$G$308),0)</f>
        <v>-151344</v>
      </c>
      <c r="F11" s="138">
        <f>-ROUND(SUMIF('Q4 TB-20'!$H$6:$H$308,'Stmt of Ops FY-20 &amp; 19'!$J11,'Q4 TB-20'!$G$6:$G$308),0)</f>
        <v>-216982</v>
      </c>
      <c r="G11" s="137"/>
      <c r="H11" s="138">
        <f>-ROUND(SUMIF('Q4 TB-19'!$H$6:$H$308,'Stmt of Ops FY-20 &amp; 19'!$J11,'Q4 TB-19'!$G$6:$G$308),0)</f>
        <v>-281673</v>
      </c>
      <c r="J11" s="124" t="s">
        <v>438</v>
      </c>
      <c r="K11" s="158">
        <f>F11-H11</f>
        <v>64691</v>
      </c>
      <c r="M11" s="159"/>
      <c r="N11" s="159"/>
      <c r="O11" s="125"/>
    </row>
    <row r="12" spans="1:15" x14ac:dyDescent="0.75">
      <c r="A12" s="125" t="s">
        <v>431</v>
      </c>
      <c r="C12" s="141">
        <f>C7+C11</f>
        <v>170459</v>
      </c>
      <c r="D12" s="141">
        <f>D7+D11</f>
        <v>251483</v>
      </c>
      <c r="E12" s="141">
        <f>E7+E11</f>
        <v>335476</v>
      </c>
      <c r="F12" s="141">
        <f>SUM(F10:F11)</f>
        <v>431726</v>
      </c>
      <c r="G12" s="137"/>
      <c r="H12" s="141">
        <f>SUM(H10:H11)</f>
        <v>600364</v>
      </c>
      <c r="K12" s="158">
        <f>F12-H12</f>
        <v>-168638</v>
      </c>
      <c r="O12" s="125"/>
    </row>
    <row r="13" spans="1:15" x14ac:dyDescent="0.75">
      <c r="C13" s="137"/>
      <c r="D13" s="137"/>
      <c r="E13" s="137"/>
      <c r="F13" s="137"/>
      <c r="G13" s="137"/>
      <c r="H13" s="137"/>
      <c r="O13" s="125"/>
    </row>
    <row r="14" spans="1:15" x14ac:dyDescent="0.75">
      <c r="A14" s="125" t="s">
        <v>427</v>
      </c>
      <c r="C14" s="137"/>
      <c r="D14" s="137"/>
      <c r="E14" s="137"/>
      <c r="F14" s="137"/>
      <c r="G14" s="137"/>
      <c r="H14" s="137"/>
      <c r="O14" s="125"/>
    </row>
    <row r="15" spans="1:15" x14ac:dyDescent="0.75">
      <c r="A15" s="125" t="s">
        <v>429</v>
      </c>
      <c r="C15" s="137">
        <f>ROUND(SUMIF('Q1 TB-20'!$H$6:$H$308,'Stmt of Ops FY-20 &amp; 19'!$J15,'Q1 TB-20'!$G$6:$G$308),0)</f>
        <v>363887</v>
      </c>
      <c r="D15" s="137">
        <f>ROUND(SUMIF('Q2 TB-20'!$H$6:$H$308,'Stmt of Ops FY-20 &amp; 19'!$J15,'Q2 TB-20'!$G$6:$G$308),0)</f>
        <v>706730</v>
      </c>
      <c r="E15" s="137">
        <f>ROUND(SUMIF('Q3 TB-20'!$H$6:$H$308,'Stmt of Ops FY-20 &amp; 19'!$J15,'Q3 TB-20'!$G$6:$G$308),0)</f>
        <v>1110966</v>
      </c>
      <c r="F15" s="138">
        <f>ROUND(SUMIF('Q4 TB-20'!$H$6:$H$308,'Stmt of Ops FY-20 &amp; 19'!$J15,'Q4 TB-20'!$G$6:$G$308),0)</f>
        <v>1700190</v>
      </c>
      <c r="G15" s="137"/>
      <c r="H15" s="138">
        <f>ROUND(SUMIF('Q4 TB-19'!$H$6:$H$308,'Stmt of Ops FY-20 &amp; 19'!$J15,'Q4 TB-19'!$G$6:$G$308),0)</f>
        <v>933941</v>
      </c>
      <c r="J15" s="124" t="s">
        <v>439</v>
      </c>
      <c r="K15" s="158">
        <f t="shared" ref="K15" si="1">F15-H15</f>
        <v>766249</v>
      </c>
      <c r="O15" s="125"/>
    </row>
    <row r="16" spans="1:15" x14ac:dyDescent="0.75">
      <c r="C16" s="141"/>
      <c r="D16" s="141"/>
      <c r="E16" s="141"/>
      <c r="F16" s="141"/>
      <c r="G16" s="137"/>
      <c r="H16" s="141"/>
      <c r="O16" s="125"/>
    </row>
    <row r="17" spans="1:15" x14ac:dyDescent="0.75">
      <c r="A17" s="125" t="s">
        <v>430</v>
      </c>
      <c r="C17" s="143" t="e">
        <f>#REF!-C15</f>
        <v>#REF!</v>
      </c>
      <c r="D17" s="143" t="e">
        <f>#REF!-D15</f>
        <v>#REF!</v>
      </c>
      <c r="E17" s="143" t="e">
        <f>#REF!-E15</f>
        <v>#REF!</v>
      </c>
      <c r="F17" s="143">
        <f>F12-F15</f>
        <v>-1268464</v>
      </c>
      <c r="G17" s="137"/>
      <c r="H17" s="143">
        <f>H12-H15</f>
        <v>-333577</v>
      </c>
      <c r="K17" s="143">
        <f>K12-K15</f>
        <v>-934887</v>
      </c>
      <c r="M17" s="140"/>
      <c r="O17" s="125"/>
    </row>
    <row r="18" spans="1:15" x14ac:dyDescent="0.75">
      <c r="C18" s="143"/>
      <c r="D18" s="143"/>
      <c r="E18" s="143"/>
      <c r="F18" s="143"/>
      <c r="G18" s="137"/>
      <c r="H18" s="143"/>
      <c r="O18" s="125"/>
    </row>
    <row r="19" spans="1:15" x14ac:dyDescent="0.75">
      <c r="A19" s="125" t="s">
        <v>1076</v>
      </c>
      <c r="C19" s="143"/>
      <c r="D19" s="143"/>
      <c r="E19" s="143"/>
      <c r="F19" s="143"/>
      <c r="G19" s="137"/>
      <c r="H19" s="143"/>
      <c r="O19" s="125"/>
    </row>
    <row r="20" spans="1:15" hidden="1" x14ac:dyDescent="0.75">
      <c r="A20" s="125" t="s">
        <v>950</v>
      </c>
      <c r="C20" s="143">
        <f>-ROUND(SUMIF('Q1 TB-20'!$H$6:$H$308,'Stmt of Ops FY-20 &amp; 19'!$J20,'Q1 TB-20'!$G$6:$G$308),0)</f>
        <v>0</v>
      </c>
      <c r="D20" s="143">
        <f>-ROUND(SUMIF('Q2 TB-20'!$H$6:$H$308,'Stmt of Ops FY-20 &amp; 19'!$J20,'Q2 TB-20'!$G$6:$G$308),0)</f>
        <v>0</v>
      </c>
      <c r="E20" s="143">
        <f>-ROUND(SUMIF('Q3 TB-20'!$H$6:$H$308,'Stmt of Ops FY-20 &amp; 19'!$J20,'Q3 TB-20'!$G$6:$G$308),0)</f>
        <v>0</v>
      </c>
      <c r="F20" s="143">
        <f>-ROUND(SUMIF('Q4 TB-20'!$H$6:$H$308,'Stmt of Ops FY-20 &amp; 19'!$J20,'Q4 TB-20'!$G$6:$G$308),0)</f>
        <v>0</v>
      </c>
      <c r="G20" s="137"/>
      <c r="H20" s="143">
        <f>-ROUND(SUMIF('Q4 TB-19'!$H$6:$H$308,'Stmt of Ops FY-20 &amp; 19'!$J20,'Q4 TB-19'!$G$6:$G$308),0)</f>
        <v>0</v>
      </c>
      <c r="J20" s="124" t="s">
        <v>951</v>
      </c>
      <c r="O20" s="125"/>
    </row>
    <row r="21" spans="1:15" hidden="1" x14ac:dyDescent="0.75">
      <c r="A21" s="125" t="s">
        <v>450</v>
      </c>
      <c r="C21" s="143">
        <f>-ROUND(SUMIF('Q1 TB-20'!$H$6:$H$308,'Stmt of Ops FY-20 &amp; 19'!$J21,'Q1 TB-20'!$G$6:$G$308),0)</f>
        <v>0</v>
      </c>
      <c r="D21" s="143">
        <f>-ROUND(SUMIF('Q2 TB-20'!$H$6:$H$308,'Stmt of Ops FY-20 &amp; 19'!$J21,'Q2 TB-20'!$G$6:$G$308),0)</f>
        <v>0</v>
      </c>
      <c r="E21" s="143">
        <f>-ROUND(SUMIF('Q3 TB-20'!$H$6:$H$308,'Stmt of Ops FY-20 &amp; 19'!$J21,'Q3 TB-20'!$G$6:$G$308),0)</f>
        <v>0</v>
      </c>
      <c r="F21" s="143">
        <f>-ROUND(SUMIF('Q4 TB-20'!$H$6:$H$308,'Stmt of Ops FY-20 &amp; 19'!$J21,'Q4 TB-20'!$G$6:$G$308),0)</f>
        <v>0</v>
      </c>
      <c r="G21" s="137"/>
      <c r="H21" s="143">
        <f>-ROUND(SUMIF('Q4 TB-19'!$H$6:$H$308,'Stmt of Ops FY-20 &amp; 19'!$J21,'Q4 TB-19'!$G$6:$G$308),0)</f>
        <v>0</v>
      </c>
      <c r="J21" s="124" t="s">
        <v>451</v>
      </c>
      <c r="K21" s="158">
        <f t="shared" ref="K21:K22" si="2">F21-H21</f>
        <v>0</v>
      </c>
      <c r="O21" s="125"/>
    </row>
    <row r="22" spans="1:15" x14ac:dyDescent="0.75">
      <c r="A22" s="125" t="s">
        <v>433</v>
      </c>
      <c r="C22" s="143">
        <f>-ROUND(SUMIF('Q1 TB-20'!$H$6:$H$308,'Stmt of Ops FY-20 &amp; 19'!$J22,'Q1 TB-20'!$G$6:$G$308),0)</f>
        <v>-74646</v>
      </c>
      <c r="D22" s="143">
        <f>-ROUND(SUMIF('Q2 TB-20'!$H$6:$H$308,'Stmt of Ops FY-20 &amp; 19'!$J22,'Q2 TB-20'!$G$6:$G$308),0)</f>
        <v>-147279</v>
      </c>
      <c r="E22" s="143">
        <f>-ROUND(SUMIF('Q3 TB-20'!$H$6:$H$308,'Stmt of Ops FY-20 &amp; 19'!$J22,'Q3 TB-20'!$G$6:$G$308),0)</f>
        <v>-221089</v>
      </c>
      <c r="F22" s="143">
        <f>-ROUND(SUMIF('Q4 TB-20'!$H$6:$H$308,'Stmt of Ops FY-20 &amp; 19'!$J22,'Q4 TB-20'!$G$6:$G$308),0)</f>
        <v>-294083</v>
      </c>
      <c r="G22" s="137"/>
      <c r="H22" s="143">
        <f>-ROUND(SUMIF('Q4 TB-19'!$H$6:$H$308,'Stmt of Ops FY-20 &amp; 19'!$J22,'Q4 TB-19'!$G$6:$G$308),0)</f>
        <v>-276229</v>
      </c>
      <c r="J22" s="124" t="s">
        <v>441</v>
      </c>
      <c r="K22" s="158">
        <f t="shared" si="2"/>
        <v>-17854</v>
      </c>
      <c r="O22" s="125"/>
    </row>
    <row r="23" spans="1:15" x14ac:dyDescent="0.75">
      <c r="C23" s="141"/>
      <c r="D23" s="141"/>
      <c r="E23" s="141"/>
      <c r="F23" s="141"/>
      <c r="G23" s="137"/>
      <c r="H23" s="141"/>
      <c r="O23" s="125"/>
    </row>
    <row r="24" spans="1:15" hidden="1" x14ac:dyDescent="0.75">
      <c r="A24" s="125" t="s">
        <v>434</v>
      </c>
      <c r="C24" s="143" t="e">
        <f>SUM(C17:C23)</f>
        <v>#REF!</v>
      </c>
      <c r="D24" s="143" t="e">
        <f t="shared" ref="D24:F24" si="3">SUM(D17:D23)</f>
        <v>#REF!</v>
      </c>
      <c r="E24" s="143" t="e">
        <f t="shared" si="3"/>
        <v>#REF!</v>
      </c>
      <c r="F24" s="143">
        <f t="shared" si="3"/>
        <v>-1562547</v>
      </c>
      <c r="G24" s="137"/>
      <c r="H24" s="143">
        <f t="shared" ref="H24" si="4">SUM(H17:H23)</f>
        <v>-609806</v>
      </c>
      <c r="K24" s="158">
        <f>F24-H24</f>
        <v>-952741</v>
      </c>
      <c r="O24" s="125"/>
    </row>
    <row r="25" spans="1:15" hidden="1" x14ac:dyDescent="0.75">
      <c r="C25" s="143"/>
      <c r="D25" s="143"/>
      <c r="E25" s="143"/>
      <c r="F25" s="143"/>
      <c r="G25" s="137"/>
      <c r="H25" s="143"/>
      <c r="O25" s="125"/>
    </row>
    <row r="26" spans="1:15" hidden="1" x14ac:dyDescent="0.75">
      <c r="A26" s="125" t="s">
        <v>436</v>
      </c>
      <c r="C26" s="143">
        <f>ROUND(SUMIF('Q1 TB-20'!$H$6:$H$308,'Stmt of Ops FY-20 &amp; 19'!$J26,'Q1 TB-20'!$G$6:$G$308),0)</f>
        <v>0</v>
      </c>
      <c r="D26" s="143">
        <f>ROUND(SUMIF('Q2 TB-20'!$H$6:$H$308,'Stmt of Ops FY-20 &amp; 19'!$J26,'Q2 TB-20'!$G$6:$G$308),0)</f>
        <v>0</v>
      </c>
      <c r="E26" s="143">
        <f>ROUND(SUMIF('Q3 TB-20'!$H$6:$H$308,'Stmt of Ops FY-20 &amp; 19'!$J26,'Q3 TB-20'!$G$6:$G$308),0)</f>
        <v>0</v>
      </c>
      <c r="F26" s="143">
        <f>ROUND(SUMIF('Q4 TB-20'!$H$6:$H$308,'Stmt of Ops FY-20 &amp; 19'!$J26,'Q4 TB-20'!$G$6:$G$308),0)</f>
        <v>0</v>
      </c>
      <c r="G26" s="137"/>
      <c r="H26" s="143">
        <f>ROUND(SUMIF('Q4 TB-19'!$H$6:$H$308,'Stmt of Ops FY-20 &amp; 19'!$J26,'Q4 TB-19'!$G$6:$G$308),0)</f>
        <v>0</v>
      </c>
      <c r="J26" s="124" t="s">
        <v>440</v>
      </c>
      <c r="K26" s="158">
        <f>F26-H26</f>
        <v>0</v>
      </c>
      <c r="O26" s="125"/>
    </row>
    <row r="27" spans="1:15" hidden="1" x14ac:dyDescent="0.75">
      <c r="C27" s="141"/>
      <c r="D27" s="141"/>
      <c r="E27" s="141"/>
      <c r="F27" s="141"/>
      <c r="G27" s="137"/>
      <c r="H27" s="141"/>
      <c r="O27" s="125"/>
    </row>
    <row r="28" spans="1:15" x14ac:dyDescent="0.75">
      <c r="A28" s="125" t="s">
        <v>435</v>
      </c>
      <c r="C28" s="143"/>
      <c r="D28" s="143"/>
      <c r="E28" s="143"/>
      <c r="F28" s="143">
        <f>SUM(F24:F27)</f>
        <v>-1562547</v>
      </c>
      <c r="G28" s="137"/>
      <c r="H28" s="143">
        <f>SUM(H24:H27)</f>
        <v>-609806</v>
      </c>
      <c r="O28" s="125"/>
    </row>
    <row r="29" spans="1:15" x14ac:dyDescent="0.75">
      <c r="C29" s="143"/>
      <c r="D29" s="143"/>
      <c r="E29" s="143"/>
      <c r="F29" s="143"/>
      <c r="G29" s="137"/>
      <c r="H29" s="143"/>
      <c r="M29" s="143"/>
      <c r="O29" s="125"/>
    </row>
    <row r="30" spans="1:15" x14ac:dyDescent="0.75">
      <c r="A30" s="125" t="s">
        <v>1126</v>
      </c>
      <c r="C30" s="143"/>
      <c r="D30" s="143"/>
      <c r="E30" s="143"/>
      <c r="F30" s="143">
        <v>-26464</v>
      </c>
      <c r="G30" s="137"/>
      <c r="H30" s="143">
        <v>0</v>
      </c>
      <c r="M30" s="143"/>
      <c r="O30" s="125"/>
    </row>
    <row r="31" spans="1:15" ht="31.5" x14ac:dyDescent="0.75">
      <c r="A31" s="173" t="s">
        <v>1127</v>
      </c>
      <c r="C31" s="143"/>
      <c r="D31" s="143"/>
      <c r="E31" s="143"/>
      <c r="F31" s="143">
        <v>-48516</v>
      </c>
      <c r="G31" s="137"/>
      <c r="H31" s="143">
        <v>0</v>
      </c>
      <c r="M31" s="143"/>
      <c r="O31" s="125"/>
    </row>
    <row r="32" spans="1:15" x14ac:dyDescent="0.75">
      <c r="C32" s="143"/>
      <c r="D32" s="143"/>
      <c r="E32" s="143"/>
      <c r="F32" s="141"/>
      <c r="G32" s="137"/>
      <c r="H32" s="141"/>
      <c r="O32" s="125"/>
    </row>
    <row r="33" spans="1:15" ht="16.5" thickBot="1" x14ac:dyDescent="0.9">
      <c r="A33" s="125" t="s">
        <v>1065</v>
      </c>
      <c r="B33" s="158"/>
      <c r="C33" s="160" t="e">
        <f>C24-C26</f>
        <v>#REF!</v>
      </c>
      <c r="D33" s="160" t="e">
        <f t="shared" ref="D33:E33" si="5">D24-D26</f>
        <v>#REF!</v>
      </c>
      <c r="E33" s="160" t="e">
        <f t="shared" si="5"/>
        <v>#REF!</v>
      </c>
      <c r="F33" s="160">
        <f>SUM(F28:F32)</f>
        <v>-1637527</v>
      </c>
      <c r="G33" s="161"/>
      <c r="H33" s="160">
        <f>SUM(H28:H32)</f>
        <v>-609806</v>
      </c>
      <c r="K33" s="158">
        <f>F33-H33</f>
        <v>-1027721</v>
      </c>
      <c r="O33" s="125"/>
    </row>
    <row r="34" spans="1:15" ht="16.5" thickTop="1" x14ac:dyDescent="0.75">
      <c r="C34" s="137"/>
      <c r="D34" s="137"/>
      <c r="E34" s="137"/>
      <c r="F34" s="137"/>
      <c r="G34" s="137"/>
      <c r="H34" s="137"/>
      <c r="O34" s="125"/>
    </row>
    <row r="35" spans="1:15" x14ac:dyDescent="0.75">
      <c r="C35" s="137"/>
      <c r="D35" s="137"/>
      <c r="E35" s="137"/>
      <c r="F35" s="137"/>
      <c r="G35" s="137"/>
      <c r="H35" s="137"/>
      <c r="O35" s="125"/>
    </row>
    <row r="36" spans="1:15" ht="16.5" thickBot="1" x14ac:dyDescent="0.9">
      <c r="A36" s="125" t="s">
        <v>414</v>
      </c>
      <c r="C36" s="162" t="e">
        <f>C33/C39</f>
        <v>#REF!</v>
      </c>
      <c r="D36" s="162" t="e">
        <f t="shared" ref="D36:E36" si="6">D33/D39</f>
        <v>#REF!</v>
      </c>
      <c r="E36" s="162" t="e">
        <f t="shared" si="6"/>
        <v>#REF!</v>
      </c>
      <c r="F36" s="162">
        <f>F33/F39</f>
        <v>-3.5570410986821614E-2</v>
      </c>
      <c r="G36" s="137"/>
      <c r="H36" s="162">
        <f t="shared" ref="H36" si="7">H33/H39</f>
        <v>-1.3253256372310084E-2</v>
      </c>
      <c r="O36" s="125"/>
    </row>
    <row r="37" spans="1:15" ht="16.5" thickTop="1" x14ac:dyDescent="0.75">
      <c r="C37" s="137"/>
      <c r="D37" s="137"/>
      <c r="E37" s="137"/>
      <c r="F37" s="137"/>
      <c r="G37" s="137"/>
      <c r="H37" s="137"/>
      <c r="O37" s="125"/>
    </row>
    <row r="38" spans="1:15" x14ac:dyDescent="0.75">
      <c r="A38" s="125" t="s">
        <v>415</v>
      </c>
      <c r="C38" s="137"/>
      <c r="D38" s="137"/>
      <c r="E38" s="137"/>
      <c r="F38" s="137"/>
      <c r="G38" s="137"/>
      <c r="H38" s="137"/>
      <c r="O38" s="125"/>
    </row>
    <row r="39" spans="1:15" ht="16.5" thickBot="1" x14ac:dyDescent="0.9">
      <c r="A39" s="125" t="s">
        <v>416</v>
      </c>
      <c r="C39" s="145">
        <f>WASO!E15</f>
        <v>46144200</v>
      </c>
      <c r="D39" s="145">
        <f>WASO!H15</f>
        <v>46144200</v>
      </c>
      <c r="E39" s="145">
        <f>WASO!K15</f>
        <v>46144200</v>
      </c>
      <c r="F39" s="145">
        <f>WASO!N28</f>
        <v>46036212.530878067</v>
      </c>
      <c r="G39" s="137"/>
      <c r="H39" s="163">
        <f>WASO!N15</f>
        <v>46011786.301369868</v>
      </c>
      <c r="O39" s="125"/>
    </row>
    <row r="40" spans="1:15" ht="16.5" thickTop="1" x14ac:dyDescent="0.75">
      <c r="C40" s="134"/>
      <c r="D40" s="134"/>
      <c r="E40" s="134"/>
      <c r="F40" s="134"/>
      <c r="G40" s="134"/>
      <c r="H40" s="134"/>
      <c r="O40" s="125"/>
    </row>
    <row r="41" spans="1:15" x14ac:dyDescent="0.75">
      <c r="C41" s="134"/>
      <c r="D41" s="134"/>
      <c r="E41" s="134"/>
      <c r="F41" s="134"/>
      <c r="G41" s="134"/>
      <c r="H41" s="134"/>
    </row>
    <row r="42" spans="1:15" x14ac:dyDescent="0.75">
      <c r="A42" s="193" t="s">
        <v>994</v>
      </c>
      <c r="B42" s="193"/>
      <c r="C42" s="193"/>
      <c r="D42" s="193"/>
      <c r="E42" s="193"/>
      <c r="F42" s="193"/>
      <c r="G42" s="193"/>
      <c r="H42" s="193"/>
      <c r="I42" s="193"/>
    </row>
    <row r="43" spans="1:15" x14ac:dyDescent="0.75">
      <c r="C43" s="134"/>
      <c r="D43" s="134"/>
      <c r="E43" s="134"/>
      <c r="F43" s="134"/>
      <c r="G43" s="134"/>
      <c r="H43" s="134"/>
    </row>
    <row r="44" spans="1:15" x14ac:dyDescent="0.75">
      <c r="A44" s="194" t="s">
        <v>1095</v>
      </c>
      <c r="B44" s="193"/>
      <c r="C44" s="193"/>
      <c r="D44" s="193"/>
      <c r="E44" s="193"/>
      <c r="F44" s="193"/>
      <c r="G44" s="193"/>
      <c r="H44" s="193"/>
    </row>
    <row r="45" spans="1:15" x14ac:dyDescent="0.75">
      <c r="C45" s="134"/>
      <c r="D45" s="134"/>
      <c r="E45" s="134"/>
      <c r="F45" s="134"/>
      <c r="G45" s="134"/>
      <c r="H45" s="134"/>
    </row>
    <row r="46" spans="1:15" x14ac:dyDescent="0.75">
      <c r="A46" s="151"/>
      <c r="B46" s="151"/>
      <c r="C46" s="164"/>
      <c r="D46" s="164"/>
      <c r="E46" s="164"/>
      <c r="F46" s="164"/>
      <c r="G46" s="164"/>
      <c r="H46" s="164"/>
      <c r="I46" s="151"/>
    </row>
    <row r="47" spans="1:15" x14ac:dyDescent="0.75">
      <c r="A47" s="151"/>
      <c r="B47" s="151"/>
      <c r="C47" s="164"/>
      <c r="D47" s="164"/>
      <c r="E47" s="164"/>
      <c r="F47" s="164"/>
      <c r="G47" s="164"/>
      <c r="H47" s="164"/>
      <c r="I47" s="151"/>
    </row>
    <row r="48" spans="1:15" x14ac:dyDescent="0.75">
      <c r="A48" s="151"/>
      <c r="B48" s="151"/>
      <c r="C48" s="164"/>
      <c r="D48" s="164"/>
      <c r="E48" s="164"/>
      <c r="F48" s="164"/>
      <c r="G48" s="164"/>
      <c r="H48" s="164"/>
      <c r="I48" s="151"/>
    </row>
    <row r="49" spans="1:17" x14ac:dyDescent="0.75">
      <c r="C49" s="134"/>
      <c r="D49" s="134"/>
      <c r="E49" s="134"/>
      <c r="F49" s="134"/>
      <c r="G49" s="134"/>
      <c r="H49" s="134"/>
    </row>
    <row r="50" spans="1:17" x14ac:dyDescent="0.75">
      <c r="C50" s="134"/>
      <c r="D50" s="134"/>
      <c r="E50" s="134"/>
      <c r="F50" s="137">
        <v>-1589011</v>
      </c>
      <c r="G50" s="137"/>
      <c r="H50" s="137">
        <v>-609806</v>
      </c>
    </row>
    <row r="51" spans="1:17" x14ac:dyDescent="0.75">
      <c r="C51" s="134"/>
      <c r="D51" s="134"/>
      <c r="E51" s="134"/>
      <c r="F51" s="134"/>
      <c r="G51" s="134"/>
      <c r="H51" s="134"/>
    </row>
    <row r="52" spans="1:17" x14ac:dyDescent="0.75">
      <c r="C52" s="134"/>
      <c r="D52" s="134"/>
      <c r="E52" s="134"/>
      <c r="F52" s="134"/>
      <c r="G52" s="134"/>
      <c r="H52" s="134"/>
    </row>
    <row r="53" spans="1:17" x14ac:dyDescent="0.75">
      <c r="C53" s="134"/>
      <c r="D53" s="134"/>
      <c r="E53" s="134"/>
      <c r="F53" s="134"/>
      <c r="G53" s="134"/>
      <c r="H53" s="134"/>
    </row>
    <row r="54" spans="1:17" x14ac:dyDescent="0.75">
      <c r="C54" s="134"/>
      <c r="D54" s="134"/>
      <c r="E54" s="134"/>
      <c r="F54" s="134"/>
      <c r="G54" s="134"/>
      <c r="H54" s="134"/>
    </row>
    <row r="55" spans="1:17" x14ac:dyDescent="0.75">
      <c r="C55" s="134"/>
      <c r="D55" s="134"/>
      <c r="E55" s="134"/>
      <c r="F55" s="134"/>
      <c r="G55" s="134"/>
      <c r="H55" s="134"/>
    </row>
    <row r="56" spans="1:17" x14ac:dyDescent="0.75">
      <c r="A56" s="127" t="s">
        <v>386</v>
      </c>
      <c r="G56" s="134"/>
      <c r="H56" s="134"/>
    </row>
    <row r="57" spans="1:17" x14ac:dyDescent="0.75">
      <c r="A57" s="127" t="s">
        <v>401</v>
      </c>
      <c r="G57" s="134"/>
      <c r="H57" s="134"/>
    </row>
    <row r="58" spans="1:17" x14ac:dyDescent="0.75">
      <c r="A58" s="127"/>
      <c r="G58" s="134"/>
      <c r="H58" s="134"/>
      <c r="M58" s="165">
        <v>43404</v>
      </c>
      <c r="N58" s="126" t="s">
        <v>868</v>
      </c>
      <c r="O58" s="166"/>
      <c r="P58" s="126"/>
      <c r="Q58" s="166"/>
    </row>
    <row r="59" spans="1:17" x14ac:dyDescent="0.75">
      <c r="C59" s="176" t="s">
        <v>402</v>
      </c>
      <c r="D59" s="176" t="s">
        <v>402</v>
      </c>
      <c r="E59" s="176" t="s">
        <v>402</v>
      </c>
      <c r="F59" s="176" t="s">
        <v>402</v>
      </c>
      <c r="G59" s="134"/>
      <c r="H59" s="134"/>
      <c r="M59" s="165"/>
      <c r="N59" s="126"/>
      <c r="O59" s="166"/>
      <c r="P59" s="126"/>
      <c r="Q59" s="166"/>
    </row>
    <row r="60" spans="1:17" x14ac:dyDescent="0.75">
      <c r="C60" s="156">
        <v>42400</v>
      </c>
      <c r="D60" s="156">
        <f>DATE(YEAR(C60),MONTH(C60)+4,1)-1</f>
        <v>42490</v>
      </c>
      <c r="E60" s="156">
        <f t="shared" ref="E60:F60" si="8">DATE(YEAR(D60),MONTH(D60)+4,1)-1</f>
        <v>42582</v>
      </c>
      <c r="F60" s="156">
        <f t="shared" si="8"/>
        <v>42674</v>
      </c>
      <c r="G60" s="134"/>
      <c r="H60" s="134"/>
      <c r="M60" s="126"/>
      <c r="N60" s="126"/>
      <c r="O60" s="167" t="s">
        <v>869</v>
      </c>
      <c r="P60" s="168"/>
      <c r="Q60" s="167" t="s">
        <v>870</v>
      </c>
    </row>
    <row r="61" spans="1:17" x14ac:dyDescent="0.75">
      <c r="A61" s="127"/>
      <c r="G61" s="134"/>
      <c r="H61" s="134"/>
      <c r="M61" s="126" t="s">
        <v>867</v>
      </c>
      <c r="N61" s="165">
        <v>43039</v>
      </c>
      <c r="O61" s="166">
        <v>21431822</v>
      </c>
      <c r="P61" s="126"/>
      <c r="Q61" s="166">
        <f>($M$58-N61)/365*O61</f>
        <v>21431822</v>
      </c>
    </row>
    <row r="62" spans="1:17" x14ac:dyDescent="0.75">
      <c r="A62" s="125" t="s">
        <v>425</v>
      </c>
      <c r="C62" s="157">
        <f>C7</f>
        <v>225921</v>
      </c>
      <c r="D62" s="157">
        <f>D7-C7</f>
        <v>128632</v>
      </c>
      <c r="E62" s="157">
        <f>E7-D7</f>
        <v>132267</v>
      </c>
      <c r="F62" s="157">
        <f>F7-E7</f>
        <v>-116412</v>
      </c>
      <c r="G62" s="134"/>
      <c r="H62" s="134"/>
      <c r="M62" s="126"/>
      <c r="N62" s="165">
        <v>43181</v>
      </c>
      <c r="O62" s="166">
        <v>1404545</v>
      </c>
      <c r="P62" s="126"/>
      <c r="Q62" s="166">
        <f t="shared" ref="Q62:Q71" si="9">($M$58-N62)/365*O62</f>
        <v>858119.27397260279</v>
      </c>
    </row>
    <row r="63" spans="1:17" x14ac:dyDescent="0.75">
      <c r="A63" s="125" t="s">
        <v>426</v>
      </c>
      <c r="C63" s="137">
        <f>C11</f>
        <v>-55462</v>
      </c>
      <c r="D63" s="137">
        <f>D11-C11</f>
        <v>-47608</v>
      </c>
      <c r="E63" s="137">
        <f>E11-D11</f>
        <v>-48274</v>
      </c>
      <c r="F63" s="137">
        <f>F11-E11</f>
        <v>-65638</v>
      </c>
      <c r="G63" s="134"/>
      <c r="H63" s="134"/>
      <c r="M63" s="126"/>
      <c r="N63" s="165">
        <v>43181</v>
      </c>
      <c r="O63" s="166">
        <v>1295455</v>
      </c>
      <c r="P63" s="126"/>
      <c r="Q63" s="166">
        <f t="shared" si="9"/>
        <v>791469.76712328778</v>
      </c>
    </row>
    <row r="64" spans="1:17" x14ac:dyDescent="0.75">
      <c r="C64" s="141"/>
      <c r="D64" s="141"/>
      <c r="E64" s="141"/>
      <c r="F64" s="141"/>
      <c r="G64" s="134"/>
      <c r="H64" s="134"/>
      <c r="M64" s="126"/>
      <c r="N64" s="165">
        <v>43340</v>
      </c>
      <c r="O64" s="166">
        <v>4052378</v>
      </c>
      <c r="P64" s="126"/>
      <c r="Q64" s="166">
        <f t="shared" si="9"/>
        <v>710553.95068493148</v>
      </c>
    </row>
    <row r="65" spans="1:17" x14ac:dyDescent="0.75">
      <c r="A65" s="125" t="s">
        <v>431</v>
      </c>
      <c r="C65" s="137">
        <f>C62-C63</f>
        <v>281383</v>
      </c>
      <c r="D65" s="137">
        <f t="shared" ref="D65:F65" si="10">D62-D63</f>
        <v>176240</v>
      </c>
      <c r="E65" s="137">
        <f t="shared" si="10"/>
        <v>180541</v>
      </c>
      <c r="F65" s="137">
        <f t="shared" si="10"/>
        <v>-50774</v>
      </c>
      <c r="G65" s="134"/>
      <c r="H65" s="134"/>
      <c r="M65" s="126"/>
      <c r="N65" s="165">
        <v>43340</v>
      </c>
      <c r="O65" s="166">
        <v>4000000</v>
      </c>
      <c r="P65" s="126"/>
      <c r="Q65" s="166">
        <f t="shared" si="9"/>
        <v>701369.8630136986</v>
      </c>
    </row>
    <row r="66" spans="1:17" x14ac:dyDescent="0.75">
      <c r="C66" s="137"/>
      <c r="D66" s="137"/>
      <c r="E66" s="137"/>
      <c r="F66" s="137"/>
      <c r="G66" s="134"/>
      <c r="H66" s="134"/>
      <c r="M66" s="126"/>
      <c r="N66" s="165">
        <v>43340</v>
      </c>
      <c r="O66" s="166">
        <v>4000000</v>
      </c>
      <c r="P66" s="126"/>
      <c r="Q66" s="166">
        <f t="shared" si="9"/>
        <v>701369.8630136986</v>
      </c>
    </row>
    <row r="67" spans="1:17" x14ac:dyDescent="0.75">
      <c r="C67" s="137"/>
      <c r="D67" s="137"/>
      <c r="E67" s="137"/>
      <c r="F67" s="137"/>
      <c r="G67" s="134"/>
      <c r="H67" s="134"/>
      <c r="M67" s="126"/>
      <c r="N67" s="165">
        <v>43340</v>
      </c>
      <c r="O67" s="166">
        <v>4000000</v>
      </c>
      <c r="P67" s="126"/>
      <c r="Q67" s="166">
        <f t="shared" si="9"/>
        <v>701369.8630136986</v>
      </c>
    </row>
    <row r="68" spans="1:17" x14ac:dyDescent="0.75">
      <c r="A68" s="125" t="s">
        <v>427</v>
      </c>
      <c r="C68" s="137"/>
      <c r="D68" s="137"/>
      <c r="E68" s="137"/>
      <c r="F68" s="137"/>
      <c r="G68" s="134"/>
      <c r="H68" s="134"/>
      <c r="M68" s="126"/>
      <c r="N68" s="165">
        <v>43340</v>
      </c>
      <c r="O68" s="166">
        <v>4000000</v>
      </c>
      <c r="P68" s="126"/>
      <c r="Q68" s="166">
        <f t="shared" si="9"/>
        <v>701369.8630136986</v>
      </c>
    </row>
    <row r="69" spans="1:17" x14ac:dyDescent="0.75">
      <c r="A69" s="125" t="s">
        <v>429</v>
      </c>
      <c r="C69" s="137">
        <f>C15</f>
        <v>363887</v>
      </c>
      <c r="D69" s="137">
        <f>D15-C15</f>
        <v>342843</v>
      </c>
      <c r="E69" s="137">
        <f>E15-D15</f>
        <v>404236</v>
      </c>
      <c r="F69" s="137">
        <f>F15-E15</f>
        <v>589224</v>
      </c>
      <c r="G69" s="134"/>
      <c r="H69" s="134"/>
      <c r="M69" s="126"/>
      <c r="N69" s="165">
        <v>43340</v>
      </c>
      <c r="O69" s="166">
        <v>1000000</v>
      </c>
      <c r="P69" s="126"/>
      <c r="Q69" s="166">
        <f t="shared" si="9"/>
        <v>175342.46575342465</v>
      </c>
    </row>
    <row r="70" spans="1:17" x14ac:dyDescent="0.75">
      <c r="C70" s="141"/>
      <c r="D70" s="141"/>
      <c r="E70" s="141"/>
      <c r="F70" s="141"/>
      <c r="G70" s="134"/>
      <c r="H70" s="134"/>
      <c r="M70" s="126"/>
      <c r="N70" s="165">
        <v>43340</v>
      </c>
      <c r="O70" s="166">
        <v>500000</v>
      </c>
      <c r="P70" s="126"/>
      <c r="Q70" s="166">
        <f t="shared" si="9"/>
        <v>87671.232876712325</v>
      </c>
    </row>
    <row r="71" spans="1:17" x14ac:dyDescent="0.75">
      <c r="A71" s="125" t="s">
        <v>406</v>
      </c>
      <c r="C71" s="137">
        <f>SUM(C68:C70)</f>
        <v>363887</v>
      </c>
      <c r="D71" s="137">
        <f>SUM(D68:D70)</f>
        <v>342843</v>
      </c>
      <c r="E71" s="137">
        <f>SUM(E68:E70)</f>
        <v>404236</v>
      </c>
      <c r="F71" s="137">
        <f>SUM(F68:F70)</f>
        <v>589224</v>
      </c>
      <c r="G71" s="134"/>
      <c r="H71" s="134"/>
      <c r="M71" s="126"/>
      <c r="N71" s="165">
        <v>43340</v>
      </c>
      <c r="O71" s="166">
        <v>500000</v>
      </c>
      <c r="P71" s="126"/>
      <c r="Q71" s="166">
        <f t="shared" si="9"/>
        <v>87671.232876712325</v>
      </c>
    </row>
    <row r="72" spans="1:17" x14ac:dyDescent="0.75">
      <c r="C72" s="141"/>
      <c r="D72" s="141"/>
      <c r="E72" s="141"/>
      <c r="F72" s="141"/>
      <c r="G72" s="134"/>
      <c r="H72" s="134"/>
      <c r="M72" s="126"/>
      <c r="N72" s="165"/>
      <c r="O72" s="166"/>
      <c r="P72" s="126"/>
      <c r="Q72" s="166"/>
    </row>
    <row r="73" spans="1:17" x14ac:dyDescent="0.75">
      <c r="A73" s="125" t="s">
        <v>430</v>
      </c>
      <c r="C73" s="143">
        <f>C65-C71</f>
        <v>-82504</v>
      </c>
      <c r="D73" s="143">
        <f>D65-D71</f>
        <v>-166603</v>
      </c>
      <c r="E73" s="143">
        <f>E65-E71</f>
        <v>-223695</v>
      </c>
      <c r="F73" s="143">
        <f>F65-F71</f>
        <v>-639998</v>
      </c>
      <c r="G73" s="134"/>
      <c r="H73" s="134"/>
      <c r="M73" s="126"/>
      <c r="N73" s="165" t="s">
        <v>869</v>
      </c>
      <c r="O73" s="166">
        <f>SUM(O60:O72)</f>
        <v>46184200</v>
      </c>
      <c r="P73" s="126"/>
      <c r="Q73" s="166">
        <f>SUM(Q60:Q72)</f>
        <v>26948129.37534247</v>
      </c>
    </row>
    <row r="74" spans="1:17" x14ac:dyDescent="0.75">
      <c r="C74" s="143"/>
      <c r="D74" s="143"/>
      <c r="E74" s="143"/>
      <c r="F74" s="143"/>
      <c r="G74" s="134"/>
      <c r="H74" s="134"/>
      <c r="M74" s="126"/>
      <c r="N74" s="165"/>
      <c r="O74" s="166"/>
      <c r="P74" s="126"/>
      <c r="Q74" s="166"/>
    </row>
    <row r="75" spans="1:17" x14ac:dyDescent="0.75">
      <c r="A75" s="125" t="s">
        <v>432</v>
      </c>
      <c r="C75" s="143"/>
      <c r="D75" s="143"/>
      <c r="E75" s="143"/>
      <c r="F75" s="143"/>
      <c r="G75" s="134"/>
      <c r="H75" s="134"/>
      <c r="M75" s="126"/>
      <c r="N75" s="126"/>
      <c r="O75" s="166"/>
      <c r="P75" s="126"/>
      <c r="Q75" s="166"/>
    </row>
    <row r="76" spans="1:17" x14ac:dyDescent="0.75">
      <c r="A76" s="125" t="s">
        <v>433</v>
      </c>
      <c r="C76" s="137">
        <f>C22</f>
        <v>-74646</v>
      </c>
      <c r="D76" s="137">
        <f>D22-C22</f>
        <v>-72633</v>
      </c>
      <c r="E76" s="137">
        <f>E22-D22</f>
        <v>-73810</v>
      </c>
      <c r="F76" s="137">
        <f>F22-E22</f>
        <v>-72994</v>
      </c>
      <c r="G76" s="134"/>
      <c r="H76" s="134"/>
      <c r="M76" s="126"/>
      <c r="N76" s="126"/>
      <c r="O76" s="166"/>
      <c r="P76" s="126"/>
      <c r="Q76" s="166"/>
    </row>
    <row r="77" spans="1:17" x14ac:dyDescent="0.75">
      <c r="C77" s="141"/>
      <c r="D77" s="141"/>
      <c r="E77" s="141"/>
      <c r="F77" s="141"/>
      <c r="G77" s="134"/>
      <c r="H77" s="134"/>
    </row>
    <row r="78" spans="1:17" x14ac:dyDescent="0.75">
      <c r="A78" s="125" t="s">
        <v>434</v>
      </c>
      <c r="C78" s="143">
        <f>SUM(C73:C77)</f>
        <v>-157150</v>
      </c>
      <c r="D78" s="143">
        <f t="shared" ref="D78:F78" si="11">SUM(D73:D77)</f>
        <v>-239236</v>
      </c>
      <c r="E78" s="143">
        <f t="shared" si="11"/>
        <v>-297505</v>
      </c>
      <c r="F78" s="143">
        <f t="shared" si="11"/>
        <v>-712992</v>
      </c>
      <c r="G78" s="134"/>
      <c r="H78" s="134"/>
    </row>
    <row r="79" spans="1:17" x14ac:dyDescent="0.75">
      <c r="C79" s="143"/>
      <c r="D79" s="143"/>
      <c r="E79" s="143"/>
      <c r="F79" s="143"/>
      <c r="G79" s="134"/>
      <c r="H79" s="134"/>
    </row>
    <row r="80" spans="1:17" x14ac:dyDescent="0.75">
      <c r="A80" s="125" t="s">
        <v>436</v>
      </c>
      <c r="C80" s="137">
        <f>C26</f>
        <v>0</v>
      </c>
      <c r="D80" s="137">
        <f>D26-C26</f>
        <v>0</v>
      </c>
      <c r="E80" s="137">
        <f>E26-D26</f>
        <v>0</v>
      </c>
      <c r="F80" s="137">
        <f>F26-E26</f>
        <v>0</v>
      </c>
      <c r="G80" s="134"/>
      <c r="H80" s="134"/>
    </row>
    <row r="81" spans="1:8" x14ac:dyDescent="0.75">
      <c r="C81" s="141"/>
      <c r="D81" s="141"/>
      <c r="E81" s="141"/>
      <c r="F81" s="141"/>
      <c r="G81" s="134"/>
      <c r="H81" s="134"/>
    </row>
    <row r="82" spans="1:8" ht="16.5" thickBot="1" x14ac:dyDescent="0.9">
      <c r="A82" s="125" t="s">
        <v>435</v>
      </c>
      <c r="C82" s="160">
        <f>C78-C80</f>
        <v>-157150</v>
      </c>
      <c r="D82" s="160">
        <f t="shared" ref="D82:F82" si="12">D78-D80</f>
        <v>-239236</v>
      </c>
      <c r="E82" s="160">
        <f t="shared" si="12"/>
        <v>-297505</v>
      </c>
      <c r="F82" s="160">
        <f t="shared" si="12"/>
        <v>-712992</v>
      </c>
    </row>
    <row r="83" spans="1:8" ht="16.5" thickTop="1" x14ac:dyDescent="0.75">
      <c r="C83" s="137"/>
      <c r="D83" s="137"/>
      <c r="E83" s="137"/>
      <c r="F83" s="137"/>
    </row>
    <row r="84" spans="1:8" x14ac:dyDescent="0.75">
      <c r="C84" s="137"/>
      <c r="D84" s="137"/>
      <c r="E84" s="137"/>
      <c r="F84" s="137"/>
    </row>
    <row r="85" spans="1:8" ht="16.5" thickBot="1" x14ac:dyDescent="0.9">
      <c r="A85" s="125" t="s">
        <v>414</v>
      </c>
      <c r="C85" s="162">
        <f>C82/C88</f>
        <v>-3.4056284430112561E-3</v>
      </c>
      <c r="D85" s="162">
        <f t="shared" ref="D85:F85" si="13">D82/D88</f>
        <v>-5.184530233485465E-3</v>
      </c>
      <c r="E85" s="162">
        <f t="shared" si="13"/>
        <v>-6.4472891500990375E-3</v>
      </c>
      <c r="F85" s="162">
        <f t="shared" si="13"/>
        <v>-1.5487633773559712E-2</v>
      </c>
    </row>
    <row r="86" spans="1:8" ht="16.5" thickTop="1" x14ac:dyDescent="0.75">
      <c r="C86" s="137"/>
      <c r="D86" s="137"/>
      <c r="E86" s="137"/>
      <c r="F86" s="137"/>
    </row>
    <row r="87" spans="1:8" x14ac:dyDescent="0.75">
      <c r="A87" s="125" t="s">
        <v>415</v>
      </c>
      <c r="C87" s="137"/>
      <c r="D87" s="137"/>
      <c r="E87" s="137"/>
      <c r="F87" s="137"/>
    </row>
    <row r="88" spans="1:8" ht="16.5" thickBot="1" x14ac:dyDescent="0.9">
      <c r="A88" s="125" t="s">
        <v>416</v>
      </c>
      <c r="C88" s="145">
        <f>C39</f>
        <v>46144200</v>
      </c>
      <c r="D88" s="145">
        <f t="shared" ref="D88:F88" si="14">D39</f>
        <v>46144200</v>
      </c>
      <c r="E88" s="145">
        <f t="shared" si="14"/>
        <v>46144200</v>
      </c>
      <c r="F88" s="145">
        <f t="shared" si="14"/>
        <v>46036212.530878067</v>
      </c>
    </row>
    <row r="89" spans="1:8" ht="16.5" thickTop="1" x14ac:dyDescent="0.75">
      <c r="C89" s="134"/>
      <c r="D89" s="134"/>
      <c r="E89" s="134"/>
      <c r="F89" s="134"/>
    </row>
    <row r="90" spans="1:8" x14ac:dyDescent="0.75">
      <c r="C90" s="134"/>
      <c r="D90" s="134"/>
      <c r="E90" s="134"/>
      <c r="F90" s="134"/>
    </row>
    <row r="91" spans="1:8" x14ac:dyDescent="0.75">
      <c r="C91" s="134"/>
      <c r="D91" s="134"/>
      <c r="E91" s="134"/>
      <c r="F91" s="134"/>
    </row>
  </sheetData>
  <mergeCells count="4">
    <mergeCell ref="A1:H1"/>
    <mergeCell ref="A2:H2"/>
    <mergeCell ref="A42:I42"/>
    <mergeCell ref="A44:H44"/>
  </mergeCells>
  <pageMargins left="0.7" right="0.7" top="0.75" bottom="0.75" header="0.3" footer="0.3"/>
  <pageSetup scale="9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CE0C8-3AC3-4E42-A26C-11994A475D44}">
  <sheetPr codeName="Sheet3"/>
  <dimension ref="A1:J255"/>
  <sheetViews>
    <sheetView zoomScaleNormal="100" workbookViewId="0">
      <pane xSplit="2" ySplit="5" topLeftCell="C64" activePane="bottomRight" state="frozenSplit"/>
      <selection activeCell="B77" sqref="B77"/>
      <selection pane="topRight" activeCell="B77" sqref="B77"/>
      <selection pane="bottomLeft" activeCell="B77" sqref="B77"/>
      <selection pane="bottomRight" activeCell="B77" sqref="B77"/>
    </sheetView>
  </sheetViews>
  <sheetFormatPr defaultRowHeight="14.75" x14ac:dyDescent="0.75"/>
  <cols>
    <col min="1" max="1" width="11.86328125" style="14" customWidth="1"/>
    <col min="2" max="2" width="40.26953125" style="18" customWidth="1"/>
    <col min="3" max="3" width="14.1328125" style="10" customWidth="1"/>
    <col min="4" max="4" width="2.1328125" style="10" customWidth="1"/>
    <col min="5" max="5" width="15.40625" style="10" customWidth="1"/>
    <col min="6" max="6" width="4.26953125" style="10" customWidth="1"/>
    <col min="7" max="7" width="15.40625" style="10" customWidth="1"/>
    <col min="8" max="8" width="17.54296875" bestFit="1" customWidth="1"/>
  </cols>
  <sheetData>
    <row r="1" spans="1:10" ht="18" x14ac:dyDescent="0.8">
      <c r="B1" s="195" t="s">
        <v>696</v>
      </c>
      <c r="C1" s="197"/>
      <c r="D1" s="197"/>
    </row>
    <row r="2" spans="1:10" ht="18" x14ac:dyDescent="0.8">
      <c r="B2" s="195" t="s">
        <v>697</v>
      </c>
      <c r="C2" s="197"/>
      <c r="D2" s="197"/>
    </row>
    <row r="3" spans="1:10" ht="15.75" x14ac:dyDescent="0.75">
      <c r="B3" s="196" t="str">
        <f>'Raw Data 07-31-2019'!B3:D3</f>
        <v>As of July 31, 2019</v>
      </c>
      <c r="C3" s="196"/>
      <c r="D3" s="196"/>
    </row>
    <row r="4" spans="1:10" ht="15.5" thickBot="1" x14ac:dyDescent="0.9">
      <c r="A4" s="12"/>
      <c r="B4" s="13"/>
      <c r="C4" s="15"/>
      <c r="D4" s="1"/>
      <c r="E4" s="2"/>
      <c r="F4" s="2"/>
      <c r="G4" s="2"/>
    </row>
    <row r="5" spans="1:10" s="9" customFormat="1" ht="16.25" thickTop="1" thickBot="1" x14ac:dyDescent="0.9">
      <c r="A5" s="12" t="s">
        <v>4</v>
      </c>
      <c r="B5" s="17" t="s">
        <v>3</v>
      </c>
      <c r="C5" s="7" t="s">
        <v>0</v>
      </c>
      <c r="D5" s="8"/>
      <c r="E5" s="7" t="s">
        <v>1</v>
      </c>
      <c r="F5" s="15"/>
      <c r="G5" s="15" t="s">
        <v>170</v>
      </c>
      <c r="H5" s="35" t="s">
        <v>799</v>
      </c>
    </row>
    <row r="6" spans="1:10" ht="15.5" thickTop="1" x14ac:dyDescent="0.75">
      <c r="A6" s="12">
        <v>1005</v>
      </c>
      <c r="B6" s="13" t="s">
        <v>457</v>
      </c>
      <c r="C6" s="3">
        <f>SUMIF('Raw Data 07-31-2019'!$A$6:$A$254,'Q3 TB-19'!A6,'Raw Data 07-31-2019'!C$6:C$254)</f>
        <v>0</v>
      </c>
      <c r="D6" s="4"/>
      <c r="E6" s="3">
        <f>SUMIF('Raw Data 07-31-2019'!$A$6:$A$254,'Q3 TB-19'!A6,'Raw Data 07-31-2019'!D$6:D$254)</f>
        <v>0</v>
      </c>
      <c r="F6" s="3"/>
      <c r="G6" s="3">
        <f>C6-E6</f>
        <v>0</v>
      </c>
      <c r="H6" s="53" t="s">
        <v>171</v>
      </c>
      <c r="J6" s="19"/>
    </row>
    <row r="7" spans="1:10" x14ac:dyDescent="0.75">
      <c r="A7" s="12">
        <v>1010</v>
      </c>
      <c r="B7" s="13" t="s">
        <v>458</v>
      </c>
      <c r="C7" s="3">
        <f>SUMIF('Raw Data 07-31-2019'!$A$6:$A$254,'Q3 TB-19'!A7,'Raw Data 07-31-2019'!C$6:C$254)</f>
        <v>97029.48</v>
      </c>
      <c r="D7" s="4"/>
      <c r="E7" s="3">
        <f>SUMIF('Raw Data 07-31-2019'!$A$6:$A$254,'Q3 TB-19'!A7,'Raw Data 07-31-2019'!D$6:D$254)</f>
        <v>0</v>
      </c>
      <c r="F7" s="3"/>
      <c r="G7" s="3">
        <f t="shared" ref="G7:G72" si="0">C7-E7</f>
        <v>97029.48</v>
      </c>
      <c r="H7" s="53" t="s">
        <v>171</v>
      </c>
      <c r="J7" s="19"/>
    </row>
    <row r="8" spans="1:10" x14ac:dyDescent="0.75">
      <c r="A8" s="12">
        <v>1020</v>
      </c>
      <c r="B8" s="13" t="s">
        <v>459</v>
      </c>
      <c r="C8" s="3">
        <f>SUMIF('Raw Data 07-31-2019'!$A$6:$A$254,'Q3 TB-19'!A8,'Raw Data 07-31-2019'!C$6:C$254)</f>
        <v>695.41</v>
      </c>
      <c r="D8" s="4"/>
      <c r="E8" s="3">
        <f>SUMIF('Raw Data 07-31-2019'!$A$6:$A$254,'Q3 TB-19'!A8,'Raw Data 07-31-2019'!D$6:D$254)</f>
        <v>0</v>
      </c>
      <c r="F8" s="3"/>
      <c r="G8" s="3">
        <f t="shared" si="0"/>
        <v>695.41</v>
      </c>
      <c r="H8" s="53" t="s">
        <v>171</v>
      </c>
      <c r="J8" s="19"/>
    </row>
    <row r="9" spans="1:10" x14ac:dyDescent="0.75">
      <c r="A9" s="12">
        <v>1200</v>
      </c>
      <c r="B9" s="13" t="s">
        <v>460</v>
      </c>
      <c r="C9" s="3">
        <f>SUMIF('Raw Data 07-31-2019'!$A$6:$A$254,'Q3 TB-19'!A9,'Raw Data 07-31-2019'!C$6:C$254)</f>
        <v>177439.08</v>
      </c>
      <c r="D9" s="4"/>
      <c r="E9" s="3">
        <f>SUMIF('Raw Data 07-31-2019'!$A$6:$A$254,'Q3 TB-19'!A9,'Raw Data 07-31-2019'!D$6:D$254)</f>
        <v>0</v>
      </c>
      <c r="F9" s="3"/>
      <c r="G9" s="3">
        <f t="shared" si="0"/>
        <v>177439.08</v>
      </c>
      <c r="H9" s="53" t="s">
        <v>172</v>
      </c>
      <c r="J9" s="19"/>
    </row>
    <row r="10" spans="1:10" x14ac:dyDescent="0.75">
      <c r="A10" s="12">
        <v>1210</v>
      </c>
      <c r="B10" s="13" t="s">
        <v>461</v>
      </c>
      <c r="C10" s="3">
        <f>SUMIF('Raw Data 07-31-2019'!$A$6:$A$254,'Q3 TB-19'!A10,'Raw Data 07-31-2019'!C$6:C$254)</f>
        <v>0</v>
      </c>
      <c r="D10" s="4"/>
      <c r="E10" s="3">
        <f>SUMIF('Raw Data 07-31-2019'!$A$6:$A$254,'Q3 TB-19'!A10,'Raw Data 07-31-2019'!D$6:D$254)</f>
        <v>0</v>
      </c>
      <c r="F10" s="3"/>
      <c r="G10" s="3">
        <f t="shared" si="0"/>
        <v>0</v>
      </c>
      <c r="H10" s="53" t="s">
        <v>172</v>
      </c>
      <c r="J10" s="19"/>
    </row>
    <row r="11" spans="1:10" x14ac:dyDescent="0.75">
      <c r="A11" s="12">
        <v>1250</v>
      </c>
      <c r="B11" s="13" t="s">
        <v>462</v>
      </c>
      <c r="C11" s="3">
        <f>SUMIF('Raw Data 07-31-2019'!$A$6:$A$254,'Q3 TB-19'!A11,'Raw Data 07-31-2019'!C$6:C$254)</f>
        <v>0</v>
      </c>
      <c r="D11" s="4"/>
      <c r="E11" s="3">
        <f>SUMIF('Raw Data 07-31-2019'!$A$6:$A$254,'Q3 TB-19'!A11,'Raw Data 07-31-2019'!D$6:D$254)</f>
        <v>0</v>
      </c>
      <c r="F11" s="3"/>
      <c r="G11" s="3">
        <f t="shared" si="0"/>
        <v>0</v>
      </c>
      <c r="H11" s="53" t="s">
        <v>172</v>
      </c>
      <c r="J11" s="19"/>
    </row>
    <row r="12" spans="1:10" x14ac:dyDescent="0.75">
      <c r="A12" s="12">
        <v>1280</v>
      </c>
      <c r="B12" s="13" t="s">
        <v>468</v>
      </c>
      <c r="C12" s="3">
        <f>SUMIF('Raw Data 07-31-2019'!$A$6:$A$254,'Q3 TB-19'!A12,'Raw Data 07-31-2019'!C$6:C$254)</f>
        <v>0</v>
      </c>
      <c r="D12" s="4"/>
      <c r="E12" s="3">
        <f>SUMIF('Raw Data 07-31-2019'!$A$6:$A$254,'Q3 TB-19'!A12,'Raw Data 07-31-2019'!D$6:D$254)</f>
        <v>0</v>
      </c>
      <c r="F12" s="3"/>
      <c r="G12" s="3">
        <f t="shared" si="0"/>
        <v>0</v>
      </c>
      <c r="H12" s="53" t="s">
        <v>175</v>
      </c>
      <c r="J12" s="19"/>
    </row>
    <row r="13" spans="1:10" x14ac:dyDescent="0.75">
      <c r="A13" s="12">
        <v>1290</v>
      </c>
      <c r="B13" s="13" t="s">
        <v>469</v>
      </c>
      <c r="C13" s="3">
        <f>SUMIF('Raw Data 07-31-2019'!$A$6:$A$254,'Q3 TB-19'!A13,'Raw Data 07-31-2019'!C$6:C$254)</f>
        <v>0</v>
      </c>
      <c r="D13" s="4"/>
      <c r="E13" s="3">
        <f>SUMIF('Raw Data 07-31-2019'!$A$6:$A$254,'Q3 TB-19'!A13,'Raw Data 07-31-2019'!D$6:D$254)</f>
        <v>0</v>
      </c>
      <c r="F13" s="3"/>
      <c r="G13" s="3">
        <f t="shared" si="0"/>
        <v>0</v>
      </c>
      <c r="H13" s="53" t="s">
        <v>172</v>
      </c>
      <c r="J13" s="19"/>
    </row>
    <row r="14" spans="1:10" x14ac:dyDescent="0.75">
      <c r="A14" s="12">
        <v>1300</v>
      </c>
      <c r="B14" s="13" t="s">
        <v>463</v>
      </c>
      <c r="C14" s="3">
        <f>SUMIF('Raw Data 07-31-2019'!$A$6:$A$254,'Q3 TB-19'!A14,'Raw Data 07-31-2019'!C$6:C$254)</f>
        <v>0</v>
      </c>
      <c r="D14" s="4"/>
      <c r="E14" s="3">
        <f>SUMIF('Raw Data 07-31-2019'!$A$6:$A$254,'Q3 TB-19'!A14,'Raw Data 07-31-2019'!D$6:D$254)</f>
        <v>0</v>
      </c>
      <c r="F14" s="3"/>
      <c r="G14" s="3">
        <f t="shared" si="0"/>
        <v>0</v>
      </c>
      <c r="H14" s="53" t="s">
        <v>174</v>
      </c>
      <c r="J14" s="19"/>
    </row>
    <row r="15" spans="1:10" x14ac:dyDescent="0.75">
      <c r="A15" s="12">
        <v>1310</v>
      </c>
      <c r="B15" s="13" t="s">
        <v>467</v>
      </c>
      <c r="C15" s="3">
        <f>SUMIF('Raw Data 07-31-2019'!$A$6:$A$254,'Q3 TB-19'!A15,'Raw Data 07-31-2019'!C$6:C$254)</f>
        <v>60724.09</v>
      </c>
      <c r="D15" s="4"/>
      <c r="E15" s="3">
        <f>SUMIF('Raw Data 07-31-2019'!$A$6:$A$254,'Q3 TB-19'!A15,'Raw Data 07-31-2019'!D$6:D$254)</f>
        <v>0</v>
      </c>
      <c r="F15" s="3"/>
      <c r="G15" s="3">
        <f t="shared" si="0"/>
        <v>60724.09</v>
      </c>
      <c r="H15" s="53" t="s">
        <v>174</v>
      </c>
      <c r="J15" s="19"/>
    </row>
    <row r="16" spans="1:10" x14ac:dyDescent="0.75">
      <c r="A16" s="12">
        <v>1320</v>
      </c>
      <c r="B16" s="13" t="s">
        <v>466</v>
      </c>
      <c r="C16" s="3">
        <f>SUMIF('Raw Data 07-31-2019'!$A$6:$A$254,'Q3 TB-19'!A16,'Raw Data 07-31-2019'!C$6:C$254)</f>
        <v>2365</v>
      </c>
      <c r="D16" s="4"/>
      <c r="E16" s="3">
        <f>SUMIF('Raw Data 07-31-2019'!$A$6:$A$254,'Q3 TB-19'!A16,'Raw Data 07-31-2019'!D$6:D$254)</f>
        <v>0</v>
      </c>
      <c r="F16" s="3"/>
      <c r="G16" s="3">
        <f t="shared" si="0"/>
        <v>2365</v>
      </c>
      <c r="H16" s="53" t="s">
        <v>174</v>
      </c>
      <c r="J16" s="19"/>
    </row>
    <row r="17" spans="1:10" x14ac:dyDescent="0.75">
      <c r="A17" s="12">
        <v>1330</v>
      </c>
      <c r="B17" s="13" t="s">
        <v>464</v>
      </c>
      <c r="C17" s="3">
        <f>SUMIF('Raw Data 07-31-2019'!$A$6:$A$254,'Q3 TB-19'!A17,'Raw Data 07-31-2019'!C$6:C$254)</f>
        <v>0</v>
      </c>
      <c r="D17" s="4"/>
      <c r="E17" s="3">
        <f>SUMIF('Raw Data 07-31-2019'!$A$6:$A$254,'Q3 TB-19'!A17,'Raw Data 07-31-2019'!D$6:D$254)</f>
        <v>0</v>
      </c>
      <c r="F17" s="3"/>
      <c r="G17" s="3">
        <f t="shared" si="0"/>
        <v>0</v>
      </c>
      <c r="H17" s="53" t="s">
        <v>174</v>
      </c>
      <c r="J17" s="19"/>
    </row>
    <row r="18" spans="1:10" x14ac:dyDescent="0.75">
      <c r="A18" s="12">
        <v>1340</v>
      </c>
      <c r="B18" s="13" t="s">
        <v>465</v>
      </c>
      <c r="C18" s="3">
        <f>SUMIF('Raw Data 07-31-2019'!$A$6:$A$254,'Q3 TB-19'!A18,'Raw Data 07-31-2019'!C$6:C$254)</f>
        <v>4370</v>
      </c>
      <c r="D18" s="4"/>
      <c r="E18" s="3">
        <f>SUMIF('Raw Data 07-31-2019'!$A$6:$A$254,'Q3 TB-19'!A18,'Raw Data 07-31-2019'!D$6:D$254)</f>
        <v>0</v>
      </c>
      <c r="F18" s="3"/>
      <c r="G18" s="3">
        <f t="shared" si="0"/>
        <v>4370</v>
      </c>
      <c r="H18" s="53" t="s">
        <v>174</v>
      </c>
      <c r="J18" s="19"/>
    </row>
    <row r="19" spans="1:10" x14ac:dyDescent="0.75">
      <c r="A19" s="12">
        <v>1410</v>
      </c>
      <c r="B19" s="13" t="s">
        <v>470</v>
      </c>
      <c r="C19" s="3">
        <f>SUMIF('Raw Data 07-31-2019'!$A$6:$A$254,'Q3 TB-19'!A19,'Raw Data 07-31-2019'!C$6:C$254)</f>
        <v>45041.919999999998</v>
      </c>
      <c r="D19" s="4"/>
      <c r="E19" s="3">
        <f>SUMIF('Raw Data 07-31-2019'!$A$6:$A$254,'Q3 TB-19'!A19,'Raw Data 07-31-2019'!D$6:D$254)</f>
        <v>0</v>
      </c>
      <c r="F19" s="3"/>
      <c r="G19" s="3">
        <f t="shared" si="0"/>
        <v>45041.919999999998</v>
      </c>
      <c r="H19" s="53" t="s">
        <v>175</v>
      </c>
      <c r="J19" s="19"/>
    </row>
    <row r="20" spans="1:10" x14ac:dyDescent="0.75">
      <c r="A20" s="12">
        <v>1420</v>
      </c>
      <c r="B20" s="13" t="s">
        <v>471</v>
      </c>
      <c r="C20" s="3">
        <f>SUMIF('Raw Data 07-31-2019'!$A$6:$A$254,'Q3 TB-19'!A20,'Raw Data 07-31-2019'!C$6:C$254)</f>
        <v>0</v>
      </c>
      <c r="D20" s="4"/>
      <c r="E20" s="3">
        <f>SUMIF('Raw Data 07-31-2019'!$A$6:$A$254,'Q3 TB-19'!A20,'Raw Data 07-31-2019'!D$6:D$254)</f>
        <v>0</v>
      </c>
      <c r="F20" s="3"/>
      <c r="G20" s="3">
        <f t="shared" si="0"/>
        <v>0</v>
      </c>
      <c r="H20" s="53" t="s">
        <v>175</v>
      </c>
      <c r="J20" s="19"/>
    </row>
    <row r="21" spans="1:10" x14ac:dyDescent="0.75">
      <c r="A21" s="12">
        <v>1430</v>
      </c>
      <c r="B21" s="13" t="s">
        <v>472</v>
      </c>
      <c r="C21" s="3">
        <f>SUMIF('Raw Data 07-31-2019'!$A$6:$A$254,'Q3 TB-19'!A21,'Raw Data 07-31-2019'!C$6:C$254)</f>
        <v>0</v>
      </c>
      <c r="D21" s="4"/>
      <c r="E21" s="3">
        <f>SUMIF('Raw Data 07-31-2019'!$A$6:$A$254,'Q3 TB-19'!A21,'Raw Data 07-31-2019'!D$6:D$254)</f>
        <v>0</v>
      </c>
      <c r="F21" s="3"/>
      <c r="G21" s="3">
        <f t="shared" si="0"/>
        <v>0</v>
      </c>
      <c r="H21" s="53" t="s">
        <v>175</v>
      </c>
      <c r="J21" s="19"/>
    </row>
    <row r="22" spans="1:10" x14ac:dyDescent="0.75">
      <c r="A22" s="12">
        <v>1710</v>
      </c>
      <c r="B22" s="13" t="s">
        <v>481</v>
      </c>
      <c r="C22" s="3">
        <f>SUMIF('Raw Data 07-31-2019'!$A$6:$A$254,'Q3 TB-19'!A22,'Raw Data 07-31-2019'!C$6:C$254)</f>
        <v>97384.17</v>
      </c>
      <c r="D22" s="4"/>
      <c r="E22" s="3">
        <f>SUMIF('Raw Data 07-31-2019'!$A$6:$A$254,'Q3 TB-19'!A22,'Raw Data 07-31-2019'!D$6:D$254)</f>
        <v>0</v>
      </c>
      <c r="F22" s="3"/>
      <c r="G22" s="3">
        <f t="shared" si="0"/>
        <v>97384.17</v>
      </c>
      <c r="H22" s="53" t="s">
        <v>173</v>
      </c>
      <c r="J22" s="19"/>
    </row>
    <row r="23" spans="1:10" x14ac:dyDescent="0.75">
      <c r="A23" s="12">
        <v>1715</v>
      </c>
      <c r="B23" s="13" t="s">
        <v>483</v>
      </c>
      <c r="C23" s="3">
        <f>SUMIF('Raw Data 07-31-2019'!$A$6:$A$254,'Q3 TB-19'!A23,'Raw Data 07-31-2019'!C$6:C$254)</f>
        <v>0</v>
      </c>
      <c r="D23" s="4"/>
      <c r="E23" s="3">
        <f>SUMIF('Raw Data 07-31-2019'!$A$6:$A$254,'Q3 TB-19'!A23,'Raw Data 07-31-2019'!D$6:D$254)</f>
        <v>0</v>
      </c>
      <c r="F23" s="3"/>
      <c r="G23" s="3">
        <f t="shared" si="0"/>
        <v>0</v>
      </c>
      <c r="H23" s="53" t="s">
        <v>173</v>
      </c>
      <c r="J23" s="19"/>
    </row>
    <row r="24" spans="1:10" x14ac:dyDescent="0.75">
      <c r="A24" s="12">
        <v>1720</v>
      </c>
      <c r="B24" s="13" t="s">
        <v>484</v>
      </c>
      <c r="C24" s="3">
        <f>SUMIF('Raw Data 07-31-2019'!$A$6:$A$254,'Q3 TB-19'!A24,'Raw Data 07-31-2019'!C$6:C$254)</f>
        <v>3937.6</v>
      </c>
      <c r="D24" s="4"/>
      <c r="E24" s="3">
        <f>SUMIF('Raw Data 07-31-2019'!$A$6:$A$254,'Q3 TB-19'!A24,'Raw Data 07-31-2019'!D$6:D$254)</f>
        <v>0</v>
      </c>
      <c r="F24" s="3"/>
      <c r="G24" s="3">
        <f t="shared" si="0"/>
        <v>3937.6</v>
      </c>
      <c r="H24" s="53" t="s">
        <v>173</v>
      </c>
      <c r="J24" s="19"/>
    </row>
    <row r="25" spans="1:10" x14ac:dyDescent="0.75">
      <c r="A25" s="12">
        <v>1725</v>
      </c>
      <c r="B25" s="13" t="s">
        <v>485</v>
      </c>
      <c r="C25" s="3">
        <f>SUMIF('Raw Data 07-31-2019'!$A$6:$A$254,'Q3 TB-19'!A25,'Raw Data 07-31-2019'!C$6:C$254)</f>
        <v>2446.33</v>
      </c>
      <c r="D25" s="4"/>
      <c r="E25" s="3">
        <f>SUMIF('Raw Data 07-31-2019'!$A$6:$A$254,'Q3 TB-19'!A25,'Raw Data 07-31-2019'!D$6:D$254)</f>
        <v>0</v>
      </c>
      <c r="F25" s="3"/>
      <c r="G25" s="3">
        <f t="shared" si="0"/>
        <v>2446.33</v>
      </c>
      <c r="H25" s="53" t="s">
        <v>173</v>
      </c>
      <c r="J25" s="19"/>
    </row>
    <row r="26" spans="1:10" x14ac:dyDescent="0.75">
      <c r="A26" s="12">
        <v>1735</v>
      </c>
      <c r="B26" s="13" t="s">
        <v>487</v>
      </c>
      <c r="C26" s="3">
        <f>SUMIF('Raw Data 07-31-2019'!$A$6:$A$254,'Q3 TB-19'!A26,'Raw Data 07-31-2019'!C$6:C$254)</f>
        <v>4977.6499999999996</v>
      </c>
      <c r="D26" s="4"/>
      <c r="E26" s="3">
        <f>SUMIF('Raw Data 07-31-2019'!$A$6:$A$254,'Q3 TB-19'!A26,'Raw Data 07-31-2019'!D$6:D$254)</f>
        <v>0</v>
      </c>
      <c r="F26" s="3"/>
      <c r="G26" s="3">
        <f t="shared" si="0"/>
        <v>4977.6499999999996</v>
      </c>
      <c r="H26" s="53" t="s">
        <v>173</v>
      </c>
      <c r="J26" s="19"/>
    </row>
    <row r="27" spans="1:10" x14ac:dyDescent="0.75">
      <c r="A27" s="12">
        <v>1740</v>
      </c>
      <c r="B27" s="13" t="s">
        <v>488</v>
      </c>
      <c r="C27" s="3">
        <f>SUMIF('Raw Data 07-31-2019'!$A$6:$A$254,'Q3 TB-19'!A27,'Raw Data 07-31-2019'!C$6:C$254)</f>
        <v>0</v>
      </c>
      <c r="D27" s="4"/>
      <c r="E27" s="3">
        <f>SUMIF('Raw Data 07-31-2019'!$A$6:$A$254,'Q3 TB-19'!A27,'Raw Data 07-31-2019'!D$6:D$254)</f>
        <v>0</v>
      </c>
      <c r="F27" s="3"/>
      <c r="G27" s="3">
        <f t="shared" si="0"/>
        <v>0</v>
      </c>
      <c r="H27" s="53" t="s">
        <v>173</v>
      </c>
      <c r="J27" s="19"/>
    </row>
    <row r="28" spans="1:10" x14ac:dyDescent="0.75">
      <c r="A28" s="12">
        <v>1745</v>
      </c>
      <c r="B28" s="13" t="s">
        <v>489</v>
      </c>
      <c r="C28" s="3">
        <f>SUMIF('Raw Data 07-31-2019'!$A$6:$A$254,'Q3 TB-19'!A28,'Raw Data 07-31-2019'!C$6:C$254)</f>
        <v>196319.01</v>
      </c>
      <c r="D28" s="4"/>
      <c r="E28" s="3">
        <f>SUMIF('Raw Data 07-31-2019'!$A$6:$A$254,'Q3 TB-19'!A28,'Raw Data 07-31-2019'!D$6:D$254)</f>
        <v>0</v>
      </c>
      <c r="F28" s="3"/>
      <c r="G28" s="3">
        <f t="shared" si="0"/>
        <v>196319.01</v>
      </c>
      <c r="H28" s="53" t="s">
        <v>173</v>
      </c>
      <c r="J28" s="19"/>
    </row>
    <row r="29" spans="1:10" x14ac:dyDescent="0.75">
      <c r="A29" s="12">
        <v>1750</v>
      </c>
      <c r="B29" s="13" t="s">
        <v>490</v>
      </c>
      <c r="C29" s="3">
        <f>SUMIF('Raw Data 07-31-2019'!$A$6:$A$254,'Q3 TB-19'!A29,'Raw Data 07-31-2019'!C$6:C$254)</f>
        <v>10394.01</v>
      </c>
      <c r="D29" s="4"/>
      <c r="E29" s="3">
        <f>SUMIF('Raw Data 07-31-2019'!$A$6:$A$254,'Q3 TB-19'!A29,'Raw Data 07-31-2019'!D$6:D$254)</f>
        <v>0</v>
      </c>
      <c r="F29" s="3"/>
      <c r="G29" s="3">
        <f t="shared" si="0"/>
        <v>10394.01</v>
      </c>
      <c r="H29" s="53" t="s">
        <v>173</v>
      </c>
      <c r="J29" s="19"/>
    </row>
    <row r="30" spans="1:10" x14ac:dyDescent="0.75">
      <c r="A30" s="12">
        <v>1755</v>
      </c>
      <c r="B30" s="13" t="s">
        <v>491</v>
      </c>
      <c r="C30" s="3">
        <f>SUMIF('Raw Data 07-31-2019'!$A$6:$A$254,'Q3 TB-19'!A30,'Raw Data 07-31-2019'!C$6:C$254)</f>
        <v>787.91</v>
      </c>
      <c r="D30" s="4"/>
      <c r="E30" s="3">
        <f>SUMIF('Raw Data 07-31-2019'!$A$6:$A$254,'Q3 TB-19'!A30,'Raw Data 07-31-2019'!D$6:D$254)</f>
        <v>0</v>
      </c>
      <c r="F30" s="3"/>
      <c r="G30" s="3">
        <f t="shared" si="0"/>
        <v>787.91</v>
      </c>
      <c r="H30" s="53" t="s">
        <v>173</v>
      </c>
      <c r="J30" s="19"/>
    </row>
    <row r="31" spans="1:10" x14ac:dyDescent="0.75">
      <c r="A31" s="12">
        <v>1760</v>
      </c>
      <c r="B31" s="13" t="s">
        <v>492</v>
      </c>
      <c r="C31" s="3">
        <f>SUMIF('Raw Data 07-31-2019'!$A$6:$A$254,'Q3 TB-19'!A31,'Raw Data 07-31-2019'!C$6:C$254)</f>
        <v>20105.95</v>
      </c>
      <c r="D31" s="4"/>
      <c r="E31" s="3">
        <f>SUMIF('Raw Data 07-31-2019'!$A$6:$A$254,'Q3 TB-19'!A31,'Raw Data 07-31-2019'!D$6:D$254)</f>
        <v>0</v>
      </c>
      <c r="F31" s="3"/>
      <c r="G31" s="3">
        <f t="shared" si="0"/>
        <v>20105.95</v>
      </c>
      <c r="H31" s="53" t="s">
        <v>173</v>
      </c>
      <c r="J31" s="19"/>
    </row>
    <row r="32" spans="1:10" x14ac:dyDescent="0.75">
      <c r="A32" s="12">
        <v>1765</v>
      </c>
      <c r="B32" s="13" t="s">
        <v>493</v>
      </c>
      <c r="C32" s="3">
        <f>SUMIF('Raw Data 07-31-2019'!$A$6:$A$254,'Q3 TB-19'!A32,'Raw Data 07-31-2019'!C$6:C$254)</f>
        <v>1015.31</v>
      </c>
      <c r="D32" s="4"/>
      <c r="E32" s="3">
        <f>SUMIF('Raw Data 07-31-2019'!$A$6:$A$254,'Q3 TB-19'!A32,'Raw Data 07-31-2019'!D$6:D$254)</f>
        <v>0</v>
      </c>
      <c r="F32" s="3"/>
      <c r="G32" s="3">
        <f t="shared" si="0"/>
        <v>1015.31</v>
      </c>
      <c r="H32" s="53" t="s">
        <v>173</v>
      </c>
      <c r="J32" s="19"/>
    </row>
    <row r="33" spans="1:10" x14ac:dyDescent="0.75">
      <c r="A33" s="12">
        <v>1781</v>
      </c>
      <c r="B33" s="13" t="s">
        <v>482</v>
      </c>
      <c r="C33" s="3">
        <f>SUMIF('Raw Data 07-31-2019'!$A$6:$A$254,'Q3 TB-19'!A33,'Raw Data 07-31-2019'!C$6:C$254)</f>
        <v>0</v>
      </c>
      <c r="D33" s="4"/>
      <c r="E33" s="3">
        <f>SUMIF('Raw Data 07-31-2019'!$A$6:$A$254,'Q3 TB-19'!A33,'Raw Data 07-31-2019'!D$6:D$254)</f>
        <v>38155.72</v>
      </c>
      <c r="F33" s="3"/>
      <c r="G33" s="3">
        <f t="shared" si="0"/>
        <v>-38155.72</v>
      </c>
      <c r="H33" s="53" t="s">
        <v>173</v>
      </c>
      <c r="J33" s="19"/>
    </row>
    <row r="34" spans="1:10" x14ac:dyDescent="0.75">
      <c r="A34" s="12">
        <v>1782</v>
      </c>
      <c r="B34" s="13" t="s">
        <v>473</v>
      </c>
      <c r="C34" s="3">
        <f>SUMIF('Raw Data 07-31-2019'!$A$6:$A$254,'Q3 TB-19'!A34,'Raw Data 07-31-2019'!C$6:C$254)</f>
        <v>0</v>
      </c>
      <c r="D34" s="4"/>
      <c r="E34" s="3">
        <f>SUMIF('Raw Data 07-31-2019'!$A$6:$A$254,'Q3 TB-19'!A34,'Raw Data 07-31-2019'!D$6:D$254)</f>
        <v>0</v>
      </c>
      <c r="F34" s="3"/>
      <c r="G34" s="3">
        <f t="shared" si="0"/>
        <v>0</v>
      </c>
      <c r="H34" s="53" t="s">
        <v>173</v>
      </c>
      <c r="J34" s="19"/>
    </row>
    <row r="35" spans="1:10" x14ac:dyDescent="0.75">
      <c r="A35" s="12">
        <v>1783</v>
      </c>
      <c r="B35" s="13" t="s">
        <v>474</v>
      </c>
      <c r="C35" s="3">
        <f>SUMIF('Raw Data 07-31-2019'!$A$6:$A$254,'Q3 TB-19'!A35,'Raw Data 07-31-2019'!C$6:C$254)</f>
        <v>0</v>
      </c>
      <c r="D35" s="4"/>
      <c r="E35" s="3">
        <f>SUMIF('Raw Data 07-31-2019'!$A$6:$A$254,'Q3 TB-19'!A35,'Raw Data 07-31-2019'!D$6:D$254)</f>
        <v>656.26</v>
      </c>
      <c r="F35" s="3"/>
      <c r="G35" s="3">
        <f t="shared" si="0"/>
        <v>-656.26</v>
      </c>
      <c r="H35" s="53" t="s">
        <v>173</v>
      </c>
      <c r="J35" s="19"/>
    </row>
    <row r="36" spans="1:10" x14ac:dyDescent="0.75">
      <c r="A36" s="12">
        <v>1784</v>
      </c>
      <c r="B36" s="13" t="s">
        <v>486</v>
      </c>
      <c r="C36" s="3">
        <f>SUMIF('Raw Data 07-31-2019'!$A$6:$A$254,'Q3 TB-19'!A36,'Raw Data 07-31-2019'!C$6:C$254)</f>
        <v>0</v>
      </c>
      <c r="D36" s="4"/>
      <c r="E36" s="3">
        <f>SUMIF('Raw Data 07-31-2019'!$A$6:$A$254,'Q3 TB-19'!A36,'Raw Data 07-31-2019'!D$6:D$254)</f>
        <v>314.45999999999998</v>
      </c>
      <c r="F36" s="3"/>
      <c r="G36" s="3">
        <f t="shared" si="0"/>
        <v>-314.45999999999998</v>
      </c>
      <c r="H36" s="53" t="s">
        <v>173</v>
      </c>
      <c r="J36" s="19"/>
    </row>
    <row r="37" spans="1:10" x14ac:dyDescent="0.75">
      <c r="A37" s="12">
        <v>1785</v>
      </c>
      <c r="B37" s="13" t="s">
        <v>476</v>
      </c>
      <c r="C37" s="3">
        <f>SUMIF('Raw Data 07-31-2019'!$A$6:$A$254,'Q3 TB-19'!A37,'Raw Data 07-31-2019'!C$6:C$254)</f>
        <v>0</v>
      </c>
      <c r="D37" s="4"/>
      <c r="E37" s="3">
        <f>SUMIF('Raw Data 07-31-2019'!$A$6:$A$254,'Q3 TB-19'!A37,'Raw Data 07-31-2019'!D$6:D$254)</f>
        <v>3936.01</v>
      </c>
      <c r="F37" s="3"/>
      <c r="G37" s="3">
        <f t="shared" si="0"/>
        <v>-3936.01</v>
      </c>
      <c r="H37" s="53" t="s">
        <v>173</v>
      </c>
      <c r="J37" s="19"/>
    </row>
    <row r="38" spans="1:10" x14ac:dyDescent="0.75">
      <c r="A38" s="12">
        <v>1786</v>
      </c>
      <c r="B38" s="13" t="s">
        <v>475</v>
      </c>
      <c r="C38" s="3">
        <f>SUMIF('Raw Data 07-31-2019'!$A$6:$A$254,'Q3 TB-19'!A38,'Raw Data 07-31-2019'!C$6:C$254)</f>
        <v>0</v>
      </c>
      <c r="D38" s="4"/>
      <c r="E38" s="3">
        <f>SUMIF('Raw Data 07-31-2019'!$A$6:$A$254,'Q3 TB-19'!A38,'Raw Data 07-31-2019'!D$6:D$254)</f>
        <v>0</v>
      </c>
      <c r="F38" s="3"/>
      <c r="G38" s="3">
        <f t="shared" si="0"/>
        <v>0</v>
      </c>
      <c r="H38" s="53" t="s">
        <v>173</v>
      </c>
      <c r="J38" s="19"/>
    </row>
    <row r="39" spans="1:10" x14ac:dyDescent="0.75">
      <c r="A39" s="12">
        <v>1787</v>
      </c>
      <c r="B39" s="13" t="s">
        <v>477</v>
      </c>
      <c r="C39" s="3">
        <f>SUMIF('Raw Data 07-31-2019'!$A$6:$A$254,'Q3 TB-19'!A39,'Raw Data 07-31-2019'!C$6:C$254)</f>
        <v>0</v>
      </c>
      <c r="D39" s="4"/>
      <c r="E39" s="3">
        <f>SUMIF('Raw Data 07-31-2019'!$A$6:$A$254,'Q3 TB-19'!A39,'Raw Data 07-31-2019'!D$6:D$254)</f>
        <v>162932.71</v>
      </c>
      <c r="F39" s="3"/>
      <c r="G39" s="3">
        <f t="shared" si="0"/>
        <v>-162932.71</v>
      </c>
      <c r="H39" s="53" t="s">
        <v>173</v>
      </c>
      <c r="J39" s="19"/>
    </row>
    <row r="40" spans="1:10" s="53" customFormat="1" x14ac:dyDescent="0.75">
      <c r="A40" s="12" t="s">
        <v>863</v>
      </c>
      <c r="B40" s="13" t="s">
        <v>864</v>
      </c>
      <c r="C40" s="3">
        <f>SUMIF('Raw Data 07-31-2019'!$A$6:$A$254,'Q3 TB-19'!A40,'Raw Data 07-31-2019'!C$6:C$254)</f>
        <v>0</v>
      </c>
      <c r="D40" s="4"/>
      <c r="E40" s="3">
        <f>SUMIF('Raw Data 07-31-2019'!$A$6:$A$254,'Q3 TB-19'!A40,'Raw Data 07-31-2019'!D$6:D$254)</f>
        <v>10394.01</v>
      </c>
      <c r="F40" s="3"/>
      <c r="G40" s="3">
        <f t="shared" ref="G40" si="1">C40-E40</f>
        <v>-10394.01</v>
      </c>
      <c r="H40" s="53" t="s">
        <v>173</v>
      </c>
      <c r="J40" s="19"/>
    </row>
    <row r="41" spans="1:10" x14ac:dyDescent="0.75">
      <c r="A41" s="12">
        <v>1789</v>
      </c>
      <c r="B41" s="13" t="s">
        <v>478</v>
      </c>
      <c r="C41" s="3">
        <f>SUMIF('Raw Data 07-31-2019'!$A$6:$A$254,'Q3 TB-19'!A41,'Raw Data 07-31-2019'!C$6:C$254)</f>
        <v>0</v>
      </c>
      <c r="D41" s="4"/>
      <c r="E41" s="3">
        <f>SUMIF('Raw Data 07-31-2019'!$A$6:$A$254,'Q3 TB-19'!A41,'Raw Data 07-31-2019'!D$6:D$254)</f>
        <v>787.91</v>
      </c>
      <c r="F41" s="3"/>
      <c r="G41" s="3">
        <f t="shared" si="0"/>
        <v>-787.91</v>
      </c>
      <c r="H41" s="53" t="s">
        <v>173</v>
      </c>
      <c r="J41" s="19"/>
    </row>
    <row r="42" spans="1:10" x14ac:dyDescent="0.75">
      <c r="A42" s="12">
        <v>1790</v>
      </c>
      <c r="B42" s="13" t="s">
        <v>479</v>
      </c>
      <c r="C42" s="3">
        <f>SUMIF('Raw Data 07-31-2019'!$A$6:$A$254,'Q3 TB-19'!A42,'Raw Data 07-31-2019'!C$6:C$254)</f>
        <v>0</v>
      </c>
      <c r="D42" s="4"/>
      <c r="E42" s="3">
        <f>SUMIF('Raw Data 07-31-2019'!$A$6:$A$254,'Q3 TB-19'!A42,'Raw Data 07-31-2019'!D$6:D$254)</f>
        <v>1015.31</v>
      </c>
      <c r="F42" s="3"/>
      <c r="G42" s="3">
        <f t="shared" si="0"/>
        <v>-1015.31</v>
      </c>
      <c r="H42" s="53" t="s">
        <v>173</v>
      </c>
      <c r="J42" s="19"/>
    </row>
    <row r="43" spans="1:10" x14ac:dyDescent="0.75">
      <c r="A43" s="12">
        <v>1791</v>
      </c>
      <c r="B43" s="13" t="s">
        <v>480</v>
      </c>
      <c r="C43" s="3">
        <f>SUMIF('Raw Data 07-31-2019'!$A$6:$A$254,'Q3 TB-19'!A43,'Raw Data 07-31-2019'!C$6:C$254)</f>
        <v>0</v>
      </c>
      <c r="D43" s="4"/>
      <c r="E43" s="3">
        <f>SUMIF('Raw Data 07-31-2019'!$A$6:$A$254,'Q3 TB-19'!A43,'Raw Data 07-31-2019'!D$6:D$254)</f>
        <v>19634.759999999998</v>
      </c>
      <c r="F43" s="3"/>
      <c r="G43" s="3">
        <f t="shared" si="0"/>
        <v>-19634.759999999998</v>
      </c>
      <c r="H43" s="53" t="s">
        <v>173</v>
      </c>
      <c r="J43" s="19"/>
    </row>
    <row r="44" spans="1:10" s="85" customFormat="1" x14ac:dyDescent="0.75">
      <c r="A44" s="12" t="s">
        <v>67</v>
      </c>
      <c r="B44" s="13" t="s">
        <v>921</v>
      </c>
      <c r="C44" s="3">
        <f>SUMIF('Raw Data 07-31-2019'!$A$6:$A$254,'Q3 TB-19'!A44,'Raw Data 07-31-2019'!C$6:C$254)</f>
        <v>68003</v>
      </c>
      <c r="D44" s="4"/>
      <c r="E44" s="3">
        <f>SUMIF('Raw Data 07-31-2019'!$A$6:$A$254,'Q3 TB-19'!A44,'Raw Data 07-31-2019'!D$6:D$254)</f>
        <v>0</v>
      </c>
      <c r="F44" s="3"/>
      <c r="G44" s="3">
        <f t="shared" ref="G44" si="2">C44-E44</f>
        <v>68003</v>
      </c>
      <c r="H44" s="85" t="s">
        <v>922</v>
      </c>
      <c r="J44" s="19"/>
    </row>
    <row r="45" spans="1:10" x14ac:dyDescent="0.75">
      <c r="A45" s="12">
        <v>1820</v>
      </c>
      <c r="B45" s="13" t="s">
        <v>495</v>
      </c>
      <c r="C45" s="3">
        <f>SUMIF('Raw Data 07-31-2019'!$A$6:$A$254,'Q3 TB-19'!A45,'Raw Data 07-31-2019'!C$6:C$254)</f>
        <v>0</v>
      </c>
      <c r="D45" s="4"/>
      <c r="E45" s="3">
        <f>SUMIF('Raw Data 07-31-2019'!$A$6:$A$254,'Q3 TB-19'!A45,'Raw Data 07-31-2019'!D$6:D$254)</f>
        <v>0</v>
      </c>
      <c r="F45" s="3"/>
      <c r="G45" s="3">
        <f t="shared" si="0"/>
        <v>0</v>
      </c>
      <c r="H45" s="53" t="s">
        <v>444</v>
      </c>
      <c r="J45" s="19"/>
    </row>
    <row r="46" spans="1:10" x14ac:dyDescent="0.75">
      <c r="A46" s="12">
        <v>1830</v>
      </c>
      <c r="B46" s="13" t="s">
        <v>496</v>
      </c>
      <c r="C46" s="3">
        <f>SUMIF('Raw Data 07-31-2019'!$A$6:$A$254,'Q3 TB-19'!A46,'Raw Data 07-31-2019'!C$6:C$254)</f>
        <v>0</v>
      </c>
      <c r="D46" s="4"/>
      <c r="E46" s="3">
        <f>SUMIF('Raw Data 07-31-2019'!$A$6:$A$254,'Q3 TB-19'!A46,'Raw Data 07-31-2019'!D$6:D$254)</f>
        <v>0</v>
      </c>
      <c r="F46" s="3"/>
      <c r="G46" s="3">
        <f t="shared" si="0"/>
        <v>0</v>
      </c>
      <c r="H46" s="53" t="s">
        <v>444</v>
      </c>
      <c r="J46" s="19"/>
    </row>
    <row r="47" spans="1:10" x14ac:dyDescent="0.75">
      <c r="A47" s="12">
        <v>1840</v>
      </c>
      <c r="B47" s="13" t="s">
        <v>497</v>
      </c>
      <c r="C47" s="3">
        <f>SUMIF('Raw Data 07-31-2019'!$A$6:$A$254,'Q3 TB-19'!A47,'Raw Data 07-31-2019'!C$6:C$254)</f>
        <v>0</v>
      </c>
      <c r="D47" s="4"/>
      <c r="E47" s="3">
        <f>SUMIF('Raw Data 07-31-2019'!$A$6:$A$254,'Q3 TB-19'!A47,'Raw Data 07-31-2019'!D$6:D$254)</f>
        <v>0</v>
      </c>
      <c r="F47" s="3"/>
      <c r="G47" s="3">
        <f t="shared" si="0"/>
        <v>0</v>
      </c>
      <c r="H47" s="53" t="s">
        <v>444</v>
      </c>
      <c r="J47" s="19"/>
    </row>
    <row r="48" spans="1:10" x14ac:dyDescent="0.75">
      <c r="A48" s="12">
        <v>1900</v>
      </c>
      <c r="B48" s="13" t="s">
        <v>498</v>
      </c>
      <c r="C48" s="3">
        <f>SUMIF('Raw Data 07-31-2019'!$A$6:$A$254,'Q3 TB-19'!A48,'Raw Data 07-31-2019'!C$6:C$254)</f>
        <v>5980</v>
      </c>
      <c r="D48" s="4"/>
      <c r="E48" s="3">
        <f>SUMIF('Raw Data 07-31-2019'!$A$6:$A$254,'Q3 TB-19'!A48,'Raw Data 07-31-2019'!D$6:D$254)</f>
        <v>0</v>
      </c>
      <c r="F48" s="3"/>
      <c r="G48" s="3">
        <f t="shared" si="0"/>
        <v>5980</v>
      </c>
      <c r="H48" s="53" t="s">
        <v>176</v>
      </c>
      <c r="J48" s="19"/>
    </row>
    <row r="49" spans="1:10" x14ac:dyDescent="0.75">
      <c r="A49" s="12">
        <v>1902</v>
      </c>
      <c r="B49" s="13" t="s">
        <v>499</v>
      </c>
      <c r="C49" s="3">
        <f>SUMIF('Raw Data 07-31-2019'!$A$6:$A$254,'Q3 TB-19'!A49,'Raw Data 07-31-2019'!C$6:C$254)</f>
        <v>3245</v>
      </c>
      <c r="D49" s="4"/>
      <c r="E49" s="3">
        <f>SUMIF('Raw Data 07-31-2019'!$A$6:$A$254,'Q3 TB-19'!A49,'Raw Data 07-31-2019'!D$6:D$254)</f>
        <v>0</v>
      </c>
      <c r="F49" s="3"/>
      <c r="G49" s="3">
        <f t="shared" si="0"/>
        <v>3245</v>
      </c>
      <c r="H49" s="53" t="s">
        <v>176</v>
      </c>
      <c r="J49" s="19"/>
    </row>
    <row r="50" spans="1:10" x14ac:dyDescent="0.75">
      <c r="A50" s="12">
        <v>1904</v>
      </c>
      <c r="B50" s="13" t="s">
        <v>500</v>
      </c>
      <c r="C50" s="3">
        <f>SUMIF('Raw Data 07-31-2019'!$A$6:$A$254,'Q3 TB-19'!A50,'Raw Data 07-31-2019'!C$6:C$254)</f>
        <v>0</v>
      </c>
      <c r="D50" s="4"/>
      <c r="E50" s="3">
        <f>SUMIF('Raw Data 07-31-2019'!$A$6:$A$254,'Q3 TB-19'!A50,'Raw Data 07-31-2019'!D$6:D$254)</f>
        <v>0</v>
      </c>
      <c r="F50" s="3"/>
      <c r="G50" s="3">
        <f t="shared" si="0"/>
        <v>0</v>
      </c>
      <c r="H50" s="53" t="s">
        <v>176</v>
      </c>
      <c r="J50" s="19"/>
    </row>
    <row r="51" spans="1:10" x14ac:dyDescent="0.75">
      <c r="A51" s="12">
        <v>1906</v>
      </c>
      <c r="B51" s="13" t="s">
        <v>501</v>
      </c>
      <c r="C51" s="3">
        <f>SUMIF('Raw Data 07-31-2019'!$A$6:$A$254,'Q3 TB-19'!A51,'Raw Data 07-31-2019'!C$6:C$254)</f>
        <v>0</v>
      </c>
      <c r="D51" s="4"/>
      <c r="E51" s="3">
        <f>SUMIF('Raw Data 07-31-2019'!$A$6:$A$254,'Q3 TB-19'!A51,'Raw Data 07-31-2019'!D$6:D$254)</f>
        <v>0</v>
      </c>
      <c r="F51" s="3"/>
      <c r="G51" s="3">
        <f t="shared" si="0"/>
        <v>0</v>
      </c>
      <c r="H51" s="53" t="s">
        <v>176</v>
      </c>
      <c r="J51" s="19"/>
    </row>
    <row r="52" spans="1:10" x14ac:dyDescent="0.75">
      <c r="A52" s="12">
        <v>1908</v>
      </c>
      <c r="B52" s="13" t="s">
        <v>502</v>
      </c>
      <c r="C52" s="3">
        <f>SUMIF('Raw Data 07-31-2019'!$A$6:$A$254,'Q3 TB-19'!A52,'Raw Data 07-31-2019'!C$6:C$254)</f>
        <v>0</v>
      </c>
      <c r="D52" s="4"/>
      <c r="E52" s="3">
        <f>SUMIF('Raw Data 07-31-2019'!$A$6:$A$254,'Q3 TB-19'!A52,'Raw Data 07-31-2019'!D$6:D$254)</f>
        <v>0</v>
      </c>
      <c r="F52" s="3"/>
      <c r="G52" s="3">
        <f t="shared" si="0"/>
        <v>0</v>
      </c>
      <c r="H52" s="53" t="s">
        <v>176</v>
      </c>
      <c r="J52" s="19"/>
    </row>
    <row r="53" spans="1:10" x14ac:dyDescent="0.75">
      <c r="A53" s="12">
        <v>1910</v>
      </c>
      <c r="B53" s="13" t="s">
        <v>503</v>
      </c>
      <c r="C53" s="3">
        <f>SUMIF('Raw Data 07-31-2019'!$A$6:$A$254,'Q3 TB-19'!A53,'Raw Data 07-31-2019'!C$6:C$254)</f>
        <v>2500</v>
      </c>
      <c r="D53" s="4"/>
      <c r="E53" s="3">
        <f>SUMIF('Raw Data 07-31-2019'!$A$6:$A$254,'Q3 TB-19'!A53,'Raw Data 07-31-2019'!D$6:D$254)</f>
        <v>0</v>
      </c>
      <c r="F53" s="3"/>
      <c r="G53" s="3">
        <f t="shared" si="0"/>
        <v>2500</v>
      </c>
      <c r="H53" s="53" t="s">
        <v>176</v>
      </c>
      <c r="J53" s="19"/>
    </row>
    <row r="54" spans="1:10" x14ac:dyDescent="0.75">
      <c r="A54" s="12">
        <v>1912</v>
      </c>
      <c r="B54" s="13" t="s">
        <v>504</v>
      </c>
      <c r="C54" s="3">
        <f>SUMIF('Raw Data 07-31-2019'!$A$6:$A$254,'Q3 TB-19'!A54,'Raw Data 07-31-2019'!C$6:C$254)</f>
        <v>0</v>
      </c>
      <c r="D54" s="4"/>
      <c r="E54" s="3">
        <f>SUMIF('Raw Data 07-31-2019'!$A$6:$A$254,'Q3 TB-19'!A54,'Raw Data 07-31-2019'!D$6:D$254)</f>
        <v>0</v>
      </c>
      <c r="F54" s="3"/>
      <c r="G54" s="3">
        <f t="shared" si="0"/>
        <v>0</v>
      </c>
      <c r="H54" s="53" t="s">
        <v>176</v>
      </c>
      <c r="J54" s="19"/>
    </row>
    <row r="55" spans="1:10" x14ac:dyDescent="0.75">
      <c r="A55" s="12">
        <v>1914</v>
      </c>
      <c r="B55" s="13" t="s">
        <v>505</v>
      </c>
      <c r="C55" s="3">
        <f>SUMIF('Raw Data 07-31-2019'!$A$6:$A$254,'Q3 TB-19'!A55,'Raw Data 07-31-2019'!C$6:C$254)</f>
        <v>0</v>
      </c>
      <c r="D55" s="4"/>
      <c r="E55" s="3">
        <f>SUMIF('Raw Data 07-31-2019'!$A$6:$A$254,'Q3 TB-19'!A55,'Raw Data 07-31-2019'!D$6:D$254)</f>
        <v>0</v>
      </c>
      <c r="F55" s="3"/>
      <c r="G55" s="3">
        <f t="shared" si="0"/>
        <v>0</v>
      </c>
      <c r="H55" s="53" t="s">
        <v>176</v>
      </c>
      <c r="J55" s="19"/>
    </row>
    <row r="56" spans="1:10" x14ac:dyDescent="0.75">
      <c r="A56" s="12">
        <v>1916</v>
      </c>
      <c r="B56" s="13" t="s">
        <v>506</v>
      </c>
      <c r="C56" s="3">
        <f>SUMIF('Raw Data 07-31-2019'!$A$6:$A$254,'Q3 TB-19'!A56,'Raw Data 07-31-2019'!C$6:C$254)</f>
        <v>0</v>
      </c>
      <c r="D56" s="4"/>
      <c r="E56" s="3">
        <f>SUMIF('Raw Data 07-31-2019'!$A$6:$A$254,'Q3 TB-19'!A56,'Raw Data 07-31-2019'!D$6:D$254)</f>
        <v>0</v>
      </c>
      <c r="F56" s="3"/>
      <c r="G56" s="3">
        <f t="shared" si="0"/>
        <v>0</v>
      </c>
      <c r="H56" s="53" t="s">
        <v>176</v>
      </c>
      <c r="J56" s="19"/>
    </row>
    <row r="57" spans="1:10" x14ac:dyDescent="0.75">
      <c r="A57" s="12">
        <v>1918</v>
      </c>
      <c r="B57" s="13" t="s">
        <v>507</v>
      </c>
      <c r="C57" s="3">
        <f>SUMIF('Raw Data 07-31-2019'!$A$6:$A$254,'Q3 TB-19'!A57,'Raw Data 07-31-2019'!C$6:C$254)</f>
        <v>0</v>
      </c>
      <c r="D57" s="4"/>
      <c r="E57" s="3">
        <f>SUMIF('Raw Data 07-31-2019'!$A$6:$A$254,'Q3 TB-19'!A57,'Raw Data 07-31-2019'!D$6:D$254)</f>
        <v>0</v>
      </c>
      <c r="F57" s="3"/>
      <c r="G57" s="3">
        <f t="shared" si="0"/>
        <v>0</v>
      </c>
      <c r="H57" s="53" t="s">
        <v>176</v>
      </c>
      <c r="J57" s="19"/>
    </row>
    <row r="58" spans="1:10" x14ac:dyDescent="0.75">
      <c r="A58" s="12">
        <v>1920</v>
      </c>
      <c r="B58" s="13" t="s">
        <v>508</v>
      </c>
      <c r="C58" s="3">
        <f>SUMIF('Raw Data 07-31-2019'!$A$6:$A$254,'Q3 TB-19'!A58,'Raw Data 07-31-2019'!C$6:C$254)</f>
        <v>0</v>
      </c>
      <c r="D58" s="4"/>
      <c r="E58" s="3">
        <f>SUMIF('Raw Data 07-31-2019'!$A$6:$A$254,'Q3 TB-19'!A58,'Raw Data 07-31-2019'!D$6:D$254)</f>
        <v>0</v>
      </c>
      <c r="F58" s="3"/>
      <c r="G58" s="3">
        <f t="shared" si="0"/>
        <v>0</v>
      </c>
      <c r="H58" s="53" t="s">
        <v>176</v>
      </c>
      <c r="J58" s="19"/>
    </row>
    <row r="59" spans="1:10" x14ac:dyDescent="0.75">
      <c r="A59" s="12">
        <v>1922</v>
      </c>
      <c r="B59" s="13" t="s">
        <v>509</v>
      </c>
      <c r="C59" s="3">
        <f>SUMIF('Raw Data 07-31-2019'!$A$6:$A$254,'Q3 TB-19'!A59,'Raw Data 07-31-2019'!C$6:C$254)</f>
        <v>0</v>
      </c>
      <c r="D59" s="4"/>
      <c r="E59" s="3">
        <f>SUMIF('Raw Data 07-31-2019'!$A$6:$A$254,'Q3 TB-19'!A59,'Raw Data 07-31-2019'!D$6:D$254)</f>
        <v>0</v>
      </c>
      <c r="F59" s="3"/>
      <c r="G59" s="3">
        <f t="shared" si="0"/>
        <v>0</v>
      </c>
      <c r="H59" s="53" t="s">
        <v>176</v>
      </c>
      <c r="J59" s="19"/>
    </row>
    <row r="60" spans="1:10" x14ac:dyDescent="0.75">
      <c r="A60" s="12">
        <v>1924</v>
      </c>
      <c r="B60" s="13" t="s">
        <v>510</v>
      </c>
      <c r="C60" s="3">
        <f>SUMIF('Raw Data 07-31-2019'!$A$6:$A$254,'Q3 TB-19'!A60,'Raw Data 07-31-2019'!C$6:C$254)</f>
        <v>16253.59</v>
      </c>
      <c r="D60" s="4"/>
      <c r="E60" s="3">
        <f>SUMIF('Raw Data 07-31-2019'!$A$6:$A$254,'Q3 TB-19'!A60,'Raw Data 07-31-2019'!D$6:D$254)</f>
        <v>0</v>
      </c>
      <c r="F60" s="3"/>
      <c r="G60" s="3">
        <f t="shared" si="0"/>
        <v>16253.59</v>
      </c>
      <c r="H60" s="53" t="s">
        <v>176</v>
      </c>
      <c r="J60" s="19"/>
    </row>
    <row r="61" spans="1:10" x14ac:dyDescent="0.75">
      <c r="A61" s="12">
        <v>1926</v>
      </c>
      <c r="B61" s="13" t="s">
        <v>511</v>
      </c>
      <c r="C61" s="3">
        <f>SUMIF('Raw Data 07-31-2019'!$A$6:$A$254,'Q3 TB-19'!A61,'Raw Data 07-31-2019'!C$6:C$254)</f>
        <v>0</v>
      </c>
      <c r="D61" s="4"/>
      <c r="E61" s="3">
        <f>SUMIF('Raw Data 07-31-2019'!$A$6:$A$254,'Q3 TB-19'!A61,'Raw Data 07-31-2019'!D$6:D$254)</f>
        <v>0</v>
      </c>
      <c r="F61" s="3"/>
      <c r="G61" s="3">
        <f t="shared" si="0"/>
        <v>0</v>
      </c>
      <c r="H61" s="53" t="s">
        <v>176</v>
      </c>
      <c r="J61" s="19"/>
    </row>
    <row r="62" spans="1:10" x14ac:dyDescent="0.75">
      <c r="A62" s="12">
        <v>1928</v>
      </c>
      <c r="B62" s="13" t="s">
        <v>512</v>
      </c>
      <c r="C62" s="3">
        <f>SUMIF('Raw Data 07-31-2019'!$A$6:$A$254,'Q3 TB-19'!A62,'Raw Data 07-31-2019'!C$6:C$254)</f>
        <v>43132.88</v>
      </c>
      <c r="D62" s="4"/>
      <c r="E62" s="3">
        <f>SUMIF('Raw Data 07-31-2019'!$A$6:$A$254,'Q3 TB-19'!A62,'Raw Data 07-31-2019'!D$6:D$254)</f>
        <v>0</v>
      </c>
      <c r="F62" s="3"/>
      <c r="G62" s="3">
        <f t="shared" si="0"/>
        <v>43132.88</v>
      </c>
      <c r="H62" s="53" t="s">
        <v>176</v>
      </c>
      <c r="J62" s="19"/>
    </row>
    <row r="63" spans="1:10" x14ac:dyDescent="0.75">
      <c r="A63" s="12">
        <v>1930</v>
      </c>
      <c r="B63" s="13" t="s">
        <v>513</v>
      </c>
      <c r="C63" s="3">
        <f>SUMIF('Raw Data 07-31-2019'!$A$6:$A$254,'Q3 TB-19'!A63,'Raw Data 07-31-2019'!C$6:C$254)</f>
        <v>0</v>
      </c>
      <c r="D63" s="4"/>
      <c r="E63" s="3">
        <f>SUMIF('Raw Data 07-31-2019'!$A$6:$A$254,'Q3 TB-19'!A63,'Raw Data 07-31-2019'!D$6:D$254)</f>
        <v>0</v>
      </c>
      <c r="F63" s="3"/>
      <c r="G63" s="3">
        <f t="shared" si="0"/>
        <v>0</v>
      </c>
      <c r="H63" s="53" t="s">
        <v>176</v>
      </c>
      <c r="J63" s="19"/>
    </row>
    <row r="64" spans="1:10" x14ac:dyDescent="0.75">
      <c r="A64" s="12">
        <v>1932</v>
      </c>
      <c r="B64" s="13" t="s">
        <v>514</v>
      </c>
      <c r="C64" s="3">
        <f>SUMIF('Raw Data 07-31-2019'!$A$6:$A$254,'Q3 TB-19'!A64,'Raw Data 07-31-2019'!C$6:C$254)</f>
        <v>0</v>
      </c>
      <c r="D64" s="4"/>
      <c r="E64" s="3">
        <f>SUMIF('Raw Data 07-31-2019'!$A$6:$A$254,'Q3 TB-19'!A64,'Raw Data 07-31-2019'!D$6:D$254)</f>
        <v>0</v>
      </c>
      <c r="F64" s="3"/>
      <c r="G64" s="3">
        <f t="shared" si="0"/>
        <v>0</v>
      </c>
      <c r="H64" s="53" t="s">
        <v>176</v>
      </c>
      <c r="J64" s="19"/>
    </row>
    <row r="65" spans="1:10" x14ac:dyDescent="0.75">
      <c r="A65" s="12">
        <v>1950</v>
      </c>
      <c r="B65" s="13" t="s">
        <v>494</v>
      </c>
      <c r="C65" s="3">
        <f>SUMIF('Raw Data 07-31-2019'!$A$6:$A$254,'Q3 TB-19'!A65,'Raw Data 07-31-2019'!C$6:C$254)</f>
        <v>0</v>
      </c>
      <c r="D65" s="4"/>
      <c r="E65" s="3">
        <f>SUMIF('Raw Data 07-31-2019'!$A$6:$A$254,'Q3 TB-19'!A65,'Raw Data 07-31-2019'!D$6:D$254)</f>
        <v>39740.550000000003</v>
      </c>
      <c r="F65" s="3"/>
      <c r="G65" s="3">
        <f t="shared" si="0"/>
        <v>-39740.550000000003</v>
      </c>
      <c r="H65" s="53" t="s">
        <v>176</v>
      </c>
      <c r="J65" s="19"/>
    </row>
    <row r="66" spans="1:10" x14ac:dyDescent="0.75">
      <c r="A66" s="12">
        <v>1960</v>
      </c>
      <c r="B66" s="13" t="s">
        <v>515</v>
      </c>
      <c r="C66" s="3">
        <f>SUMIF('Raw Data 07-31-2019'!$A$6:$A$254,'Q3 TB-19'!A66,'Raw Data 07-31-2019'!C$6:C$254)</f>
        <v>0</v>
      </c>
      <c r="D66" s="4"/>
      <c r="E66" s="3">
        <f>SUMIF('Raw Data 07-31-2019'!$A$6:$A$254,'Q3 TB-19'!A66,'Raw Data 07-31-2019'!D$6:D$254)</f>
        <v>0</v>
      </c>
      <c r="F66" s="3"/>
      <c r="G66" s="3">
        <f t="shared" si="0"/>
        <v>0</v>
      </c>
      <c r="H66" s="53" t="s">
        <v>444</v>
      </c>
      <c r="J66" s="19"/>
    </row>
    <row r="67" spans="1:10" x14ac:dyDescent="0.75">
      <c r="A67" s="12">
        <v>1980</v>
      </c>
      <c r="B67" s="13" t="s">
        <v>516</v>
      </c>
      <c r="C67" s="3">
        <f>SUMIF('Raw Data 07-31-2019'!$A$6:$A$254,'Q3 TB-19'!A67,'Raw Data 07-31-2019'!C$6:C$254)</f>
        <v>0</v>
      </c>
      <c r="D67" s="4"/>
      <c r="E67" s="3">
        <f>SUMIF('Raw Data 07-31-2019'!$A$6:$A$254,'Q3 TB-19'!A67,'Raw Data 07-31-2019'!D$6:D$254)</f>
        <v>0</v>
      </c>
      <c r="F67" s="3"/>
      <c r="G67" s="3">
        <f t="shared" si="0"/>
        <v>0</v>
      </c>
      <c r="H67" s="53" t="s">
        <v>444</v>
      </c>
      <c r="J67" s="19"/>
    </row>
    <row r="68" spans="1:10" x14ac:dyDescent="0.75">
      <c r="A68" s="12">
        <v>2000</v>
      </c>
      <c r="B68" s="13" t="s">
        <v>517</v>
      </c>
      <c r="C68" s="3">
        <f>SUMIF('Raw Data 07-31-2019'!$A$6:$A$254,'Q3 TB-19'!A68,'Raw Data 07-31-2019'!C$6:C$254)</f>
        <v>0</v>
      </c>
      <c r="D68" s="4"/>
      <c r="E68" s="3">
        <f>SUMIF('Raw Data 07-31-2019'!$A$6:$A$254,'Q3 TB-19'!A68,'Raw Data 07-31-2019'!D$6:D$254)</f>
        <v>79293.73</v>
      </c>
      <c r="F68" s="3"/>
      <c r="G68" s="3">
        <f t="shared" si="0"/>
        <v>-79293.73</v>
      </c>
      <c r="H68" s="53" t="s">
        <v>177</v>
      </c>
      <c r="J68" s="19"/>
    </row>
    <row r="69" spans="1:10" x14ac:dyDescent="0.75">
      <c r="A69" s="12">
        <v>2010</v>
      </c>
      <c r="B69" s="13" t="s">
        <v>524</v>
      </c>
      <c r="C69" s="3">
        <f>SUMIF('Raw Data 07-31-2019'!$A$6:$A$254,'Q3 TB-19'!A69,'Raw Data 07-31-2019'!C$6:C$254)</f>
        <v>0</v>
      </c>
      <c r="D69" s="4"/>
      <c r="E69" s="3">
        <f>SUMIF('Raw Data 07-31-2019'!$A$6:$A$254,'Q3 TB-19'!A69,'Raw Data 07-31-2019'!D$6:D$254)</f>
        <v>0</v>
      </c>
      <c r="F69" s="3"/>
      <c r="G69" s="3">
        <f t="shared" si="0"/>
        <v>0</v>
      </c>
      <c r="H69" s="53" t="s">
        <v>177</v>
      </c>
      <c r="J69" s="19"/>
    </row>
    <row r="70" spans="1:10" x14ac:dyDescent="0.75">
      <c r="A70" s="12">
        <v>2020</v>
      </c>
      <c r="B70" s="13" t="s">
        <v>525</v>
      </c>
      <c r="C70" s="3">
        <f>SUMIF('Raw Data 07-31-2019'!$A$6:$A$254,'Q3 TB-19'!A70,'Raw Data 07-31-2019'!C$6:C$254)</f>
        <v>0</v>
      </c>
      <c r="D70" s="4"/>
      <c r="E70" s="3">
        <f>SUMIF('Raw Data 07-31-2019'!$A$6:$A$254,'Q3 TB-19'!A70,'Raw Data 07-31-2019'!D$6:D$254)</f>
        <v>0</v>
      </c>
      <c r="F70" s="3"/>
      <c r="G70" s="3">
        <f t="shared" si="0"/>
        <v>0</v>
      </c>
      <c r="H70" s="53" t="s">
        <v>177</v>
      </c>
      <c r="J70" s="19"/>
    </row>
    <row r="71" spans="1:10" x14ac:dyDescent="0.75">
      <c r="A71" s="12">
        <v>2101</v>
      </c>
      <c r="B71" s="13" t="s">
        <v>518</v>
      </c>
      <c r="C71" s="3">
        <f>SUMIF('Raw Data 07-31-2019'!$A$6:$A$254,'Q3 TB-19'!A71,'Raw Data 07-31-2019'!C$6:C$254)</f>
        <v>0</v>
      </c>
      <c r="D71" s="4"/>
      <c r="E71" s="3">
        <f>SUMIF('Raw Data 07-31-2019'!$A$6:$A$254,'Q3 TB-19'!A71,'Raw Data 07-31-2019'!D$6:D$254)</f>
        <v>1622.42</v>
      </c>
      <c r="F71" s="3"/>
      <c r="G71" s="3">
        <f t="shared" si="0"/>
        <v>-1622.42</v>
      </c>
      <c r="H71" s="53" t="s">
        <v>178</v>
      </c>
      <c r="J71" s="19"/>
    </row>
    <row r="72" spans="1:10" x14ac:dyDescent="0.75">
      <c r="A72" s="12">
        <v>2102</v>
      </c>
      <c r="B72" s="13" t="s">
        <v>519</v>
      </c>
      <c r="C72" s="3">
        <f>SUMIF('Raw Data 07-31-2019'!$A$6:$A$254,'Q3 TB-19'!A72,'Raw Data 07-31-2019'!C$6:C$254)</f>
        <v>0</v>
      </c>
      <c r="D72" s="4"/>
      <c r="E72" s="3">
        <f>SUMIF('Raw Data 07-31-2019'!$A$6:$A$254,'Q3 TB-19'!A72,'Raw Data 07-31-2019'!D$6:D$254)</f>
        <v>13298.98</v>
      </c>
      <c r="F72" s="3"/>
      <c r="G72" s="3">
        <f t="shared" si="0"/>
        <v>-13298.98</v>
      </c>
      <c r="H72" s="53" t="s">
        <v>178</v>
      </c>
      <c r="J72" s="19"/>
    </row>
    <row r="73" spans="1:10" x14ac:dyDescent="0.75">
      <c r="A73" s="12">
        <v>2103</v>
      </c>
      <c r="B73" s="13" t="s">
        <v>520</v>
      </c>
      <c r="C73" s="3">
        <f>SUMIF('Raw Data 07-31-2019'!$A$6:$A$254,'Q3 TB-19'!A73,'Raw Data 07-31-2019'!C$6:C$254)</f>
        <v>0</v>
      </c>
      <c r="D73" s="4"/>
      <c r="E73" s="3">
        <f>SUMIF('Raw Data 07-31-2019'!$A$6:$A$254,'Q3 TB-19'!A73,'Raw Data 07-31-2019'!D$6:D$254)</f>
        <v>8469.4</v>
      </c>
      <c r="F73" s="3"/>
      <c r="G73" s="3">
        <f t="shared" ref="G73:G141" si="3">C73-E73</f>
        <v>-8469.4</v>
      </c>
      <c r="H73" s="53" t="s">
        <v>178</v>
      </c>
      <c r="J73" s="19"/>
    </row>
    <row r="74" spans="1:10" x14ac:dyDescent="0.75">
      <c r="A74" s="12">
        <v>2104</v>
      </c>
      <c r="B74" s="13" t="s">
        <v>521</v>
      </c>
      <c r="C74" s="3">
        <f>SUMIF('Raw Data 07-31-2019'!$A$6:$A$254,'Q3 TB-19'!A74,'Raw Data 07-31-2019'!C$6:C$254)</f>
        <v>0</v>
      </c>
      <c r="D74" s="4"/>
      <c r="E74" s="3">
        <f>SUMIF('Raw Data 07-31-2019'!$A$6:$A$254,'Q3 TB-19'!A74,'Raw Data 07-31-2019'!D$6:D$254)</f>
        <v>8751.2000000000007</v>
      </c>
      <c r="F74" s="3"/>
      <c r="G74" s="3">
        <f t="shared" si="3"/>
        <v>-8751.2000000000007</v>
      </c>
      <c r="H74" s="53" t="s">
        <v>178</v>
      </c>
      <c r="J74" s="19"/>
    </row>
    <row r="75" spans="1:10" x14ac:dyDescent="0.75">
      <c r="A75" s="12">
        <v>2105</v>
      </c>
      <c r="B75" s="13" t="s">
        <v>522</v>
      </c>
      <c r="C75" s="3">
        <f>SUMIF('Raw Data 07-31-2019'!$A$6:$A$254,'Q3 TB-19'!A75,'Raw Data 07-31-2019'!C$6:C$254)</f>
        <v>0</v>
      </c>
      <c r="D75" s="4"/>
      <c r="E75" s="3">
        <f>SUMIF('Raw Data 07-31-2019'!$A$6:$A$254,'Q3 TB-19'!A75,'Raw Data 07-31-2019'!D$6:D$254)</f>
        <v>0</v>
      </c>
      <c r="F75" s="3"/>
      <c r="G75" s="3">
        <f t="shared" si="3"/>
        <v>0</v>
      </c>
      <c r="H75" s="53" t="s">
        <v>178</v>
      </c>
      <c r="J75" s="19"/>
    </row>
    <row r="76" spans="1:10" x14ac:dyDescent="0.75">
      <c r="A76" s="12">
        <v>2106</v>
      </c>
      <c r="B76" s="13" t="s">
        <v>546</v>
      </c>
      <c r="C76" s="3">
        <f>SUMIF('Raw Data 07-31-2019'!$A$6:$A$254,'Q3 TB-19'!A76,'Raw Data 07-31-2019'!C$6:C$254)</f>
        <v>0</v>
      </c>
      <c r="D76" s="4"/>
      <c r="E76" s="3">
        <f>SUMIF('Raw Data 07-31-2019'!$A$6:$A$254,'Q3 TB-19'!A76,'Raw Data 07-31-2019'!D$6:D$254)</f>
        <v>7460.33</v>
      </c>
      <c r="F76" s="3"/>
      <c r="G76" s="3">
        <f t="shared" si="3"/>
        <v>-7460.33</v>
      </c>
      <c r="H76" s="53" t="s">
        <v>178</v>
      </c>
      <c r="J76" s="19"/>
    </row>
    <row r="77" spans="1:10" x14ac:dyDescent="0.75">
      <c r="A77" s="12">
        <v>2210</v>
      </c>
      <c r="B77" s="13" t="s">
        <v>526</v>
      </c>
      <c r="C77" s="3">
        <f>SUMIF('Raw Data 07-31-2019'!$A$6:$A$254,'Q3 TB-19'!A77,'Raw Data 07-31-2019'!C$6:C$254)</f>
        <v>0</v>
      </c>
      <c r="D77" s="4"/>
      <c r="E77" s="3">
        <f>SUMIF('Raw Data 07-31-2019'!$A$6:$A$254,'Q3 TB-19'!A77,'Raw Data 07-31-2019'!D$6:D$254)</f>
        <v>619007.76</v>
      </c>
      <c r="F77" s="3"/>
      <c r="G77" s="3">
        <f t="shared" si="3"/>
        <v>-619007.76</v>
      </c>
      <c r="H77" s="53" t="s">
        <v>182</v>
      </c>
      <c r="J77" s="19"/>
    </row>
    <row r="78" spans="1:10" s="89" customFormat="1" x14ac:dyDescent="0.75">
      <c r="A78" s="12" t="s">
        <v>93</v>
      </c>
      <c r="B78" s="13" t="s">
        <v>1007</v>
      </c>
      <c r="C78" s="3">
        <f>SUMIF('Raw Data 07-31-2019'!$A$6:$A$254,'Q3 TB-19'!A78,'Raw Data 07-31-2019'!C$6:C$254)</f>
        <v>0</v>
      </c>
      <c r="D78" s="4"/>
      <c r="E78" s="3">
        <f>SUMIF('Raw Data 07-31-2019'!$A$6:$A$254,'Q3 TB-19'!A78,'Raw Data 07-31-2019'!D$6:D$254)</f>
        <v>0</v>
      </c>
      <c r="F78" s="3"/>
      <c r="G78" s="3">
        <f t="shared" ref="G78" si="4">C78-E78</f>
        <v>0</v>
      </c>
      <c r="H78" s="89" t="s">
        <v>178</v>
      </c>
      <c r="J78" s="19"/>
    </row>
    <row r="79" spans="1:10" x14ac:dyDescent="0.75">
      <c r="A79" s="12">
        <v>2231</v>
      </c>
      <c r="B79" s="13" t="s">
        <v>534</v>
      </c>
      <c r="C79" s="3">
        <f>SUMIF('Raw Data 07-31-2019'!$A$6:$A$254,'Q3 TB-19'!A79,'Raw Data 07-31-2019'!C$6:C$254)</f>
        <v>0</v>
      </c>
      <c r="D79" s="4"/>
      <c r="E79" s="3">
        <f>SUMIF('Raw Data 07-31-2019'!$A$6:$A$254,'Q3 TB-19'!A79,'Raw Data 07-31-2019'!D$6:D$254)</f>
        <v>0</v>
      </c>
      <c r="F79" s="3"/>
      <c r="G79" s="3">
        <f t="shared" si="3"/>
        <v>0</v>
      </c>
      <c r="H79" s="53" t="s">
        <v>178</v>
      </c>
      <c r="J79" s="19"/>
    </row>
    <row r="80" spans="1:10" x14ac:dyDescent="0.75">
      <c r="A80" s="12">
        <v>2232</v>
      </c>
      <c r="B80" s="13" t="s">
        <v>535</v>
      </c>
      <c r="C80" s="3">
        <f>SUMIF('Raw Data 07-31-2019'!$A$6:$A$254,'Q3 TB-19'!A80,'Raw Data 07-31-2019'!C$6:C$254)</f>
        <v>0</v>
      </c>
      <c r="D80" s="4"/>
      <c r="E80" s="3">
        <f>SUMIF('Raw Data 07-31-2019'!$A$6:$A$254,'Q3 TB-19'!A80,'Raw Data 07-31-2019'!D$6:D$254)</f>
        <v>0</v>
      </c>
      <c r="F80" s="3"/>
      <c r="G80" s="3">
        <f t="shared" si="3"/>
        <v>0</v>
      </c>
      <c r="H80" s="53" t="s">
        <v>178</v>
      </c>
      <c r="J80" s="19"/>
    </row>
    <row r="81" spans="1:10" x14ac:dyDescent="0.75">
      <c r="A81" s="12">
        <v>2233</v>
      </c>
      <c r="B81" s="13" t="s">
        <v>537</v>
      </c>
      <c r="C81" s="3">
        <f>SUMIF('Raw Data 07-31-2019'!$A$6:$A$254,'Q3 TB-19'!A81,'Raw Data 07-31-2019'!C$6:C$254)</f>
        <v>0</v>
      </c>
      <c r="D81" s="4"/>
      <c r="E81" s="3">
        <f>SUMIF('Raw Data 07-31-2019'!$A$6:$A$254,'Q3 TB-19'!A81,'Raw Data 07-31-2019'!D$6:D$254)</f>
        <v>0</v>
      </c>
      <c r="F81" s="3"/>
      <c r="G81" s="3">
        <f t="shared" si="3"/>
        <v>0</v>
      </c>
      <c r="H81" s="53" t="s">
        <v>178</v>
      </c>
      <c r="J81" s="19"/>
    </row>
    <row r="82" spans="1:10" x14ac:dyDescent="0.75">
      <c r="A82" s="12">
        <v>2235</v>
      </c>
      <c r="B82" s="13" t="s">
        <v>543</v>
      </c>
      <c r="C82" s="3">
        <f>SUMIF('Raw Data 07-31-2019'!$A$6:$A$254,'Q3 TB-19'!A82,'Raw Data 07-31-2019'!C$6:C$254)</f>
        <v>0</v>
      </c>
      <c r="D82" s="4"/>
      <c r="E82" s="3">
        <f>SUMIF('Raw Data 07-31-2019'!$A$6:$A$254,'Q3 TB-19'!A82,'Raw Data 07-31-2019'!D$6:D$254)</f>
        <v>0</v>
      </c>
      <c r="F82" s="3"/>
      <c r="G82" s="3">
        <f t="shared" si="3"/>
        <v>0</v>
      </c>
      <c r="H82" s="53" t="s">
        <v>178</v>
      </c>
      <c r="J82" s="19"/>
    </row>
    <row r="83" spans="1:10" x14ac:dyDescent="0.75">
      <c r="A83" s="12">
        <v>2236</v>
      </c>
      <c r="B83" s="13" t="s">
        <v>523</v>
      </c>
      <c r="C83" s="3">
        <f>SUMIF('Raw Data 07-31-2019'!$A$6:$A$254,'Q3 TB-19'!A83,'Raw Data 07-31-2019'!C$6:C$254)</f>
        <v>0</v>
      </c>
      <c r="D83" s="4"/>
      <c r="E83" s="3">
        <f>SUMIF('Raw Data 07-31-2019'!$A$6:$A$254,'Q3 TB-19'!A83,'Raw Data 07-31-2019'!D$6:D$254)</f>
        <v>0</v>
      </c>
      <c r="F83" s="3"/>
      <c r="G83" s="3">
        <f t="shared" si="3"/>
        <v>0</v>
      </c>
      <c r="H83" s="53" t="s">
        <v>178</v>
      </c>
      <c r="J83" s="19"/>
    </row>
    <row r="84" spans="1:10" x14ac:dyDescent="0.75">
      <c r="A84" s="12">
        <v>2250</v>
      </c>
      <c r="B84" s="13" t="s">
        <v>536</v>
      </c>
      <c r="C84" s="3">
        <f>SUMIF('Raw Data 07-31-2019'!$A$6:$A$254,'Q3 TB-19'!A84,'Raw Data 07-31-2019'!C$6:C$254)</f>
        <v>0</v>
      </c>
      <c r="D84" s="4"/>
      <c r="E84" s="3">
        <f>SUMIF('Raw Data 07-31-2019'!$A$6:$A$254,'Q3 TB-19'!A84,'Raw Data 07-31-2019'!D$6:D$254)</f>
        <v>0</v>
      </c>
      <c r="F84" s="3"/>
      <c r="G84" s="3">
        <f t="shared" si="3"/>
        <v>0</v>
      </c>
      <c r="H84" s="53" t="s">
        <v>178</v>
      </c>
      <c r="J84" s="19"/>
    </row>
    <row r="85" spans="1:10" x14ac:dyDescent="0.75">
      <c r="A85" s="12">
        <v>2270</v>
      </c>
      <c r="B85" s="13" t="s">
        <v>544</v>
      </c>
      <c r="C85" s="3">
        <f>SUMIF('Raw Data 07-31-2019'!$A$6:$A$254,'Q3 TB-19'!A85,'Raw Data 07-31-2019'!C$6:C$254)</f>
        <v>0</v>
      </c>
      <c r="D85" s="4"/>
      <c r="E85" s="3">
        <f>SUMIF('Raw Data 07-31-2019'!$A$6:$A$254,'Q3 TB-19'!A85,'Raw Data 07-31-2019'!D$6:D$254)</f>
        <v>0</v>
      </c>
      <c r="F85" s="3"/>
      <c r="G85" s="3">
        <f t="shared" si="3"/>
        <v>0</v>
      </c>
      <c r="H85" s="53" t="s">
        <v>178</v>
      </c>
      <c r="J85" s="19"/>
    </row>
    <row r="86" spans="1:10" x14ac:dyDescent="0.75">
      <c r="A86" s="12">
        <v>2280</v>
      </c>
      <c r="B86" s="13" t="s">
        <v>541</v>
      </c>
      <c r="C86" s="3">
        <f>SUMIF('Raw Data 07-31-2019'!$A$6:$A$254,'Q3 TB-19'!A86,'Raw Data 07-31-2019'!C$6:C$254)</f>
        <v>0</v>
      </c>
      <c r="D86" s="4"/>
      <c r="E86" s="3">
        <f>SUMIF('Raw Data 07-31-2019'!$A$6:$A$254,'Q3 TB-19'!A86,'Raw Data 07-31-2019'!D$6:D$254)</f>
        <v>0</v>
      </c>
      <c r="F86" s="3"/>
      <c r="G86" s="3">
        <f t="shared" si="3"/>
        <v>0</v>
      </c>
      <c r="H86" s="53" t="s">
        <v>178</v>
      </c>
      <c r="J86" s="19"/>
    </row>
    <row r="87" spans="1:10" x14ac:dyDescent="0.75">
      <c r="A87" s="12">
        <v>2285</v>
      </c>
      <c r="B87" s="13" t="s">
        <v>545</v>
      </c>
      <c r="C87" s="3">
        <f>SUMIF('Raw Data 07-31-2019'!$A$6:$A$254,'Q3 TB-19'!A87,'Raw Data 07-31-2019'!C$6:C$254)</f>
        <v>0</v>
      </c>
      <c r="D87" s="4"/>
      <c r="E87" s="3">
        <f>SUMIF('Raw Data 07-31-2019'!$A$6:$A$254,'Q3 TB-19'!A87,'Raw Data 07-31-2019'!D$6:D$254)</f>
        <v>0</v>
      </c>
      <c r="F87" s="3"/>
      <c r="G87" s="3">
        <f t="shared" si="3"/>
        <v>0</v>
      </c>
      <c r="H87" s="53" t="s">
        <v>178</v>
      </c>
      <c r="J87" s="19"/>
    </row>
    <row r="88" spans="1:10" x14ac:dyDescent="0.75">
      <c r="A88" s="12">
        <v>2290</v>
      </c>
      <c r="B88" s="13" t="s">
        <v>540</v>
      </c>
      <c r="C88" s="3">
        <f>SUMIF('Raw Data 07-31-2019'!$A$6:$A$254,'Q3 TB-19'!A88,'Raw Data 07-31-2019'!C$6:C$254)</f>
        <v>0</v>
      </c>
      <c r="D88" s="4"/>
      <c r="E88" s="3">
        <f>SUMIF('Raw Data 07-31-2019'!$A$6:$A$254,'Q3 TB-19'!A88,'Raw Data 07-31-2019'!D$6:D$254)</f>
        <v>9740</v>
      </c>
      <c r="F88" s="3"/>
      <c r="G88" s="3">
        <f t="shared" si="3"/>
        <v>-9740</v>
      </c>
      <c r="H88" s="53" t="s">
        <v>178</v>
      </c>
      <c r="J88" s="19"/>
    </row>
    <row r="89" spans="1:10" x14ac:dyDescent="0.75">
      <c r="A89" s="12">
        <v>2305</v>
      </c>
      <c r="B89" s="13" t="s">
        <v>542</v>
      </c>
      <c r="C89" s="3">
        <f>SUMIF('Raw Data 07-31-2019'!$A$6:$A$254,'Q3 TB-19'!A89,'Raw Data 07-31-2019'!C$6:C$254)</f>
        <v>0</v>
      </c>
      <c r="D89" s="4"/>
      <c r="E89" s="3">
        <f>SUMIF('Raw Data 07-31-2019'!$A$6:$A$254,'Q3 TB-19'!A89,'Raw Data 07-31-2019'!D$6:D$254)</f>
        <v>1221957.72</v>
      </c>
      <c r="F89" s="3"/>
      <c r="G89" s="3">
        <f t="shared" si="3"/>
        <v>-1221957.72</v>
      </c>
      <c r="H89" s="53" t="s">
        <v>181</v>
      </c>
      <c r="J89" s="19"/>
    </row>
    <row r="90" spans="1:10" x14ac:dyDescent="0.75">
      <c r="A90" s="12">
        <v>2310</v>
      </c>
      <c r="B90" s="13" t="s">
        <v>538</v>
      </c>
      <c r="C90" s="3">
        <f>SUMIF('Raw Data 07-31-2019'!$A$6:$A$254,'Q3 TB-19'!A90,'Raw Data 07-31-2019'!C$6:C$254)</f>
        <v>0</v>
      </c>
      <c r="D90" s="4"/>
      <c r="E90" s="3">
        <f>SUMIF('Raw Data 07-31-2019'!$A$6:$A$254,'Q3 TB-19'!A90,'Raw Data 07-31-2019'!D$6:D$254)</f>
        <v>0</v>
      </c>
      <c r="F90" s="3"/>
      <c r="G90" s="3">
        <f t="shared" si="3"/>
        <v>0</v>
      </c>
      <c r="H90" s="53" t="s">
        <v>178</v>
      </c>
      <c r="J90" s="19"/>
    </row>
    <row r="91" spans="1:10" x14ac:dyDescent="0.75">
      <c r="A91" s="12">
        <v>2320</v>
      </c>
      <c r="B91" s="13" t="s">
        <v>539</v>
      </c>
      <c r="C91" s="3">
        <f>SUMIF('Raw Data 07-31-2019'!$A$6:$A$254,'Q3 TB-19'!A91,'Raw Data 07-31-2019'!C$6:C$254)</f>
        <v>0</v>
      </c>
      <c r="D91" s="4"/>
      <c r="E91" s="3">
        <f>SUMIF('Raw Data 07-31-2019'!$A$6:$A$254,'Q3 TB-19'!A91,'Raw Data 07-31-2019'!D$6:D$254)</f>
        <v>0</v>
      </c>
      <c r="F91" s="3"/>
      <c r="G91" s="3">
        <f t="shared" si="3"/>
        <v>0</v>
      </c>
      <c r="H91" s="53" t="s">
        <v>178</v>
      </c>
      <c r="J91" s="19"/>
    </row>
    <row r="92" spans="1:10" x14ac:dyDescent="0.75">
      <c r="A92" s="12">
        <v>2400</v>
      </c>
      <c r="B92" s="13" t="s">
        <v>527</v>
      </c>
      <c r="C92" s="3">
        <f>SUMIF('Raw Data 07-31-2019'!$A$6:$A$254,'Q3 TB-19'!A92,'Raw Data 07-31-2019'!C$6:C$254)</f>
        <v>0</v>
      </c>
      <c r="D92" s="4"/>
      <c r="E92" s="3">
        <f>SUMIF('Raw Data 07-31-2019'!$A$6:$A$254,'Q3 TB-19'!A92,'Raw Data 07-31-2019'!D$6:D$254)</f>
        <v>16066.29</v>
      </c>
      <c r="F92" s="3"/>
      <c r="G92" s="3">
        <f t="shared" si="3"/>
        <v>-16066.29</v>
      </c>
      <c r="H92" s="53" t="s">
        <v>180</v>
      </c>
      <c r="J92" s="19"/>
    </row>
    <row r="93" spans="1:10" x14ac:dyDescent="0.75">
      <c r="A93" s="12">
        <v>2405</v>
      </c>
      <c r="B93" s="13" t="s">
        <v>528</v>
      </c>
      <c r="C93" s="3">
        <f>SUMIF('Raw Data 07-31-2019'!$A$6:$A$254,'Q3 TB-19'!A93,'Raw Data 07-31-2019'!C$6:C$254)</f>
        <v>0</v>
      </c>
      <c r="D93" s="4"/>
      <c r="E93" s="3">
        <f>SUMIF('Raw Data 07-31-2019'!$A$6:$A$254,'Q3 TB-19'!A93,'Raw Data 07-31-2019'!D$6:D$254)</f>
        <v>60417.08</v>
      </c>
      <c r="F93" s="3"/>
      <c r="G93" s="3">
        <f t="shared" si="3"/>
        <v>-60417.08</v>
      </c>
      <c r="H93" s="53" t="s">
        <v>180</v>
      </c>
      <c r="J93" s="19"/>
    </row>
    <row r="94" spans="1:10" x14ac:dyDescent="0.75">
      <c r="A94" s="12">
        <v>2410</v>
      </c>
      <c r="B94" s="13" t="s">
        <v>529</v>
      </c>
      <c r="C94" s="3">
        <f>SUMIF('Raw Data 07-31-2019'!$A$6:$A$254,'Q3 TB-19'!A94,'Raw Data 07-31-2019'!C$6:C$254)</f>
        <v>0</v>
      </c>
      <c r="D94" s="4"/>
      <c r="E94" s="3">
        <f>SUMIF('Raw Data 07-31-2019'!$A$6:$A$254,'Q3 TB-19'!A94,'Raw Data 07-31-2019'!D$6:D$254)</f>
        <v>0</v>
      </c>
      <c r="F94" s="3"/>
      <c r="G94" s="3">
        <f t="shared" si="3"/>
        <v>0</v>
      </c>
      <c r="H94" s="53" t="s">
        <v>180</v>
      </c>
      <c r="J94" s="19"/>
    </row>
    <row r="95" spans="1:10" x14ac:dyDescent="0.75">
      <c r="A95" s="12">
        <v>2415</v>
      </c>
      <c r="B95" s="13" t="s">
        <v>530</v>
      </c>
      <c r="C95" s="3">
        <f>SUMIF('Raw Data 07-31-2019'!$A$6:$A$254,'Q3 TB-19'!A95,'Raw Data 07-31-2019'!C$6:C$254)</f>
        <v>0</v>
      </c>
      <c r="D95" s="4"/>
      <c r="E95" s="3">
        <f>SUMIF('Raw Data 07-31-2019'!$A$6:$A$254,'Q3 TB-19'!A95,'Raw Data 07-31-2019'!D$6:D$254)</f>
        <v>0</v>
      </c>
      <c r="F95" s="3"/>
      <c r="G95" s="3">
        <f t="shared" si="3"/>
        <v>0</v>
      </c>
      <c r="H95" s="53" t="s">
        <v>180</v>
      </c>
      <c r="J95" s="19"/>
    </row>
    <row r="96" spans="1:10" x14ac:dyDescent="0.75">
      <c r="A96" s="12">
        <v>2420</v>
      </c>
      <c r="B96" s="13" t="s">
        <v>531</v>
      </c>
      <c r="C96" s="3">
        <f>SUMIF('Raw Data 07-31-2019'!$A$6:$A$254,'Q3 TB-19'!A96,'Raw Data 07-31-2019'!C$6:C$254)</f>
        <v>0</v>
      </c>
      <c r="D96" s="4"/>
      <c r="E96" s="3">
        <f>SUMIF('Raw Data 07-31-2019'!$A$6:$A$254,'Q3 TB-19'!A96,'Raw Data 07-31-2019'!D$6:D$254)</f>
        <v>0</v>
      </c>
      <c r="F96" s="3"/>
      <c r="G96" s="3">
        <f t="shared" si="3"/>
        <v>0</v>
      </c>
      <c r="H96" s="53" t="s">
        <v>180</v>
      </c>
      <c r="J96" s="19"/>
    </row>
    <row r="97" spans="1:10" x14ac:dyDescent="0.75">
      <c r="A97" s="12">
        <v>2425</v>
      </c>
      <c r="B97" s="13" t="s">
        <v>532</v>
      </c>
      <c r="C97" s="3">
        <f>SUMIF('Raw Data 07-31-2019'!$A$6:$A$254,'Q3 TB-19'!A97,'Raw Data 07-31-2019'!C$6:C$254)</f>
        <v>0</v>
      </c>
      <c r="D97" s="4"/>
      <c r="E97" s="3">
        <f>SUMIF('Raw Data 07-31-2019'!$A$6:$A$254,'Q3 TB-19'!A97,'Raw Data 07-31-2019'!D$6:D$254)</f>
        <v>0</v>
      </c>
      <c r="F97" s="3"/>
      <c r="G97" s="3">
        <f t="shared" si="3"/>
        <v>0</v>
      </c>
      <c r="H97" s="53" t="s">
        <v>180</v>
      </c>
      <c r="J97" s="19"/>
    </row>
    <row r="98" spans="1:10" x14ac:dyDescent="0.75">
      <c r="A98" s="12">
        <v>2430</v>
      </c>
      <c r="B98" s="13" t="s">
        <v>533</v>
      </c>
      <c r="C98" s="3">
        <f>SUMIF('Raw Data 07-31-2019'!$A$6:$A$254,'Q3 TB-19'!A98,'Raw Data 07-31-2019'!C$6:C$254)</f>
        <v>0</v>
      </c>
      <c r="D98" s="4"/>
      <c r="E98" s="3">
        <f>SUMIF('Raw Data 07-31-2019'!$A$6:$A$254,'Q3 TB-19'!A98,'Raw Data 07-31-2019'!D$6:D$254)</f>
        <v>0</v>
      </c>
      <c r="F98" s="3"/>
      <c r="G98" s="3">
        <f t="shared" si="3"/>
        <v>0</v>
      </c>
      <c r="H98" s="53" t="s">
        <v>180</v>
      </c>
      <c r="J98" s="19"/>
    </row>
    <row r="99" spans="1:10" s="85" customFormat="1" x14ac:dyDescent="0.75">
      <c r="A99" s="12" t="s">
        <v>952</v>
      </c>
      <c r="B99" s="13" t="s">
        <v>953</v>
      </c>
      <c r="C99" s="3">
        <f>SUMIF('Raw Data 07-31-2019'!$A$6:$A$254,'Q3 TB-19'!A99,'Raw Data 07-31-2019'!C$6:C$254)</f>
        <v>0</v>
      </c>
      <c r="D99" s="4"/>
      <c r="E99" s="3">
        <f>SUMIF('Raw Data 07-31-2019'!$A$6:$A$254,'Q3 TB-19'!A99,'Raw Data 07-31-2019'!D$6:D$254)</f>
        <v>68003</v>
      </c>
      <c r="F99" s="3"/>
      <c r="G99" s="3">
        <f t="shared" ref="G99" si="5">C99-E99</f>
        <v>-68003</v>
      </c>
      <c r="H99" s="85" t="s">
        <v>954</v>
      </c>
      <c r="J99" s="19"/>
    </row>
    <row r="100" spans="1:10" x14ac:dyDescent="0.75">
      <c r="A100" s="12">
        <v>2705</v>
      </c>
      <c r="B100" s="13" t="s">
        <v>547</v>
      </c>
      <c r="C100" s="3">
        <f>SUMIF('Raw Data 07-31-2019'!$A$6:$A$254,'Q3 TB-19'!A100,'Raw Data 07-31-2019'!C$6:C$254)</f>
        <v>0</v>
      </c>
      <c r="D100" s="4"/>
      <c r="E100" s="3">
        <f>SUMIF('Raw Data 07-31-2019'!$A$6:$A$254,'Q3 TB-19'!A100,'Raw Data 07-31-2019'!D$6:D$254)</f>
        <v>50000</v>
      </c>
      <c r="F100" s="3"/>
      <c r="G100" s="3">
        <f t="shared" si="3"/>
        <v>-50000</v>
      </c>
      <c r="H100" s="53" t="s">
        <v>800</v>
      </c>
      <c r="J100" s="19"/>
    </row>
    <row r="101" spans="1:10" x14ac:dyDescent="0.75">
      <c r="A101" s="12">
        <v>2710</v>
      </c>
      <c r="B101" s="13" t="s">
        <v>548</v>
      </c>
      <c r="C101" s="3">
        <f>SUMIF('Raw Data 07-31-2019'!$A$6:$A$254,'Q3 TB-19'!A101,'Raw Data 07-31-2019'!C$6:C$254)</f>
        <v>0</v>
      </c>
      <c r="D101" s="4"/>
      <c r="E101" s="3">
        <f>SUMIF('Raw Data 07-31-2019'!$A$6:$A$254,'Q3 TB-19'!A101,'Raw Data 07-31-2019'!D$6:D$254)</f>
        <v>15000</v>
      </c>
      <c r="F101" s="3"/>
      <c r="G101" s="3">
        <f t="shared" si="3"/>
        <v>-15000</v>
      </c>
      <c r="H101" s="53" t="s">
        <v>800</v>
      </c>
      <c r="J101" s="19"/>
    </row>
    <row r="102" spans="1:10" x14ac:dyDescent="0.75">
      <c r="A102" s="12">
        <v>2715</v>
      </c>
      <c r="B102" s="13" t="s">
        <v>549</v>
      </c>
      <c r="C102" s="3">
        <f>SUMIF('Raw Data 07-31-2019'!$A$6:$A$254,'Q3 TB-19'!A102,'Raw Data 07-31-2019'!C$6:C$254)</f>
        <v>0</v>
      </c>
      <c r="D102" s="4"/>
      <c r="E102" s="3">
        <f>SUMIF('Raw Data 07-31-2019'!$A$6:$A$254,'Q3 TB-19'!A102,'Raw Data 07-31-2019'!D$6:D$254)</f>
        <v>25000</v>
      </c>
      <c r="F102" s="3"/>
      <c r="G102" s="3">
        <f t="shared" si="3"/>
        <v>-25000</v>
      </c>
      <c r="H102" s="53" t="s">
        <v>800</v>
      </c>
      <c r="J102" s="19"/>
    </row>
    <row r="103" spans="1:10" x14ac:dyDescent="0.75">
      <c r="A103" s="12">
        <v>2720</v>
      </c>
      <c r="B103" s="13" t="s">
        <v>550</v>
      </c>
      <c r="C103" s="3">
        <f>SUMIF('Raw Data 07-31-2019'!$A$6:$A$254,'Q3 TB-19'!A103,'Raw Data 07-31-2019'!C$6:C$254)</f>
        <v>0</v>
      </c>
      <c r="D103" s="4"/>
      <c r="E103" s="3">
        <f>SUMIF('Raw Data 07-31-2019'!$A$6:$A$254,'Q3 TB-19'!A103,'Raw Data 07-31-2019'!D$6:D$254)</f>
        <v>50000</v>
      </c>
      <c r="F103" s="3"/>
      <c r="G103" s="3">
        <f t="shared" si="3"/>
        <v>-50000</v>
      </c>
      <c r="H103" s="53" t="s">
        <v>800</v>
      </c>
      <c r="J103" s="19"/>
    </row>
    <row r="104" spans="1:10" x14ac:dyDescent="0.75">
      <c r="A104" s="12">
        <v>2725</v>
      </c>
      <c r="B104" s="13" t="s">
        <v>551</v>
      </c>
      <c r="C104" s="3">
        <f>SUMIF('Raw Data 07-31-2019'!$A$6:$A$254,'Q3 TB-19'!A104,'Raw Data 07-31-2019'!C$6:C$254)</f>
        <v>0</v>
      </c>
      <c r="D104" s="4"/>
      <c r="E104" s="3">
        <f>SUMIF('Raw Data 07-31-2019'!$A$6:$A$254,'Q3 TB-19'!A104,'Raw Data 07-31-2019'!D$6:D$254)</f>
        <v>60000</v>
      </c>
      <c r="F104" s="3"/>
      <c r="G104" s="3">
        <f t="shared" si="3"/>
        <v>-60000</v>
      </c>
      <c r="H104" s="53" t="s">
        <v>800</v>
      </c>
      <c r="J104" s="19"/>
    </row>
    <row r="105" spans="1:10" x14ac:dyDescent="0.75">
      <c r="A105" s="12">
        <v>2730</v>
      </c>
      <c r="B105" s="13" t="s">
        <v>552</v>
      </c>
      <c r="C105" s="3">
        <f>SUMIF('Raw Data 07-31-2019'!$A$6:$A$254,'Q3 TB-19'!A105,'Raw Data 07-31-2019'!C$6:C$254)</f>
        <v>0</v>
      </c>
      <c r="D105" s="4"/>
      <c r="E105" s="3">
        <f>SUMIF('Raw Data 07-31-2019'!$A$6:$A$254,'Q3 TB-19'!A105,'Raw Data 07-31-2019'!D$6:D$254)</f>
        <v>100000</v>
      </c>
      <c r="F105" s="3"/>
      <c r="G105" s="3">
        <f t="shared" si="3"/>
        <v>-100000</v>
      </c>
      <c r="H105" s="53" t="s">
        <v>800</v>
      </c>
      <c r="J105" s="19"/>
    </row>
    <row r="106" spans="1:10" x14ac:dyDescent="0.75">
      <c r="A106" s="12">
        <v>2735</v>
      </c>
      <c r="B106" s="13" t="s">
        <v>553</v>
      </c>
      <c r="C106" s="3">
        <f>SUMIF('Raw Data 07-31-2019'!$A$6:$A$254,'Q3 TB-19'!A106,'Raw Data 07-31-2019'!C$6:C$254)</f>
        <v>0</v>
      </c>
      <c r="D106" s="4"/>
      <c r="E106" s="3">
        <f>SUMIF('Raw Data 07-31-2019'!$A$6:$A$254,'Q3 TB-19'!A106,'Raw Data 07-31-2019'!D$6:D$254)</f>
        <v>150000</v>
      </c>
      <c r="F106" s="3"/>
      <c r="G106" s="3">
        <f t="shared" si="3"/>
        <v>-150000</v>
      </c>
      <c r="H106" s="53" t="s">
        <v>800</v>
      </c>
      <c r="J106" s="19"/>
    </row>
    <row r="107" spans="1:10" x14ac:dyDescent="0.75">
      <c r="A107" s="12">
        <v>2740</v>
      </c>
      <c r="B107" s="13" t="s">
        <v>554</v>
      </c>
      <c r="C107" s="3">
        <f>SUMIF('Raw Data 07-31-2019'!$A$6:$A$254,'Q3 TB-19'!A107,'Raw Data 07-31-2019'!C$6:C$254)</f>
        <v>0</v>
      </c>
      <c r="D107" s="4"/>
      <c r="E107" s="3">
        <f>SUMIF('Raw Data 07-31-2019'!$A$6:$A$254,'Q3 TB-19'!A107,'Raw Data 07-31-2019'!D$6:D$254)</f>
        <v>40000</v>
      </c>
      <c r="F107" s="3"/>
      <c r="G107" s="3">
        <f t="shared" si="3"/>
        <v>-40000</v>
      </c>
      <c r="H107" s="53" t="s">
        <v>800</v>
      </c>
      <c r="J107" s="19"/>
    </row>
    <row r="108" spans="1:10" x14ac:dyDescent="0.75">
      <c r="A108" s="12">
        <v>2745</v>
      </c>
      <c r="B108" s="13" t="s">
        <v>939</v>
      </c>
      <c r="C108" s="3">
        <f>SUMIF('Raw Data 07-31-2019'!$A$6:$A$254,'Q3 TB-19'!A108,'Raw Data 07-31-2019'!C$6:C$254)</f>
        <v>0</v>
      </c>
      <c r="D108" s="4"/>
      <c r="E108" s="3">
        <f>SUMIF('Raw Data 07-31-2019'!$A$6:$A$254,'Q3 TB-19'!A108,'Raw Data 07-31-2019'!D$6:D$254)</f>
        <v>91777.39</v>
      </c>
      <c r="F108" s="3"/>
      <c r="G108" s="3">
        <f t="shared" si="3"/>
        <v>-91777.39</v>
      </c>
      <c r="H108" s="56" t="s">
        <v>182</v>
      </c>
      <c r="J108" s="19"/>
    </row>
    <row r="109" spans="1:10" x14ac:dyDescent="0.75">
      <c r="A109" s="12">
        <v>2750</v>
      </c>
      <c r="B109" s="13" t="s">
        <v>555</v>
      </c>
      <c r="C109" s="3">
        <f>SUMIF('Raw Data 07-31-2019'!$A$6:$A$254,'Q3 TB-19'!A109,'Raw Data 07-31-2019'!C$6:C$254)</f>
        <v>0</v>
      </c>
      <c r="D109" s="4"/>
      <c r="E109" s="3">
        <f>SUMIF('Raw Data 07-31-2019'!$A$6:$A$254,'Q3 TB-19'!A109,'Raw Data 07-31-2019'!D$6:D$254)</f>
        <v>50000</v>
      </c>
      <c r="F109" s="3"/>
      <c r="G109" s="3">
        <f t="shared" si="3"/>
        <v>-50000</v>
      </c>
      <c r="H109" s="53" t="s">
        <v>800</v>
      </c>
      <c r="J109" s="19"/>
    </row>
    <row r="110" spans="1:10" x14ac:dyDescent="0.75">
      <c r="A110" s="12">
        <v>2755</v>
      </c>
      <c r="B110" s="13" t="s">
        <v>556</v>
      </c>
      <c r="C110" s="3">
        <f>SUMIF('Raw Data 07-31-2019'!$A$6:$A$254,'Q3 TB-19'!A110,'Raw Data 07-31-2019'!C$6:C$254)</f>
        <v>0</v>
      </c>
      <c r="D110" s="4"/>
      <c r="E110" s="3">
        <f>SUMIF('Raw Data 07-31-2019'!$A$6:$A$254,'Q3 TB-19'!A110,'Raw Data 07-31-2019'!D$6:D$254)</f>
        <v>25000</v>
      </c>
      <c r="F110" s="3"/>
      <c r="G110" s="3">
        <f t="shared" si="3"/>
        <v>-25000</v>
      </c>
      <c r="H110" s="53" t="s">
        <v>800</v>
      </c>
      <c r="J110" s="19"/>
    </row>
    <row r="111" spans="1:10" x14ac:dyDescent="0.75">
      <c r="A111" s="12">
        <v>2760</v>
      </c>
      <c r="B111" s="13" t="s">
        <v>557</v>
      </c>
      <c r="C111" s="3">
        <f>SUMIF('Raw Data 07-31-2019'!$A$6:$A$254,'Q3 TB-19'!A111,'Raw Data 07-31-2019'!C$6:C$254)</f>
        <v>0</v>
      </c>
      <c r="D111" s="4"/>
      <c r="E111" s="3">
        <f>SUMIF('Raw Data 07-31-2019'!$A$6:$A$254,'Q3 TB-19'!A111,'Raw Data 07-31-2019'!D$6:D$254)</f>
        <v>170000</v>
      </c>
      <c r="F111" s="3"/>
      <c r="G111" s="3">
        <f t="shared" si="3"/>
        <v>-170000</v>
      </c>
      <c r="H111" s="53" t="s">
        <v>800</v>
      </c>
      <c r="J111" s="19"/>
    </row>
    <row r="112" spans="1:10" x14ac:dyDescent="0.75">
      <c r="A112" s="12">
        <v>2765</v>
      </c>
      <c r="B112" s="13" t="s">
        <v>558</v>
      </c>
      <c r="C112" s="3">
        <f>SUMIF('Raw Data 07-31-2019'!$A$6:$A$254,'Q3 TB-19'!A112,'Raw Data 07-31-2019'!C$6:C$254)</f>
        <v>0</v>
      </c>
      <c r="D112" s="4"/>
      <c r="E112" s="3">
        <f>SUMIF('Raw Data 07-31-2019'!$A$6:$A$254,'Q3 TB-19'!A112,'Raw Data 07-31-2019'!D$6:D$254)</f>
        <v>50000</v>
      </c>
      <c r="F112" s="3"/>
      <c r="G112" s="3">
        <f t="shared" si="3"/>
        <v>-50000</v>
      </c>
      <c r="H112" s="53" t="s">
        <v>800</v>
      </c>
      <c r="J112" s="19"/>
    </row>
    <row r="113" spans="1:10" x14ac:dyDescent="0.75">
      <c r="A113" s="12">
        <v>2770</v>
      </c>
      <c r="B113" s="13" t="s">
        <v>559</v>
      </c>
      <c r="C113" s="3">
        <f>SUMIF('Raw Data 07-31-2019'!$A$6:$A$254,'Q3 TB-19'!A113,'Raw Data 07-31-2019'!C$6:C$254)</f>
        <v>0</v>
      </c>
      <c r="D113" s="4"/>
      <c r="E113" s="3">
        <f>SUMIF('Raw Data 07-31-2019'!$A$6:$A$254,'Q3 TB-19'!A113,'Raw Data 07-31-2019'!D$6:D$254)</f>
        <v>2500</v>
      </c>
      <c r="F113" s="3"/>
      <c r="G113" s="3">
        <f t="shared" si="3"/>
        <v>-2500</v>
      </c>
      <c r="H113" s="53" t="s">
        <v>800</v>
      </c>
      <c r="J113" s="19"/>
    </row>
    <row r="114" spans="1:10" x14ac:dyDescent="0.75">
      <c r="A114" s="12">
        <v>2775</v>
      </c>
      <c r="B114" s="13" t="s">
        <v>560</v>
      </c>
      <c r="C114" s="3">
        <f>SUMIF('Raw Data 07-31-2019'!$A$6:$A$254,'Q3 TB-19'!A114,'Raw Data 07-31-2019'!C$6:C$254)</f>
        <v>0</v>
      </c>
      <c r="D114" s="4"/>
      <c r="E114" s="3">
        <f>SUMIF('Raw Data 07-31-2019'!$A$6:$A$254,'Q3 TB-19'!A114,'Raw Data 07-31-2019'!D$6:D$254)</f>
        <v>50000</v>
      </c>
      <c r="F114" s="3"/>
      <c r="G114" s="3">
        <f t="shared" si="3"/>
        <v>-50000</v>
      </c>
      <c r="H114" s="53" t="s">
        <v>800</v>
      </c>
      <c r="J114" s="19"/>
    </row>
    <row r="115" spans="1:10" x14ac:dyDescent="0.75">
      <c r="A115" s="12">
        <v>2780</v>
      </c>
      <c r="B115" s="13" t="s">
        <v>561</v>
      </c>
      <c r="C115" s="3">
        <f>SUMIF('Raw Data 07-31-2019'!$A$6:$A$254,'Q3 TB-19'!A115,'Raw Data 07-31-2019'!C$6:C$254)</f>
        <v>0</v>
      </c>
      <c r="D115" s="4"/>
      <c r="E115" s="3">
        <f>SUMIF('Raw Data 07-31-2019'!$A$6:$A$254,'Q3 TB-19'!A115,'Raw Data 07-31-2019'!D$6:D$254)</f>
        <v>25000</v>
      </c>
      <c r="F115" s="3"/>
      <c r="G115" s="3">
        <f t="shared" si="3"/>
        <v>-25000</v>
      </c>
      <c r="H115" s="53" t="s">
        <v>800</v>
      </c>
      <c r="J115" s="19"/>
    </row>
    <row r="116" spans="1:10" s="67" customFormat="1" x14ac:dyDescent="0.75">
      <c r="A116" s="12" t="s">
        <v>941</v>
      </c>
      <c r="B116" s="13" t="s">
        <v>942</v>
      </c>
      <c r="C116" s="3">
        <f>SUMIF('Raw Data 07-31-2019'!$A$6:$A$254,'Q3 TB-19'!A116,'Raw Data 07-31-2019'!C$6:C$254)</f>
        <v>382772</v>
      </c>
      <c r="D116" s="4"/>
      <c r="E116" s="3">
        <f>SUMIF('Raw Data 07-31-2019'!$A$6:$A$254,'Q3 TB-19'!A116,'Raw Data 07-31-2019'!D$6:D$254)</f>
        <v>0</v>
      </c>
      <c r="F116" s="3"/>
      <c r="G116" s="3">
        <f t="shared" ref="G116" si="6">C116-E116</f>
        <v>382772</v>
      </c>
      <c r="H116" s="67" t="s">
        <v>800</v>
      </c>
      <c r="J116" s="19"/>
    </row>
    <row r="117" spans="1:10" x14ac:dyDescent="0.75">
      <c r="A117" s="12">
        <v>3000</v>
      </c>
      <c r="B117" s="13" t="s">
        <v>563</v>
      </c>
      <c r="C117" s="3">
        <f>SUMIF('Raw Data 07-31-2019'!$A$6:$A$254,'Q3 TB-19'!A117,'Raw Data 07-31-2019'!C$6:C$254)</f>
        <v>0</v>
      </c>
      <c r="D117" s="4"/>
      <c r="E117" s="3">
        <f>SUMIF('Raw Data 07-31-2019'!$A$6:$A$254,'Q3 TB-19'!A117,'Raw Data 07-31-2019'!D$6:D$254)</f>
        <v>46184.14</v>
      </c>
      <c r="F117" s="3"/>
      <c r="G117" s="3">
        <f t="shared" si="3"/>
        <v>-46184.14</v>
      </c>
      <c r="H117" s="53" t="s">
        <v>183</v>
      </c>
      <c r="J117" s="19"/>
    </row>
    <row r="118" spans="1:10" x14ac:dyDescent="0.75">
      <c r="A118" s="12">
        <v>3050</v>
      </c>
      <c r="B118" s="13" t="s">
        <v>569</v>
      </c>
      <c r="C118" s="3">
        <f>SUMIF('Raw Data 07-31-2019'!$A$6:$A$254,'Q3 TB-19'!A118,'Raw Data 07-31-2019'!C$6:C$254)</f>
        <v>0</v>
      </c>
      <c r="D118" s="4"/>
      <c r="E118" s="3">
        <f>SUMIF('Raw Data 07-31-2019'!$A$6:$A$254,'Q3 TB-19'!A118,'Raw Data 07-31-2019'!D$6:D$254)</f>
        <v>0</v>
      </c>
      <c r="F118" s="3"/>
      <c r="G118" s="3">
        <f t="shared" si="3"/>
        <v>0</v>
      </c>
      <c r="H118" s="53" t="s">
        <v>802</v>
      </c>
      <c r="J118" s="19"/>
    </row>
    <row r="119" spans="1:10" x14ac:dyDescent="0.75">
      <c r="A119" s="12">
        <v>3100</v>
      </c>
      <c r="B119" s="13" t="s">
        <v>567</v>
      </c>
      <c r="C119" s="3">
        <f>SUMIF('Raw Data 07-31-2019'!$A$6:$A$254,'Q3 TB-19'!A119,'Raw Data 07-31-2019'!C$6:C$254)</f>
        <v>0</v>
      </c>
      <c r="D119" s="4"/>
      <c r="E119" s="3">
        <f>SUMIF('Raw Data 07-31-2019'!$A$6:$A$254,'Q3 TB-19'!A119,'Raw Data 07-31-2019'!D$6:D$254)</f>
        <v>7367556.6900000004</v>
      </c>
      <c r="F119" s="3"/>
      <c r="G119" s="3">
        <f t="shared" si="3"/>
        <v>-7367556.6900000004</v>
      </c>
      <c r="H119" s="53" t="s">
        <v>184</v>
      </c>
      <c r="J119" s="19"/>
    </row>
    <row r="120" spans="1:10" s="89" customFormat="1" x14ac:dyDescent="0.75">
      <c r="A120" s="12" t="s">
        <v>1003</v>
      </c>
      <c r="B120" s="13" t="s">
        <v>1004</v>
      </c>
      <c r="C120" s="3">
        <f>SUMIF('Raw Data 07-31-2019'!$A$6:$A$254,'Q3 TB-19'!A120,'Raw Data 07-31-2019'!C$6:C$254)</f>
        <v>0</v>
      </c>
      <c r="D120" s="4"/>
      <c r="E120" s="3">
        <f>SUMIF('Raw Data 07-31-2019'!$A$6:$A$254,'Q3 TB-19'!A120,'Raw Data 07-31-2019'!D$6:D$254)</f>
        <v>0</v>
      </c>
      <c r="F120" s="3"/>
      <c r="G120" s="3">
        <f t="shared" ref="G120" si="7">C120-E120</f>
        <v>0</v>
      </c>
      <c r="H120" s="89" t="s">
        <v>184</v>
      </c>
      <c r="J120" s="19"/>
    </row>
    <row r="121" spans="1:10" x14ac:dyDescent="0.75">
      <c r="A121" s="12">
        <v>3200</v>
      </c>
      <c r="B121" s="13" t="s">
        <v>562</v>
      </c>
      <c r="C121" s="3">
        <f>SUMIF('Raw Data 07-31-2019'!$A$6:$A$254,'Q3 TB-19'!A121,'Raw Data 07-31-2019'!C$6:C$254)</f>
        <v>0</v>
      </c>
      <c r="D121" s="4"/>
      <c r="E121" s="3">
        <f>SUMIF('Raw Data 07-31-2019'!$A$6:$A$254,'Q3 TB-19'!A121,'Raw Data 07-31-2019'!D$6:D$254)</f>
        <v>0</v>
      </c>
      <c r="F121" s="3"/>
      <c r="G121" s="3">
        <f t="shared" si="3"/>
        <v>0</v>
      </c>
      <c r="H121" s="53" t="s">
        <v>184</v>
      </c>
      <c r="J121" s="19"/>
    </row>
    <row r="122" spans="1:10" x14ac:dyDescent="0.75">
      <c r="A122" s="12">
        <v>3300</v>
      </c>
      <c r="B122" s="13" t="s">
        <v>564</v>
      </c>
      <c r="C122" s="3">
        <f>SUMIF('Raw Data 07-31-2019'!$A$6:$A$254,'Q3 TB-19'!A122,'Raw Data 07-31-2019'!C$6:C$254)</f>
        <v>0</v>
      </c>
      <c r="D122" s="4"/>
      <c r="E122" s="3">
        <f>SUMIF('Raw Data 07-31-2019'!$A$6:$A$254,'Q3 TB-19'!A122,'Raw Data 07-31-2019'!D$6:D$254)</f>
        <v>0</v>
      </c>
      <c r="F122" s="3"/>
      <c r="G122" s="3">
        <f t="shared" si="3"/>
        <v>0</v>
      </c>
      <c r="H122" s="53" t="s">
        <v>184</v>
      </c>
      <c r="J122" s="19"/>
    </row>
    <row r="123" spans="1:10" x14ac:dyDescent="0.75">
      <c r="A123" s="12">
        <v>3400</v>
      </c>
      <c r="B123" s="13" t="s">
        <v>565</v>
      </c>
      <c r="C123" s="3">
        <f>SUMIF('Raw Data 07-31-2019'!$A$6:$A$254,'Q3 TB-19'!A123,'Raw Data 07-31-2019'!C$6:C$254)</f>
        <v>0</v>
      </c>
      <c r="D123" s="4"/>
      <c r="E123" s="3">
        <f>SUMIF('Raw Data 07-31-2019'!$A$6:$A$254,'Q3 TB-19'!A123,'Raw Data 07-31-2019'!D$6:D$254)</f>
        <v>0</v>
      </c>
      <c r="F123" s="3"/>
      <c r="G123" s="3">
        <f t="shared" si="3"/>
        <v>0</v>
      </c>
      <c r="H123" s="53" t="s">
        <v>184</v>
      </c>
      <c r="J123" s="19"/>
    </row>
    <row r="124" spans="1:10" x14ac:dyDescent="0.75">
      <c r="A124" s="12">
        <v>3500</v>
      </c>
      <c r="B124" s="13" t="s">
        <v>566</v>
      </c>
      <c r="C124" s="3">
        <f>SUMIF('Raw Data 07-31-2019'!$A$6:$A$254,'Q3 TB-19'!A124,'Raw Data 07-31-2019'!C$6:C$254)</f>
        <v>0</v>
      </c>
      <c r="D124" s="4"/>
      <c r="E124" s="3">
        <f>SUMIF('Raw Data 07-31-2019'!$A$6:$A$254,'Q3 TB-19'!A124,'Raw Data 07-31-2019'!D$6:D$254)</f>
        <v>0</v>
      </c>
      <c r="F124" s="3"/>
      <c r="G124" s="3">
        <f t="shared" si="3"/>
        <v>0</v>
      </c>
      <c r="H124" s="53" t="s">
        <v>184</v>
      </c>
      <c r="J124" s="19"/>
    </row>
    <row r="125" spans="1:10" s="56" customFormat="1" x14ac:dyDescent="0.75">
      <c r="A125" s="12" t="s">
        <v>382</v>
      </c>
      <c r="B125" s="13" t="s">
        <v>933</v>
      </c>
      <c r="C125" s="3">
        <f>SUMIF('Raw Data 07-31-2019'!$A$6:$A$254,'Q3 TB-19'!A125,'Raw Data 07-31-2019'!C$6:C$254)</f>
        <v>94000</v>
      </c>
      <c r="D125" s="4"/>
      <c r="E125" s="3">
        <f>SUMIF('Raw Data 07-31-2019'!$A$6:$A$254,'Q3 TB-19'!A125,'Raw Data 07-31-2019'!D$6:D$254)</f>
        <v>0</v>
      </c>
      <c r="F125" s="3"/>
      <c r="G125" s="3">
        <f t="shared" ref="G125" si="8">C125-E125</f>
        <v>94000</v>
      </c>
      <c r="H125" s="56" t="s">
        <v>934</v>
      </c>
      <c r="J125" s="19"/>
    </row>
    <row r="126" spans="1:10" x14ac:dyDescent="0.75">
      <c r="A126" s="12">
        <v>3800</v>
      </c>
      <c r="B126" s="13" t="s">
        <v>568</v>
      </c>
      <c r="C126" s="3">
        <f>SUMIF('Raw Data 07-31-2019'!$A$6:$A$254,'Q3 TB-19'!A126,'Raw Data 07-31-2019'!C$6:C$254)</f>
        <v>0</v>
      </c>
      <c r="D126" s="4"/>
      <c r="E126" s="3">
        <f>SUMIF('Raw Data 07-31-2019'!$A$6:$A$254,'Q3 TB-19'!A126,'Raw Data 07-31-2019'!D$6:D$254)</f>
        <v>0</v>
      </c>
      <c r="F126" s="3"/>
      <c r="G126" s="3">
        <f t="shared" si="3"/>
        <v>0</v>
      </c>
      <c r="H126" s="53" t="s">
        <v>185</v>
      </c>
      <c r="J126" s="19"/>
    </row>
    <row r="127" spans="1:10" x14ac:dyDescent="0.75">
      <c r="A127" s="12">
        <v>3900</v>
      </c>
      <c r="B127" s="13" t="s">
        <v>400</v>
      </c>
      <c r="C127" s="3">
        <f>SUMIF('Raw Data 07-31-2019'!$A$6:$A$254,'Q3 TB-19'!A127,'Raw Data 07-31-2019'!C$6:C$254)</f>
        <v>9072443.3699999992</v>
      </c>
      <c r="D127" s="4"/>
      <c r="E127" s="3">
        <f>SUMIF('Raw Data 07-31-2019'!$A$6:$A$254,'Q3 TB-19'!A127,'Raw Data 07-31-2019'!D$6:D$254)</f>
        <v>0</v>
      </c>
      <c r="F127" s="3"/>
      <c r="G127" s="3">
        <f t="shared" si="3"/>
        <v>9072443.3699999992</v>
      </c>
      <c r="H127" s="53" t="s">
        <v>185</v>
      </c>
      <c r="J127" s="19"/>
    </row>
    <row r="128" spans="1:10" x14ac:dyDescent="0.75">
      <c r="A128" s="12">
        <v>4100</v>
      </c>
      <c r="B128" s="13" t="s">
        <v>576</v>
      </c>
      <c r="C128" s="3">
        <f>SUMIF('Raw Data 07-31-2019'!$A$6:$A$254,'Q3 TB-19'!A128,'Raw Data 07-31-2019'!C$6:C$254)</f>
        <v>0</v>
      </c>
      <c r="D128" s="4"/>
      <c r="E128" s="3">
        <f>SUMIF('Raw Data 07-31-2019'!$A$6:$A$254,'Q3 TB-19'!A128,'Raw Data 07-31-2019'!D$6:D$254)</f>
        <v>598919.41</v>
      </c>
      <c r="F128" s="3"/>
      <c r="G128" s="3">
        <f t="shared" si="3"/>
        <v>-598919.41</v>
      </c>
      <c r="H128" s="53" t="s">
        <v>437</v>
      </c>
      <c r="J128" s="19"/>
    </row>
    <row r="129" spans="1:10" x14ac:dyDescent="0.75">
      <c r="A129" s="12">
        <v>4110</v>
      </c>
      <c r="B129" s="13" t="s">
        <v>577</v>
      </c>
      <c r="C129" s="3">
        <f>SUMIF('Raw Data 07-31-2019'!$A$6:$A$254,'Q3 TB-19'!A129,'Raw Data 07-31-2019'!C$6:C$254)</f>
        <v>0</v>
      </c>
      <c r="D129" s="4"/>
      <c r="E129" s="3">
        <f>SUMIF('Raw Data 07-31-2019'!$A$6:$A$254,'Q3 TB-19'!A129,'Raw Data 07-31-2019'!D$6:D$254)</f>
        <v>0</v>
      </c>
      <c r="F129" s="3"/>
      <c r="G129" s="3">
        <f t="shared" si="3"/>
        <v>0</v>
      </c>
      <c r="H129" s="53" t="s">
        <v>437</v>
      </c>
      <c r="J129" s="19"/>
    </row>
    <row r="130" spans="1:10" x14ac:dyDescent="0.75">
      <c r="A130" s="12">
        <v>4200</v>
      </c>
      <c r="B130" s="13" t="s">
        <v>573</v>
      </c>
      <c r="C130" s="3">
        <f>SUMIF('Raw Data 07-31-2019'!$A$6:$A$254,'Q3 TB-19'!A130,'Raw Data 07-31-2019'!C$6:C$254)</f>
        <v>0</v>
      </c>
      <c r="D130" s="4"/>
      <c r="E130" s="3">
        <f>SUMIF('Raw Data 07-31-2019'!$A$6:$A$254,'Q3 TB-19'!A130,'Raw Data 07-31-2019'!D$6:D$254)</f>
        <v>0</v>
      </c>
      <c r="F130" s="3"/>
      <c r="G130" s="3">
        <f t="shared" si="3"/>
        <v>0</v>
      </c>
      <c r="H130" s="53" t="s">
        <v>437</v>
      </c>
      <c r="J130" s="19"/>
    </row>
    <row r="131" spans="1:10" x14ac:dyDescent="0.75">
      <c r="A131" s="12">
        <v>4300</v>
      </c>
      <c r="B131" s="13" t="s">
        <v>571</v>
      </c>
      <c r="C131" s="3">
        <f>SUMIF('Raw Data 07-31-2019'!$A$6:$A$254,'Q3 TB-19'!A131,'Raw Data 07-31-2019'!C$6:C$254)</f>
        <v>0</v>
      </c>
      <c r="D131" s="4"/>
      <c r="E131" s="3">
        <f>SUMIF('Raw Data 07-31-2019'!$A$6:$A$254,'Q3 TB-19'!A131,'Raw Data 07-31-2019'!D$6:D$254)</f>
        <v>0</v>
      </c>
      <c r="F131" s="3"/>
      <c r="G131" s="3">
        <f t="shared" si="3"/>
        <v>0</v>
      </c>
      <c r="H131" s="53" t="s">
        <v>437</v>
      </c>
      <c r="J131" s="19"/>
    </row>
    <row r="132" spans="1:10" x14ac:dyDescent="0.75">
      <c r="A132" s="12">
        <v>4400</v>
      </c>
      <c r="B132" s="13" t="s">
        <v>570</v>
      </c>
      <c r="C132" s="3">
        <f>SUMIF('Raw Data 07-31-2019'!$A$6:$A$254,'Q3 TB-19'!A132,'Raw Data 07-31-2019'!C$6:C$254)</f>
        <v>0</v>
      </c>
      <c r="D132" s="4"/>
      <c r="E132" s="3">
        <f>SUMIF('Raw Data 07-31-2019'!$A$6:$A$254,'Q3 TB-19'!A132,'Raw Data 07-31-2019'!D$6:D$254)</f>
        <v>0</v>
      </c>
      <c r="F132" s="3"/>
      <c r="G132" s="3">
        <f t="shared" si="3"/>
        <v>0</v>
      </c>
      <c r="H132" s="53" t="s">
        <v>437</v>
      </c>
      <c r="J132" s="19"/>
    </row>
    <row r="133" spans="1:10" x14ac:dyDescent="0.75">
      <c r="A133" s="12">
        <v>4420</v>
      </c>
      <c r="B133" s="13" t="s">
        <v>574</v>
      </c>
      <c r="C133" s="3">
        <f>SUMIF('Raw Data 07-31-2019'!$A$6:$A$254,'Q3 TB-19'!A133,'Raw Data 07-31-2019'!C$6:C$254)</f>
        <v>0</v>
      </c>
      <c r="D133" s="4"/>
      <c r="E133" s="3">
        <f>SUMIF('Raw Data 07-31-2019'!$A$6:$A$254,'Q3 TB-19'!A133,'Raw Data 07-31-2019'!D$6:D$254)</f>
        <v>0</v>
      </c>
      <c r="F133" s="3"/>
      <c r="G133" s="3">
        <f t="shared" si="3"/>
        <v>0</v>
      </c>
      <c r="H133" s="53" t="s">
        <v>437</v>
      </c>
      <c r="J133" s="19"/>
    </row>
    <row r="134" spans="1:10" x14ac:dyDescent="0.75">
      <c r="A134" s="12">
        <v>4440</v>
      </c>
      <c r="B134" s="13" t="s">
        <v>575</v>
      </c>
      <c r="C134" s="3">
        <f>SUMIF('Raw Data 07-31-2019'!$A$6:$A$254,'Q3 TB-19'!A134,'Raw Data 07-31-2019'!C$6:C$254)</f>
        <v>0</v>
      </c>
      <c r="D134" s="4"/>
      <c r="E134" s="3">
        <f>SUMIF('Raw Data 07-31-2019'!$A$6:$A$254,'Q3 TB-19'!A134,'Raw Data 07-31-2019'!D$6:D$254)</f>
        <v>0</v>
      </c>
      <c r="F134" s="3"/>
      <c r="G134" s="3">
        <f t="shared" si="3"/>
        <v>0</v>
      </c>
      <c r="H134" s="53" t="s">
        <v>437</v>
      </c>
      <c r="J134" s="19"/>
    </row>
    <row r="135" spans="1:10" x14ac:dyDescent="0.75">
      <c r="A135" s="12">
        <v>4500</v>
      </c>
      <c r="B135" s="13" t="s">
        <v>578</v>
      </c>
      <c r="C135" s="3">
        <f>SUMIF('Raw Data 07-31-2019'!$A$6:$A$254,'Q3 TB-19'!A135,'Raw Data 07-31-2019'!C$6:C$254)</f>
        <v>0</v>
      </c>
      <c r="D135" s="4"/>
      <c r="E135" s="3">
        <f>SUMIF('Raw Data 07-31-2019'!$A$6:$A$254,'Q3 TB-19'!A135,'Raw Data 07-31-2019'!D$6:D$254)</f>
        <v>27893.87</v>
      </c>
      <c r="F135" s="3"/>
      <c r="G135" s="3">
        <f t="shared" si="3"/>
        <v>-27893.87</v>
      </c>
      <c r="H135" s="53" t="s">
        <v>437</v>
      </c>
      <c r="J135" s="19"/>
    </row>
    <row r="136" spans="1:10" x14ac:dyDescent="0.75">
      <c r="A136" s="12">
        <v>4550</v>
      </c>
      <c r="B136" s="13" t="s">
        <v>579</v>
      </c>
      <c r="C136" s="3">
        <f>SUMIF('Raw Data 07-31-2019'!$A$6:$A$254,'Q3 TB-19'!A136,'Raw Data 07-31-2019'!C$6:C$254)</f>
        <v>0</v>
      </c>
      <c r="D136" s="4"/>
      <c r="E136" s="3">
        <f>SUMIF('Raw Data 07-31-2019'!$A$6:$A$254,'Q3 TB-19'!A136,'Raw Data 07-31-2019'!D$6:D$254)</f>
        <v>0</v>
      </c>
      <c r="F136" s="3"/>
      <c r="G136" s="3">
        <f t="shared" si="3"/>
        <v>0</v>
      </c>
      <c r="H136" s="53" t="s">
        <v>437</v>
      </c>
      <c r="J136" s="19"/>
    </row>
    <row r="137" spans="1:10" x14ac:dyDescent="0.75">
      <c r="A137" s="12">
        <v>4900</v>
      </c>
      <c r="B137" s="13" t="s">
        <v>572</v>
      </c>
      <c r="C137" s="3">
        <f>SUMIF('Raw Data 07-31-2019'!$A$6:$A$254,'Q3 TB-19'!A137,'Raw Data 07-31-2019'!C$6:C$254)</f>
        <v>0</v>
      </c>
      <c r="D137" s="4"/>
      <c r="E137" s="3">
        <f>SUMIF('Raw Data 07-31-2019'!$A$6:$A$254,'Q3 TB-19'!A137,'Raw Data 07-31-2019'!D$6:D$254)</f>
        <v>3835</v>
      </c>
      <c r="F137" s="3"/>
      <c r="G137" s="3">
        <f t="shared" si="3"/>
        <v>-3835</v>
      </c>
      <c r="H137" s="53" t="s">
        <v>801</v>
      </c>
      <c r="J137" s="19"/>
    </row>
    <row r="138" spans="1:10" x14ac:dyDescent="0.75">
      <c r="A138" s="12">
        <v>4950</v>
      </c>
      <c r="B138" s="13" t="s">
        <v>580</v>
      </c>
      <c r="C138" s="3">
        <f>SUMIF('Raw Data 07-31-2019'!$A$6:$A$254,'Q3 TB-19'!A138,'Raw Data 07-31-2019'!C$6:C$254)</f>
        <v>0</v>
      </c>
      <c r="D138" s="4"/>
      <c r="E138" s="3">
        <f>SUMIF('Raw Data 07-31-2019'!$A$6:$A$254,'Q3 TB-19'!A138,'Raw Data 07-31-2019'!D$6:D$254)</f>
        <v>0</v>
      </c>
      <c r="F138" s="3"/>
      <c r="G138" s="3">
        <f t="shared" si="3"/>
        <v>0</v>
      </c>
      <c r="H138" s="53" t="s">
        <v>437</v>
      </c>
      <c r="J138" s="19"/>
    </row>
    <row r="139" spans="1:10" x14ac:dyDescent="0.75">
      <c r="A139" s="12">
        <v>4980</v>
      </c>
      <c r="B139" s="13" t="s">
        <v>581</v>
      </c>
      <c r="C139" s="3">
        <f>SUMIF('Raw Data 07-31-2019'!$A$6:$A$254,'Q3 TB-19'!A139,'Raw Data 07-31-2019'!C$6:C$254)</f>
        <v>0</v>
      </c>
      <c r="D139" s="4"/>
      <c r="E139" s="3">
        <f>SUMIF('Raw Data 07-31-2019'!$A$6:$A$254,'Q3 TB-19'!A139,'Raw Data 07-31-2019'!D$6:D$254)</f>
        <v>0</v>
      </c>
      <c r="F139" s="3"/>
      <c r="G139" s="3">
        <f t="shared" si="3"/>
        <v>0</v>
      </c>
      <c r="H139" s="53" t="s">
        <v>437</v>
      </c>
      <c r="J139" s="19"/>
    </row>
    <row r="140" spans="1:10" x14ac:dyDescent="0.75">
      <c r="A140" s="12">
        <v>5000</v>
      </c>
      <c r="B140" s="13" t="s">
        <v>582</v>
      </c>
      <c r="C140" s="3">
        <f>SUMIF('Raw Data 07-31-2019'!$A$6:$A$254,'Q3 TB-19'!A140,'Raw Data 07-31-2019'!C$6:C$254)</f>
        <v>25909.15</v>
      </c>
      <c r="D140" s="4"/>
      <c r="E140" s="3">
        <f>SUMIF('Raw Data 07-31-2019'!$A$6:$A$254,'Q3 TB-19'!A140,'Raw Data 07-31-2019'!D$6:D$254)</f>
        <v>0</v>
      </c>
      <c r="F140" s="3"/>
      <c r="G140" s="3">
        <f t="shared" si="3"/>
        <v>25909.15</v>
      </c>
      <c r="H140" s="53" t="s">
        <v>438</v>
      </c>
      <c r="J140" s="19"/>
    </row>
    <row r="141" spans="1:10" x14ac:dyDescent="0.75">
      <c r="A141" s="12">
        <v>5010</v>
      </c>
      <c r="B141" s="13" t="s">
        <v>583</v>
      </c>
      <c r="C141" s="3">
        <f>SUMIF('Raw Data 07-31-2019'!$A$6:$A$254,'Q3 TB-19'!A141,'Raw Data 07-31-2019'!C$6:C$254)</f>
        <v>26422.55</v>
      </c>
      <c r="D141" s="4"/>
      <c r="E141" s="3">
        <f>SUMIF('Raw Data 07-31-2019'!$A$6:$A$254,'Q3 TB-19'!A141,'Raw Data 07-31-2019'!D$6:D$254)</f>
        <v>0</v>
      </c>
      <c r="F141" s="3"/>
      <c r="G141" s="3">
        <f t="shared" si="3"/>
        <v>26422.55</v>
      </c>
      <c r="H141" s="53" t="s">
        <v>438</v>
      </c>
      <c r="J141" s="19"/>
    </row>
    <row r="142" spans="1:10" x14ac:dyDescent="0.75">
      <c r="A142" s="12">
        <v>5020</v>
      </c>
      <c r="B142" s="13" t="s">
        <v>584</v>
      </c>
      <c r="C142" s="3">
        <f>SUMIF('Raw Data 07-31-2019'!$A$6:$A$254,'Q3 TB-19'!A142,'Raw Data 07-31-2019'!C$6:C$254)</f>
        <v>0</v>
      </c>
      <c r="D142" s="4"/>
      <c r="E142" s="3">
        <f>SUMIF('Raw Data 07-31-2019'!$A$6:$A$254,'Q3 TB-19'!A142,'Raw Data 07-31-2019'!D$6:D$254)</f>
        <v>0</v>
      </c>
      <c r="F142" s="3"/>
      <c r="G142" s="3">
        <f t="shared" ref="G142:G205" si="9">C142-E142</f>
        <v>0</v>
      </c>
      <c r="H142" s="53" t="s">
        <v>438</v>
      </c>
      <c r="J142" s="19"/>
    </row>
    <row r="143" spans="1:10" x14ac:dyDescent="0.75">
      <c r="A143" s="12">
        <v>5030</v>
      </c>
      <c r="B143" s="13" t="s">
        <v>585</v>
      </c>
      <c r="C143" s="3">
        <f>SUMIF('Raw Data 07-31-2019'!$A$6:$A$254,'Q3 TB-19'!A143,'Raw Data 07-31-2019'!C$6:C$254)</f>
        <v>10089.81</v>
      </c>
      <c r="D143" s="4"/>
      <c r="E143" s="3">
        <f>SUMIF('Raw Data 07-31-2019'!$A$6:$A$254,'Q3 TB-19'!A143,'Raw Data 07-31-2019'!D$6:D$254)</f>
        <v>0</v>
      </c>
      <c r="F143" s="3"/>
      <c r="G143" s="3">
        <f t="shared" si="9"/>
        <v>10089.81</v>
      </c>
      <c r="H143" s="53" t="s">
        <v>438</v>
      </c>
      <c r="J143" s="19"/>
    </row>
    <row r="144" spans="1:10" x14ac:dyDescent="0.75">
      <c r="A144" s="12">
        <v>5040</v>
      </c>
      <c r="B144" s="13" t="s">
        <v>586</v>
      </c>
      <c r="C144" s="3">
        <f>SUMIF('Raw Data 07-31-2019'!$A$6:$A$254,'Q3 TB-19'!A144,'Raw Data 07-31-2019'!C$6:C$254)</f>
        <v>0</v>
      </c>
      <c r="D144" s="4"/>
      <c r="E144" s="3">
        <f>SUMIF('Raw Data 07-31-2019'!$A$6:$A$254,'Q3 TB-19'!A144,'Raw Data 07-31-2019'!D$6:D$254)</f>
        <v>0</v>
      </c>
      <c r="F144" s="3"/>
      <c r="G144" s="3">
        <f t="shared" si="9"/>
        <v>0</v>
      </c>
      <c r="H144" s="53" t="s">
        <v>438</v>
      </c>
      <c r="J144" s="19"/>
    </row>
    <row r="145" spans="1:10" x14ac:dyDescent="0.75">
      <c r="A145" s="12">
        <v>5050</v>
      </c>
      <c r="B145" s="13" t="s">
        <v>587</v>
      </c>
      <c r="C145" s="3">
        <f>SUMIF('Raw Data 07-31-2019'!$A$6:$A$254,'Q3 TB-19'!A145,'Raw Data 07-31-2019'!C$6:C$254)</f>
        <v>122330.17</v>
      </c>
      <c r="D145" s="4"/>
      <c r="E145" s="3">
        <f>SUMIF('Raw Data 07-31-2019'!$A$6:$A$254,'Q3 TB-19'!A145,'Raw Data 07-31-2019'!D$6:D$254)</f>
        <v>0</v>
      </c>
      <c r="F145" s="3"/>
      <c r="G145" s="3">
        <f t="shared" si="9"/>
        <v>122330.17</v>
      </c>
      <c r="H145" s="53" t="s">
        <v>438</v>
      </c>
      <c r="J145" s="19"/>
    </row>
    <row r="146" spans="1:10" x14ac:dyDescent="0.75">
      <c r="A146" s="12">
        <v>5060</v>
      </c>
      <c r="B146" s="13" t="s">
        <v>588</v>
      </c>
      <c r="C146" s="3">
        <f>SUMIF('Raw Data 07-31-2019'!$A$6:$A$254,'Q3 TB-19'!A146,'Raw Data 07-31-2019'!C$6:C$254)</f>
        <v>0</v>
      </c>
      <c r="D146" s="4"/>
      <c r="E146" s="3">
        <f>SUMIF('Raw Data 07-31-2019'!$A$6:$A$254,'Q3 TB-19'!A146,'Raw Data 07-31-2019'!D$6:D$254)</f>
        <v>0</v>
      </c>
      <c r="F146" s="3"/>
      <c r="G146" s="3">
        <f t="shared" si="9"/>
        <v>0</v>
      </c>
      <c r="H146" s="53" t="s">
        <v>438</v>
      </c>
      <c r="J146" s="19"/>
    </row>
    <row r="147" spans="1:10" x14ac:dyDescent="0.75">
      <c r="A147" s="12">
        <v>5070</v>
      </c>
      <c r="B147" s="13" t="s">
        <v>589</v>
      </c>
      <c r="C147" s="3">
        <f>SUMIF('Raw Data 07-31-2019'!$A$6:$A$254,'Q3 TB-19'!A147,'Raw Data 07-31-2019'!C$6:C$254)</f>
        <v>0</v>
      </c>
      <c r="D147" s="4"/>
      <c r="E147" s="3">
        <f>SUMIF('Raw Data 07-31-2019'!$A$6:$A$254,'Q3 TB-19'!A147,'Raw Data 07-31-2019'!D$6:D$254)</f>
        <v>0</v>
      </c>
      <c r="F147" s="3"/>
      <c r="G147" s="3">
        <f t="shared" si="9"/>
        <v>0</v>
      </c>
      <c r="H147" s="53" t="s">
        <v>438</v>
      </c>
      <c r="J147" s="19"/>
    </row>
    <row r="148" spans="1:10" x14ac:dyDescent="0.75">
      <c r="A148" s="12">
        <v>5080</v>
      </c>
      <c r="B148" s="13" t="s">
        <v>597</v>
      </c>
      <c r="C148" s="3">
        <f>SUMIF('Raw Data 07-31-2019'!$A$6:$A$254,'Q3 TB-19'!A148,'Raw Data 07-31-2019'!C$6:C$254)</f>
        <v>0</v>
      </c>
      <c r="D148" s="4"/>
      <c r="E148" s="3">
        <f>SUMIF('Raw Data 07-31-2019'!$A$6:$A$254,'Q3 TB-19'!A148,'Raw Data 07-31-2019'!D$6:D$254)</f>
        <v>0</v>
      </c>
      <c r="F148" s="3"/>
      <c r="G148" s="3">
        <f t="shared" si="9"/>
        <v>0</v>
      </c>
      <c r="H148" s="53" t="s">
        <v>438</v>
      </c>
      <c r="J148" s="19"/>
    </row>
    <row r="149" spans="1:10" x14ac:dyDescent="0.75">
      <c r="A149" s="12">
        <v>5085</v>
      </c>
      <c r="B149" s="13" t="s">
        <v>598</v>
      </c>
      <c r="C149" s="3">
        <f>SUMIF('Raw Data 07-31-2019'!$A$6:$A$254,'Q3 TB-19'!A149,'Raw Data 07-31-2019'!C$6:C$254)</f>
        <v>0</v>
      </c>
      <c r="D149" s="4"/>
      <c r="E149" s="3">
        <f>SUMIF('Raw Data 07-31-2019'!$A$6:$A$254,'Q3 TB-19'!A149,'Raw Data 07-31-2019'!D$6:D$254)</f>
        <v>0</v>
      </c>
      <c r="F149" s="3"/>
      <c r="G149" s="3">
        <f t="shared" si="9"/>
        <v>0</v>
      </c>
      <c r="H149" s="53" t="s">
        <v>438</v>
      </c>
      <c r="J149" s="19"/>
    </row>
    <row r="150" spans="1:10" x14ac:dyDescent="0.75">
      <c r="A150" s="12">
        <v>6010</v>
      </c>
      <c r="B150" s="13" t="s">
        <v>590</v>
      </c>
      <c r="C150" s="3">
        <f>SUMIF('Raw Data 07-31-2019'!$A$6:$A$254,'Q3 TB-19'!A150,'Raw Data 07-31-2019'!C$6:C$254)</f>
        <v>9754.42</v>
      </c>
      <c r="D150" s="4"/>
      <c r="E150" s="3">
        <f>SUMIF('Raw Data 07-31-2019'!$A$6:$A$254,'Q3 TB-19'!A150,'Raw Data 07-31-2019'!D$6:D$254)</f>
        <v>0</v>
      </c>
      <c r="F150" s="3"/>
      <c r="G150" s="3">
        <f t="shared" si="9"/>
        <v>9754.42</v>
      </c>
      <c r="H150" s="53" t="s">
        <v>439</v>
      </c>
      <c r="J150" s="19"/>
    </row>
    <row r="151" spans="1:10" x14ac:dyDescent="0.75">
      <c r="A151" s="12">
        <v>6015</v>
      </c>
      <c r="B151" s="13" t="s">
        <v>591</v>
      </c>
      <c r="C151" s="3">
        <f>SUMIF('Raw Data 07-31-2019'!$A$6:$A$254,'Q3 TB-19'!A151,'Raw Data 07-31-2019'!C$6:C$254)</f>
        <v>0</v>
      </c>
      <c r="D151" s="4"/>
      <c r="E151" s="3">
        <f>SUMIF('Raw Data 07-31-2019'!$A$6:$A$254,'Q3 TB-19'!A151,'Raw Data 07-31-2019'!D$6:D$254)</f>
        <v>0</v>
      </c>
      <c r="F151" s="3"/>
      <c r="G151" s="3">
        <f t="shared" si="9"/>
        <v>0</v>
      </c>
      <c r="H151" s="53" t="s">
        <v>439</v>
      </c>
      <c r="J151" s="19"/>
    </row>
    <row r="152" spans="1:10" x14ac:dyDescent="0.75">
      <c r="A152" s="12">
        <v>6020</v>
      </c>
      <c r="B152" s="13" t="s">
        <v>592</v>
      </c>
      <c r="C152" s="3">
        <f>SUMIF('Raw Data 07-31-2019'!$A$6:$A$254,'Q3 TB-19'!A152,'Raw Data 07-31-2019'!C$6:C$254)</f>
        <v>0</v>
      </c>
      <c r="D152" s="4"/>
      <c r="E152" s="3">
        <f>SUMIF('Raw Data 07-31-2019'!$A$6:$A$254,'Q3 TB-19'!A152,'Raw Data 07-31-2019'!D$6:D$254)</f>
        <v>0</v>
      </c>
      <c r="F152" s="3"/>
      <c r="G152" s="3">
        <f t="shared" si="9"/>
        <v>0</v>
      </c>
      <c r="H152" s="53" t="s">
        <v>439</v>
      </c>
      <c r="J152" s="19"/>
    </row>
    <row r="153" spans="1:10" x14ac:dyDescent="0.75">
      <c r="A153" s="12">
        <v>6025</v>
      </c>
      <c r="B153" s="13" t="s">
        <v>593</v>
      </c>
      <c r="C153" s="3">
        <f>SUMIF('Raw Data 07-31-2019'!$A$6:$A$254,'Q3 TB-19'!A153,'Raw Data 07-31-2019'!C$6:C$254)</f>
        <v>922.49</v>
      </c>
      <c r="D153" s="4"/>
      <c r="E153" s="3">
        <f>SUMIF('Raw Data 07-31-2019'!$A$6:$A$254,'Q3 TB-19'!A153,'Raw Data 07-31-2019'!D$6:D$254)</f>
        <v>0</v>
      </c>
      <c r="F153" s="3"/>
      <c r="G153" s="3">
        <f t="shared" si="9"/>
        <v>922.49</v>
      </c>
      <c r="H153" s="53" t="s">
        <v>439</v>
      </c>
      <c r="J153" s="19"/>
    </row>
    <row r="154" spans="1:10" x14ac:dyDescent="0.75">
      <c r="A154" s="12">
        <v>6030</v>
      </c>
      <c r="B154" s="13" t="s">
        <v>594</v>
      </c>
      <c r="C154" s="3">
        <f>SUMIF('Raw Data 07-31-2019'!$A$6:$A$254,'Q3 TB-19'!A154,'Raw Data 07-31-2019'!C$6:C$254)</f>
        <v>2236.83</v>
      </c>
      <c r="D154" s="4"/>
      <c r="E154" s="3">
        <f>SUMIF('Raw Data 07-31-2019'!$A$6:$A$254,'Q3 TB-19'!A154,'Raw Data 07-31-2019'!D$6:D$254)</f>
        <v>0</v>
      </c>
      <c r="F154" s="3"/>
      <c r="G154" s="3">
        <f t="shared" si="9"/>
        <v>2236.83</v>
      </c>
      <c r="H154" s="53" t="s">
        <v>439</v>
      </c>
      <c r="J154" s="19"/>
    </row>
    <row r="155" spans="1:10" x14ac:dyDescent="0.75">
      <c r="A155" s="12">
        <v>6035</v>
      </c>
      <c r="B155" s="13" t="s">
        <v>595</v>
      </c>
      <c r="C155" s="3">
        <f>SUMIF('Raw Data 07-31-2019'!$A$6:$A$254,'Q3 TB-19'!A155,'Raw Data 07-31-2019'!C$6:C$254)</f>
        <v>0</v>
      </c>
      <c r="D155" s="4"/>
      <c r="E155" s="3">
        <f>SUMIF('Raw Data 07-31-2019'!$A$6:$A$254,'Q3 TB-19'!A155,'Raw Data 07-31-2019'!D$6:D$254)</f>
        <v>0</v>
      </c>
      <c r="F155" s="3"/>
      <c r="G155" s="3">
        <f t="shared" si="9"/>
        <v>0</v>
      </c>
      <c r="H155" s="53" t="s">
        <v>439</v>
      </c>
      <c r="J155" s="19"/>
    </row>
    <row r="156" spans="1:10" x14ac:dyDescent="0.75">
      <c r="A156" s="12">
        <v>6040</v>
      </c>
      <c r="B156" s="13" t="s">
        <v>596</v>
      </c>
      <c r="C156" s="3">
        <f>SUMIF('Raw Data 07-31-2019'!$A$6:$A$254,'Q3 TB-19'!A156,'Raw Data 07-31-2019'!C$6:C$254)</f>
        <v>0</v>
      </c>
      <c r="D156" s="4"/>
      <c r="E156" s="3">
        <f>SUMIF('Raw Data 07-31-2019'!$A$6:$A$254,'Q3 TB-19'!A156,'Raw Data 07-31-2019'!D$6:D$254)</f>
        <v>0</v>
      </c>
      <c r="F156" s="3"/>
      <c r="G156" s="3">
        <f t="shared" si="9"/>
        <v>0</v>
      </c>
      <c r="H156" s="53" t="s">
        <v>439</v>
      </c>
      <c r="J156" s="19"/>
    </row>
    <row r="157" spans="1:10" x14ac:dyDescent="0.75">
      <c r="A157" s="12">
        <v>6055</v>
      </c>
      <c r="B157" s="13" t="s">
        <v>599</v>
      </c>
      <c r="C157" s="3">
        <f>SUMIF('Raw Data 07-31-2019'!$A$6:$A$254,'Q3 TB-19'!A157,'Raw Data 07-31-2019'!C$6:C$254)</f>
        <v>598</v>
      </c>
      <c r="D157" s="4"/>
      <c r="E157" s="3">
        <f>SUMIF('Raw Data 07-31-2019'!$A$6:$A$254,'Q3 TB-19'!A157,'Raw Data 07-31-2019'!D$6:D$254)</f>
        <v>0</v>
      </c>
      <c r="F157" s="3"/>
      <c r="G157" s="3">
        <f t="shared" si="9"/>
        <v>598</v>
      </c>
      <c r="H157" s="53" t="s">
        <v>439</v>
      </c>
      <c r="J157" s="19"/>
    </row>
    <row r="158" spans="1:10" x14ac:dyDescent="0.75">
      <c r="A158" s="12">
        <v>6060</v>
      </c>
      <c r="B158" s="13" t="s">
        <v>600</v>
      </c>
      <c r="C158" s="3">
        <f>SUMIF('Raw Data 07-31-2019'!$A$6:$A$254,'Q3 TB-19'!A158,'Raw Data 07-31-2019'!C$6:C$254)</f>
        <v>2605.48</v>
      </c>
      <c r="D158" s="4"/>
      <c r="E158" s="3">
        <f>SUMIF('Raw Data 07-31-2019'!$A$6:$A$254,'Q3 TB-19'!A158,'Raw Data 07-31-2019'!D$6:D$254)</f>
        <v>0</v>
      </c>
      <c r="F158" s="3"/>
      <c r="G158" s="3">
        <f t="shared" si="9"/>
        <v>2605.48</v>
      </c>
      <c r="H158" s="53" t="s">
        <v>439</v>
      </c>
      <c r="J158" s="19"/>
    </row>
    <row r="159" spans="1:10" x14ac:dyDescent="0.75">
      <c r="A159" s="12">
        <v>6065</v>
      </c>
      <c r="B159" s="13" t="s">
        <v>601</v>
      </c>
      <c r="C159" s="3">
        <f>SUMIF('Raw Data 07-31-2019'!$A$6:$A$254,'Q3 TB-19'!A159,'Raw Data 07-31-2019'!C$6:C$254)</f>
        <v>2500</v>
      </c>
      <c r="D159" s="4"/>
      <c r="E159" s="3">
        <f>SUMIF('Raw Data 07-31-2019'!$A$6:$A$254,'Q3 TB-19'!A159,'Raw Data 07-31-2019'!D$6:D$254)</f>
        <v>0</v>
      </c>
      <c r="F159" s="3"/>
      <c r="G159" s="3">
        <f t="shared" si="9"/>
        <v>2500</v>
      </c>
      <c r="H159" s="53" t="s">
        <v>439</v>
      </c>
      <c r="J159" s="19"/>
    </row>
    <row r="160" spans="1:10" x14ac:dyDescent="0.75">
      <c r="A160" s="12">
        <v>6070</v>
      </c>
      <c r="B160" s="13" t="s">
        <v>602</v>
      </c>
      <c r="C160" s="3">
        <f>SUMIF('Raw Data 07-31-2019'!$A$6:$A$254,'Q3 TB-19'!A160,'Raw Data 07-31-2019'!C$6:C$254)</f>
        <v>0</v>
      </c>
      <c r="D160" s="4"/>
      <c r="E160" s="3">
        <f>SUMIF('Raw Data 07-31-2019'!$A$6:$A$254,'Q3 TB-19'!A160,'Raw Data 07-31-2019'!D$6:D$254)</f>
        <v>0</v>
      </c>
      <c r="F160" s="3"/>
      <c r="G160" s="3">
        <f t="shared" si="9"/>
        <v>0</v>
      </c>
      <c r="H160" s="53" t="s">
        <v>439</v>
      </c>
      <c r="J160" s="19"/>
    </row>
    <row r="161" spans="1:10" x14ac:dyDescent="0.75">
      <c r="A161" s="12">
        <v>6075</v>
      </c>
      <c r="B161" s="13" t="s">
        <v>603</v>
      </c>
      <c r="C161" s="3">
        <f>SUMIF('Raw Data 07-31-2019'!$A$6:$A$254,'Q3 TB-19'!A161,'Raw Data 07-31-2019'!C$6:C$254)</f>
        <v>24462.2</v>
      </c>
      <c r="D161" s="4"/>
      <c r="E161" s="3">
        <f>SUMIF('Raw Data 07-31-2019'!$A$6:$A$254,'Q3 TB-19'!A161,'Raw Data 07-31-2019'!D$6:D$254)</f>
        <v>0</v>
      </c>
      <c r="F161" s="3"/>
      <c r="G161" s="3">
        <f t="shared" si="9"/>
        <v>24462.2</v>
      </c>
      <c r="H161" s="53" t="s">
        <v>439</v>
      </c>
      <c r="J161" s="19"/>
    </row>
    <row r="162" spans="1:10" x14ac:dyDescent="0.75">
      <c r="A162" s="12">
        <v>6080</v>
      </c>
      <c r="B162" s="13" t="s">
        <v>604</v>
      </c>
      <c r="C162" s="3">
        <f>SUMIF('Raw Data 07-31-2019'!$A$6:$A$254,'Q3 TB-19'!A162,'Raw Data 07-31-2019'!C$6:C$254)</f>
        <v>0</v>
      </c>
      <c r="D162" s="4"/>
      <c r="E162" s="3">
        <f>SUMIF('Raw Data 07-31-2019'!$A$6:$A$254,'Q3 TB-19'!A162,'Raw Data 07-31-2019'!D$6:D$254)</f>
        <v>0</v>
      </c>
      <c r="F162" s="3"/>
      <c r="G162" s="3">
        <f t="shared" si="9"/>
        <v>0</v>
      </c>
      <c r="H162" s="53" t="s">
        <v>439</v>
      </c>
      <c r="J162" s="19"/>
    </row>
    <row r="163" spans="1:10" x14ac:dyDescent="0.75">
      <c r="A163" s="12">
        <v>6085</v>
      </c>
      <c r="B163" s="13" t="s">
        <v>605</v>
      </c>
      <c r="C163" s="3">
        <f>SUMIF('Raw Data 07-31-2019'!$A$6:$A$254,'Q3 TB-19'!A163,'Raw Data 07-31-2019'!C$6:C$254)</f>
        <v>2135.85</v>
      </c>
      <c r="D163" s="4"/>
      <c r="E163" s="3">
        <f>SUMIF('Raw Data 07-31-2019'!$A$6:$A$254,'Q3 TB-19'!A163,'Raw Data 07-31-2019'!D$6:D$254)</f>
        <v>0</v>
      </c>
      <c r="F163" s="3"/>
      <c r="G163" s="3">
        <f t="shared" si="9"/>
        <v>2135.85</v>
      </c>
      <c r="H163" s="53" t="s">
        <v>439</v>
      </c>
      <c r="J163" s="19"/>
    </row>
    <row r="164" spans="1:10" x14ac:dyDescent="0.75">
      <c r="A164" s="12">
        <v>6090</v>
      </c>
      <c r="B164" s="13" t="s">
        <v>606</v>
      </c>
      <c r="C164" s="3">
        <f>SUMIF('Raw Data 07-31-2019'!$A$6:$A$254,'Q3 TB-19'!A164,'Raw Data 07-31-2019'!C$6:C$254)</f>
        <v>0</v>
      </c>
      <c r="D164" s="4"/>
      <c r="E164" s="3">
        <f>SUMIF('Raw Data 07-31-2019'!$A$6:$A$254,'Q3 TB-19'!A164,'Raw Data 07-31-2019'!D$6:D$254)</f>
        <v>0</v>
      </c>
      <c r="F164" s="3"/>
      <c r="G164" s="3">
        <f t="shared" si="9"/>
        <v>0</v>
      </c>
      <c r="H164" s="53" t="s">
        <v>439</v>
      </c>
      <c r="J164" s="19"/>
    </row>
    <row r="165" spans="1:10" x14ac:dyDescent="0.75">
      <c r="A165" s="12">
        <v>6095</v>
      </c>
      <c r="B165" s="13" t="s">
        <v>607</v>
      </c>
      <c r="C165" s="3">
        <f>SUMIF('Raw Data 07-31-2019'!$A$6:$A$254,'Q3 TB-19'!A165,'Raw Data 07-31-2019'!C$6:C$254)</f>
        <v>0</v>
      </c>
      <c r="D165" s="4"/>
      <c r="E165" s="3">
        <f>SUMIF('Raw Data 07-31-2019'!$A$6:$A$254,'Q3 TB-19'!A165,'Raw Data 07-31-2019'!D$6:D$254)</f>
        <v>0</v>
      </c>
      <c r="F165" s="3"/>
      <c r="G165" s="3">
        <f t="shared" si="9"/>
        <v>0</v>
      </c>
      <c r="H165" s="53" t="s">
        <v>439</v>
      </c>
      <c r="J165" s="19"/>
    </row>
    <row r="166" spans="1:10" x14ac:dyDescent="0.75">
      <c r="A166" s="12">
        <v>6100</v>
      </c>
      <c r="B166" s="13" t="s">
        <v>608</v>
      </c>
      <c r="C166" s="3">
        <f>SUMIF('Raw Data 07-31-2019'!$A$6:$A$254,'Q3 TB-19'!A166,'Raw Data 07-31-2019'!C$6:C$254)</f>
        <v>1224</v>
      </c>
      <c r="D166" s="4"/>
      <c r="E166" s="3">
        <f>SUMIF('Raw Data 07-31-2019'!$A$6:$A$254,'Q3 TB-19'!A166,'Raw Data 07-31-2019'!D$6:D$254)</f>
        <v>0</v>
      </c>
      <c r="F166" s="3"/>
      <c r="G166" s="3">
        <f t="shared" si="9"/>
        <v>1224</v>
      </c>
      <c r="H166" s="53" t="s">
        <v>439</v>
      </c>
      <c r="J166" s="19"/>
    </row>
    <row r="167" spans="1:10" x14ac:dyDescent="0.75">
      <c r="A167" s="12">
        <v>6105</v>
      </c>
      <c r="B167" s="13" t="s">
        <v>609</v>
      </c>
      <c r="C167" s="3">
        <f>SUMIF('Raw Data 07-31-2019'!$A$6:$A$254,'Q3 TB-19'!A167,'Raw Data 07-31-2019'!C$6:C$254)</f>
        <v>3339.88</v>
      </c>
      <c r="D167" s="4"/>
      <c r="E167" s="3">
        <f>SUMIF('Raw Data 07-31-2019'!$A$6:$A$254,'Q3 TB-19'!A167,'Raw Data 07-31-2019'!D$6:D$254)</f>
        <v>0</v>
      </c>
      <c r="F167" s="3"/>
      <c r="G167" s="3">
        <f t="shared" si="9"/>
        <v>3339.88</v>
      </c>
      <c r="H167" s="53" t="s">
        <v>439</v>
      </c>
      <c r="J167" s="19"/>
    </row>
    <row r="168" spans="1:10" x14ac:dyDescent="0.75">
      <c r="A168" s="12">
        <v>6110</v>
      </c>
      <c r="B168" s="13" t="s">
        <v>610</v>
      </c>
      <c r="C168" s="3">
        <f>SUMIF('Raw Data 07-31-2019'!$A$6:$A$254,'Q3 TB-19'!A168,'Raw Data 07-31-2019'!C$6:C$254)</f>
        <v>0</v>
      </c>
      <c r="D168" s="4"/>
      <c r="E168" s="3">
        <f>SUMIF('Raw Data 07-31-2019'!$A$6:$A$254,'Q3 TB-19'!A168,'Raw Data 07-31-2019'!D$6:D$254)</f>
        <v>0</v>
      </c>
      <c r="F168" s="3"/>
      <c r="G168" s="3">
        <f t="shared" si="9"/>
        <v>0</v>
      </c>
      <c r="H168" s="53" t="s">
        <v>439</v>
      </c>
      <c r="J168" s="19"/>
    </row>
    <row r="169" spans="1:10" x14ac:dyDescent="0.75">
      <c r="A169" s="12">
        <v>6115</v>
      </c>
      <c r="B169" s="13" t="s">
        <v>611</v>
      </c>
      <c r="C169" s="3">
        <f>SUMIF('Raw Data 07-31-2019'!$A$6:$A$254,'Q3 TB-19'!A169,'Raw Data 07-31-2019'!C$6:C$254)</f>
        <v>3111.42</v>
      </c>
      <c r="D169" s="4"/>
      <c r="E169" s="3">
        <f>SUMIF('Raw Data 07-31-2019'!$A$6:$A$254,'Q3 TB-19'!A169,'Raw Data 07-31-2019'!D$6:D$254)</f>
        <v>0</v>
      </c>
      <c r="F169" s="3"/>
      <c r="G169" s="3">
        <f t="shared" si="9"/>
        <v>3111.42</v>
      </c>
      <c r="H169" s="53" t="s">
        <v>439</v>
      </c>
      <c r="J169" s="19"/>
    </row>
    <row r="170" spans="1:10" x14ac:dyDescent="0.75">
      <c r="A170" s="12">
        <v>6120</v>
      </c>
      <c r="B170" s="13" t="s">
        <v>612</v>
      </c>
      <c r="C170" s="3">
        <f>SUMIF('Raw Data 07-31-2019'!$A$6:$A$254,'Q3 TB-19'!A170,'Raw Data 07-31-2019'!C$6:C$254)</f>
        <v>0</v>
      </c>
      <c r="D170" s="4"/>
      <c r="E170" s="3">
        <f>SUMIF('Raw Data 07-31-2019'!$A$6:$A$254,'Q3 TB-19'!A170,'Raw Data 07-31-2019'!D$6:D$254)</f>
        <v>401.63</v>
      </c>
      <c r="F170" s="3"/>
      <c r="G170" s="3">
        <f t="shared" si="9"/>
        <v>-401.63</v>
      </c>
      <c r="H170" s="53" t="s">
        <v>439</v>
      </c>
      <c r="J170" s="19"/>
    </row>
    <row r="171" spans="1:10" x14ac:dyDescent="0.75">
      <c r="A171" s="12">
        <v>6125</v>
      </c>
      <c r="B171" s="13" t="s">
        <v>613</v>
      </c>
      <c r="C171" s="3">
        <f>SUMIF('Raw Data 07-31-2019'!$A$6:$A$254,'Q3 TB-19'!A171,'Raw Data 07-31-2019'!C$6:C$254)</f>
        <v>0</v>
      </c>
      <c r="D171" s="4"/>
      <c r="E171" s="3">
        <f>SUMIF('Raw Data 07-31-2019'!$A$6:$A$254,'Q3 TB-19'!A171,'Raw Data 07-31-2019'!D$6:D$254)</f>
        <v>0</v>
      </c>
      <c r="F171" s="3"/>
      <c r="G171" s="3">
        <f t="shared" si="9"/>
        <v>0</v>
      </c>
      <c r="H171" s="53" t="s">
        <v>439</v>
      </c>
      <c r="J171" s="19"/>
    </row>
    <row r="172" spans="1:10" x14ac:dyDescent="0.75">
      <c r="A172" s="12">
        <v>6130</v>
      </c>
      <c r="B172" s="13" t="s">
        <v>614</v>
      </c>
      <c r="C172" s="3">
        <f>SUMIF('Raw Data 07-31-2019'!$A$6:$A$254,'Q3 TB-19'!A172,'Raw Data 07-31-2019'!C$6:C$254)</f>
        <v>0</v>
      </c>
      <c r="D172" s="4"/>
      <c r="E172" s="3">
        <f>SUMIF('Raw Data 07-31-2019'!$A$6:$A$254,'Q3 TB-19'!A172,'Raw Data 07-31-2019'!D$6:D$254)</f>
        <v>0</v>
      </c>
      <c r="F172" s="3"/>
      <c r="G172" s="3">
        <f t="shared" si="9"/>
        <v>0</v>
      </c>
      <c r="H172" s="53" t="s">
        <v>439</v>
      </c>
      <c r="J172" s="19"/>
    </row>
    <row r="173" spans="1:10" x14ac:dyDescent="0.75">
      <c r="A173" s="12">
        <v>6135</v>
      </c>
      <c r="B173" s="13" t="s">
        <v>615</v>
      </c>
      <c r="C173" s="3">
        <f>SUMIF('Raw Data 07-31-2019'!$A$6:$A$254,'Q3 TB-19'!A173,'Raw Data 07-31-2019'!C$6:C$254)</f>
        <v>7371.44</v>
      </c>
      <c r="D173" s="4"/>
      <c r="E173" s="3">
        <f>SUMIF('Raw Data 07-31-2019'!$A$6:$A$254,'Q3 TB-19'!A173,'Raw Data 07-31-2019'!D$6:D$254)</f>
        <v>0</v>
      </c>
      <c r="F173" s="3"/>
      <c r="G173" s="3">
        <f t="shared" si="9"/>
        <v>7371.44</v>
      </c>
      <c r="H173" s="53" t="s">
        <v>439</v>
      </c>
      <c r="J173" s="19"/>
    </row>
    <row r="174" spans="1:10" x14ac:dyDescent="0.75">
      <c r="A174" s="12">
        <v>6140</v>
      </c>
      <c r="B174" s="13" t="s">
        <v>616</v>
      </c>
      <c r="C174" s="3">
        <f>SUMIF('Raw Data 07-31-2019'!$A$6:$A$254,'Q3 TB-19'!A174,'Raw Data 07-31-2019'!C$6:C$254)</f>
        <v>0</v>
      </c>
      <c r="D174" s="4"/>
      <c r="E174" s="3">
        <f>SUMIF('Raw Data 07-31-2019'!$A$6:$A$254,'Q3 TB-19'!A174,'Raw Data 07-31-2019'!D$6:D$254)</f>
        <v>0</v>
      </c>
      <c r="F174" s="3"/>
      <c r="G174" s="3">
        <f t="shared" si="9"/>
        <v>0</v>
      </c>
      <c r="H174" s="53" t="s">
        <v>439</v>
      </c>
      <c r="J174" s="19"/>
    </row>
    <row r="175" spans="1:10" x14ac:dyDescent="0.75">
      <c r="A175" s="12">
        <v>6145</v>
      </c>
      <c r="B175" s="13" t="s">
        <v>617</v>
      </c>
      <c r="C175" s="3">
        <f>SUMIF('Raw Data 07-31-2019'!$A$6:$A$254,'Q3 TB-19'!A175,'Raw Data 07-31-2019'!C$6:C$254)</f>
        <v>0</v>
      </c>
      <c r="D175" s="4"/>
      <c r="E175" s="3">
        <f>SUMIF('Raw Data 07-31-2019'!$A$6:$A$254,'Q3 TB-19'!A175,'Raw Data 07-31-2019'!D$6:D$254)</f>
        <v>0</v>
      </c>
      <c r="F175" s="3"/>
      <c r="G175" s="3">
        <f t="shared" si="9"/>
        <v>0</v>
      </c>
      <c r="H175" s="53" t="s">
        <v>439</v>
      </c>
      <c r="J175" s="19"/>
    </row>
    <row r="176" spans="1:10" x14ac:dyDescent="0.75">
      <c r="A176" s="12">
        <v>6150</v>
      </c>
      <c r="B176" s="13" t="s">
        <v>618</v>
      </c>
      <c r="C176" s="3">
        <f>SUMIF('Raw Data 07-31-2019'!$A$6:$A$254,'Q3 TB-19'!A176,'Raw Data 07-31-2019'!C$6:C$254)</f>
        <v>5477</v>
      </c>
      <c r="D176" s="4"/>
      <c r="E176" s="3">
        <f>SUMIF('Raw Data 07-31-2019'!$A$6:$A$254,'Q3 TB-19'!A176,'Raw Data 07-31-2019'!D$6:D$254)</f>
        <v>0</v>
      </c>
      <c r="F176" s="3"/>
      <c r="G176" s="3">
        <f t="shared" si="9"/>
        <v>5477</v>
      </c>
      <c r="H176" s="53" t="s">
        <v>439</v>
      </c>
      <c r="J176" s="19"/>
    </row>
    <row r="177" spans="1:10" x14ac:dyDescent="0.75">
      <c r="A177" s="12">
        <v>6155</v>
      </c>
      <c r="B177" s="13" t="s">
        <v>619</v>
      </c>
      <c r="C177" s="3">
        <f>SUMIF('Raw Data 07-31-2019'!$A$6:$A$254,'Q3 TB-19'!A177,'Raw Data 07-31-2019'!C$6:C$254)</f>
        <v>9186.68</v>
      </c>
      <c r="D177" s="4"/>
      <c r="E177" s="3">
        <f>SUMIF('Raw Data 07-31-2019'!$A$6:$A$254,'Q3 TB-19'!A177,'Raw Data 07-31-2019'!D$6:D$254)</f>
        <v>0</v>
      </c>
      <c r="F177" s="3"/>
      <c r="G177" s="3">
        <f t="shared" si="9"/>
        <v>9186.68</v>
      </c>
      <c r="H177" s="53" t="s">
        <v>439</v>
      </c>
      <c r="J177" s="19"/>
    </row>
    <row r="178" spans="1:10" x14ac:dyDescent="0.75">
      <c r="A178" s="12">
        <v>6200</v>
      </c>
      <c r="B178" s="13" t="s">
        <v>625</v>
      </c>
      <c r="C178" s="3">
        <f>SUMIF('Raw Data 07-31-2019'!$A$6:$A$254,'Q3 TB-19'!A178,'Raw Data 07-31-2019'!C$6:C$254)</f>
        <v>0</v>
      </c>
      <c r="D178" s="4"/>
      <c r="E178" s="3">
        <f>SUMIF('Raw Data 07-31-2019'!$A$6:$A$254,'Q3 TB-19'!A178,'Raw Data 07-31-2019'!D$6:D$254)</f>
        <v>0</v>
      </c>
      <c r="F178" s="3"/>
      <c r="G178" s="3">
        <f t="shared" si="9"/>
        <v>0</v>
      </c>
      <c r="H178" s="53" t="s">
        <v>439</v>
      </c>
      <c r="J178" s="19"/>
    </row>
    <row r="179" spans="1:10" x14ac:dyDescent="0.75">
      <c r="A179" s="12">
        <v>6205</v>
      </c>
      <c r="B179" s="13" t="s">
        <v>626</v>
      </c>
      <c r="C179" s="3">
        <f>SUMIF('Raw Data 07-31-2019'!$A$6:$A$254,'Q3 TB-19'!A179,'Raw Data 07-31-2019'!C$6:C$254)</f>
        <v>0</v>
      </c>
      <c r="D179" s="4"/>
      <c r="E179" s="3">
        <f>SUMIF('Raw Data 07-31-2019'!$A$6:$A$254,'Q3 TB-19'!A179,'Raw Data 07-31-2019'!D$6:D$254)</f>
        <v>0</v>
      </c>
      <c r="F179" s="3"/>
      <c r="G179" s="3">
        <f t="shared" si="9"/>
        <v>0</v>
      </c>
      <c r="H179" s="53" t="s">
        <v>439</v>
      </c>
      <c r="J179" s="19"/>
    </row>
    <row r="180" spans="1:10" x14ac:dyDescent="0.75">
      <c r="A180" s="12">
        <v>6210</v>
      </c>
      <c r="B180" s="13" t="s">
        <v>627</v>
      </c>
      <c r="C180" s="3">
        <f>SUMIF('Raw Data 07-31-2019'!$A$6:$A$254,'Q3 TB-19'!A180,'Raw Data 07-31-2019'!C$6:C$254)</f>
        <v>835</v>
      </c>
      <c r="D180" s="4"/>
      <c r="E180" s="3">
        <f>SUMIF('Raw Data 07-31-2019'!$A$6:$A$254,'Q3 TB-19'!A180,'Raw Data 07-31-2019'!D$6:D$254)</f>
        <v>0</v>
      </c>
      <c r="F180" s="3"/>
      <c r="G180" s="3">
        <f t="shared" si="9"/>
        <v>835</v>
      </c>
      <c r="H180" s="53" t="s">
        <v>439</v>
      </c>
      <c r="J180" s="19"/>
    </row>
    <row r="181" spans="1:10" x14ac:dyDescent="0.75">
      <c r="A181" s="12">
        <v>6215</v>
      </c>
      <c r="B181" s="13" t="s">
        <v>628</v>
      </c>
      <c r="C181" s="3">
        <f>SUMIF('Raw Data 07-31-2019'!$A$6:$A$254,'Q3 TB-19'!A181,'Raw Data 07-31-2019'!C$6:C$254)</f>
        <v>1735.41</v>
      </c>
      <c r="D181" s="4"/>
      <c r="E181" s="3">
        <f>SUMIF('Raw Data 07-31-2019'!$A$6:$A$254,'Q3 TB-19'!A181,'Raw Data 07-31-2019'!D$6:D$254)</f>
        <v>0</v>
      </c>
      <c r="F181" s="3"/>
      <c r="G181" s="3">
        <f t="shared" si="9"/>
        <v>1735.41</v>
      </c>
      <c r="H181" s="53" t="s">
        <v>439</v>
      </c>
      <c r="J181" s="19"/>
    </row>
    <row r="182" spans="1:10" x14ac:dyDescent="0.75">
      <c r="A182" s="12">
        <v>6220</v>
      </c>
      <c r="B182" s="13" t="s">
        <v>629</v>
      </c>
      <c r="C182" s="3">
        <f>SUMIF('Raw Data 07-31-2019'!$A$6:$A$254,'Q3 TB-19'!A182,'Raw Data 07-31-2019'!C$6:C$254)</f>
        <v>4593.0200000000004</v>
      </c>
      <c r="D182" s="4"/>
      <c r="E182" s="3">
        <f>SUMIF('Raw Data 07-31-2019'!$A$6:$A$254,'Q3 TB-19'!A182,'Raw Data 07-31-2019'!D$6:D$254)</f>
        <v>0</v>
      </c>
      <c r="F182" s="3"/>
      <c r="G182" s="3">
        <f t="shared" si="9"/>
        <v>4593.0200000000004</v>
      </c>
      <c r="H182" s="53" t="s">
        <v>439</v>
      </c>
      <c r="J182" s="19"/>
    </row>
    <row r="183" spans="1:10" x14ac:dyDescent="0.75">
      <c r="A183" s="12">
        <v>6225</v>
      </c>
      <c r="B183" s="13" t="s">
        <v>630</v>
      </c>
      <c r="C183" s="3">
        <f>SUMIF('Raw Data 07-31-2019'!$A$6:$A$254,'Q3 TB-19'!A183,'Raw Data 07-31-2019'!C$6:C$254)</f>
        <v>0</v>
      </c>
      <c r="D183" s="4"/>
      <c r="E183" s="3">
        <f>SUMIF('Raw Data 07-31-2019'!$A$6:$A$254,'Q3 TB-19'!A183,'Raw Data 07-31-2019'!D$6:D$254)</f>
        <v>0</v>
      </c>
      <c r="F183" s="3"/>
      <c r="G183" s="3">
        <f t="shared" si="9"/>
        <v>0</v>
      </c>
      <c r="H183" s="53" t="s">
        <v>439</v>
      </c>
      <c r="J183" s="19"/>
    </row>
    <row r="184" spans="1:10" x14ac:dyDescent="0.75">
      <c r="A184" s="12">
        <v>6230</v>
      </c>
      <c r="B184" s="13" t="s">
        <v>631</v>
      </c>
      <c r="C184" s="3">
        <f>SUMIF('Raw Data 07-31-2019'!$A$6:$A$254,'Q3 TB-19'!A184,'Raw Data 07-31-2019'!C$6:C$254)</f>
        <v>0</v>
      </c>
      <c r="D184" s="4"/>
      <c r="E184" s="3">
        <f>SUMIF('Raw Data 07-31-2019'!$A$6:$A$254,'Q3 TB-19'!A184,'Raw Data 07-31-2019'!D$6:D$254)</f>
        <v>0</v>
      </c>
      <c r="F184" s="3"/>
      <c r="G184" s="3">
        <f t="shared" si="9"/>
        <v>0</v>
      </c>
      <c r="H184" s="53" t="s">
        <v>439</v>
      </c>
      <c r="J184" s="19"/>
    </row>
    <row r="185" spans="1:10" x14ac:dyDescent="0.75">
      <c r="A185" s="12">
        <v>6235</v>
      </c>
      <c r="B185" s="13" t="s">
        <v>632</v>
      </c>
      <c r="C185" s="3">
        <f>SUMIF('Raw Data 07-31-2019'!$A$6:$A$254,'Q3 TB-19'!A185,'Raw Data 07-31-2019'!C$6:C$254)</f>
        <v>0</v>
      </c>
      <c r="D185" s="4"/>
      <c r="E185" s="3">
        <f>SUMIF('Raw Data 07-31-2019'!$A$6:$A$254,'Q3 TB-19'!A185,'Raw Data 07-31-2019'!D$6:D$254)</f>
        <v>0</v>
      </c>
      <c r="F185" s="3"/>
      <c r="G185" s="3">
        <f t="shared" si="9"/>
        <v>0</v>
      </c>
      <c r="H185" s="53" t="s">
        <v>439</v>
      </c>
      <c r="J185" s="19"/>
    </row>
    <row r="186" spans="1:10" x14ac:dyDescent="0.75">
      <c r="A186" s="12">
        <v>6240</v>
      </c>
      <c r="B186" s="13" t="s">
        <v>633</v>
      </c>
      <c r="C186" s="3">
        <f>SUMIF('Raw Data 07-31-2019'!$A$6:$A$254,'Q3 TB-19'!A186,'Raw Data 07-31-2019'!C$6:C$254)</f>
        <v>0</v>
      </c>
      <c r="D186" s="4"/>
      <c r="E186" s="3">
        <f>SUMIF('Raw Data 07-31-2019'!$A$6:$A$254,'Q3 TB-19'!A186,'Raw Data 07-31-2019'!D$6:D$254)</f>
        <v>0</v>
      </c>
      <c r="F186" s="3"/>
      <c r="G186" s="3">
        <f t="shared" si="9"/>
        <v>0</v>
      </c>
      <c r="H186" s="53" t="s">
        <v>439</v>
      </c>
      <c r="J186" s="19"/>
    </row>
    <row r="187" spans="1:10" x14ac:dyDescent="0.75">
      <c r="A187" s="12">
        <v>6245</v>
      </c>
      <c r="B187" s="13" t="s">
        <v>634</v>
      </c>
      <c r="C187" s="3">
        <f>SUMIF('Raw Data 07-31-2019'!$A$6:$A$254,'Q3 TB-19'!A187,'Raw Data 07-31-2019'!C$6:C$254)</f>
        <v>1580.02</v>
      </c>
      <c r="D187" s="4"/>
      <c r="E187" s="3">
        <f>SUMIF('Raw Data 07-31-2019'!$A$6:$A$254,'Q3 TB-19'!A187,'Raw Data 07-31-2019'!D$6:D$254)</f>
        <v>0</v>
      </c>
      <c r="F187" s="3"/>
      <c r="G187" s="3">
        <f t="shared" si="9"/>
        <v>1580.02</v>
      </c>
      <c r="H187" s="53" t="s">
        <v>439</v>
      </c>
      <c r="J187" s="19"/>
    </row>
    <row r="188" spans="1:10" x14ac:dyDescent="0.75">
      <c r="A188" s="12">
        <v>6250</v>
      </c>
      <c r="B188" s="13" t="s">
        <v>635</v>
      </c>
      <c r="C188" s="3">
        <f>SUMIF('Raw Data 07-31-2019'!$A$6:$A$254,'Q3 TB-19'!A188,'Raw Data 07-31-2019'!C$6:C$254)</f>
        <v>0</v>
      </c>
      <c r="D188" s="4"/>
      <c r="E188" s="3">
        <f>SUMIF('Raw Data 07-31-2019'!$A$6:$A$254,'Q3 TB-19'!A188,'Raw Data 07-31-2019'!D$6:D$254)</f>
        <v>0</v>
      </c>
      <c r="F188" s="3"/>
      <c r="G188" s="3">
        <f t="shared" si="9"/>
        <v>0</v>
      </c>
      <c r="H188" s="53" t="s">
        <v>439</v>
      </c>
      <c r="J188" s="19"/>
    </row>
    <row r="189" spans="1:10" x14ac:dyDescent="0.75">
      <c r="A189" s="14">
        <v>6255</v>
      </c>
      <c r="B189" s="13" t="s">
        <v>636</v>
      </c>
      <c r="C189" s="3">
        <f>SUMIF('Raw Data 07-31-2019'!$A$6:$A$254,'Q3 TB-19'!A189,'Raw Data 07-31-2019'!C$6:C$254)</f>
        <v>58.68</v>
      </c>
      <c r="D189" s="4"/>
      <c r="E189" s="3">
        <f>SUMIF('Raw Data 07-31-2019'!$A$6:$A$254,'Q3 TB-19'!A189,'Raw Data 07-31-2019'!D$6:D$254)</f>
        <v>0</v>
      </c>
      <c r="F189" s="3"/>
      <c r="G189" s="3">
        <f t="shared" si="9"/>
        <v>58.68</v>
      </c>
      <c r="H189" s="53" t="s">
        <v>439</v>
      </c>
      <c r="J189" s="19"/>
    </row>
    <row r="190" spans="1:10" x14ac:dyDescent="0.75">
      <c r="A190" s="14">
        <v>6260</v>
      </c>
      <c r="B190" s="13" t="s">
        <v>637</v>
      </c>
      <c r="C190" s="3">
        <f>SUMIF('Raw Data 07-31-2019'!$A$6:$A$254,'Q3 TB-19'!A190,'Raw Data 07-31-2019'!C$6:C$254)</f>
        <v>261.17</v>
      </c>
      <c r="D190" s="4"/>
      <c r="E190" s="3">
        <f>SUMIF('Raw Data 07-31-2019'!$A$6:$A$254,'Q3 TB-19'!A190,'Raw Data 07-31-2019'!D$6:D$254)</f>
        <v>0</v>
      </c>
      <c r="F190" s="3"/>
      <c r="G190" s="3">
        <f t="shared" si="9"/>
        <v>261.17</v>
      </c>
      <c r="H190" s="53" t="s">
        <v>439</v>
      </c>
      <c r="J190" s="19"/>
    </row>
    <row r="191" spans="1:10" x14ac:dyDescent="0.75">
      <c r="A191" s="14">
        <v>6265</v>
      </c>
      <c r="B191" s="13" t="s">
        <v>638</v>
      </c>
      <c r="C191" s="3">
        <f>SUMIF('Raw Data 07-31-2019'!$A$6:$A$254,'Q3 TB-19'!A191,'Raw Data 07-31-2019'!C$6:C$254)</f>
        <v>14.5</v>
      </c>
      <c r="D191" s="4"/>
      <c r="E191" s="3">
        <f>SUMIF('Raw Data 07-31-2019'!$A$6:$A$254,'Q3 TB-19'!A191,'Raw Data 07-31-2019'!D$6:D$254)</f>
        <v>0</v>
      </c>
      <c r="F191" s="3"/>
      <c r="G191" s="3">
        <f t="shared" si="9"/>
        <v>14.5</v>
      </c>
      <c r="H191" s="53" t="s">
        <v>439</v>
      </c>
      <c r="J191" s="19"/>
    </row>
    <row r="192" spans="1:10" x14ac:dyDescent="0.75">
      <c r="A192" s="14">
        <v>6270</v>
      </c>
      <c r="B192" s="13" t="s">
        <v>639</v>
      </c>
      <c r="C192" s="3">
        <f>SUMIF('Raw Data 07-31-2019'!$A$6:$A$254,'Q3 TB-19'!A192,'Raw Data 07-31-2019'!C$6:C$254)</f>
        <v>73185</v>
      </c>
      <c r="D192" s="4"/>
      <c r="E192" s="3">
        <f>SUMIF('Raw Data 07-31-2019'!$A$6:$A$254,'Q3 TB-19'!A192,'Raw Data 07-31-2019'!D$6:D$254)</f>
        <v>0</v>
      </c>
      <c r="F192" s="3"/>
      <c r="G192" s="3">
        <f t="shared" si="9"/>
        <v>73185</v>
      </c>
      <c r="H192" s="53" t="s">
        <v>439</v>
      </c>
      <c r="J192" s="19"/>
    </row>
    <row r="193" spans="1:10" s="6" customFormat="1" x14ac:dyDescent="0.75">
      <c r="A193" s="12">
        <v>6275</v>
      </c>
      <c r="B193" s="13" t="s">
        <v>640</v>
      </c>
      <c r="C193" s="3">
        <f>SUMIF('Raw Data 07-31-2019'!$A$6:$A$254,'Q3 TB-19'!A193,'Raw Data 07-31-2019'!C$6:C$254)</f>
        <v>78031.520000000004</v>
      </c>
      <c r="D193" s="4"/>
      <c r="E193" s="3">
        <f>SUMIF('Raw Data 07-31-2019'!$A$6:$A$254,'Q3 TB-19'!A193,'Raw Data 07-31-2019'!D$6:D$254)</f>
        <v>0</v>
      </c>
      <c r="F193" s="3"/>
      <c r="G193" s="3">
        <f t="shared" si="9"/>
        <v>78031.520000000004</v>
      </c>
      <c r="H193" s="53" t="s">
        <v>439</v>
      </c>
      <c r="I193"/>
      <c r="J193" s="19"/>
    </row>
    <row r="194" spans="1:10" x14ac:dyDescent="0.75">
      <c r="A194" s="14">
        <v>6280</v>
      </c>
      <c r="B194" s="13" t="s">
        <v>641</v>
      </c>
      <c r="C194" s="3">
        <f>SUMIF('Raw Data 07-31-2019'!$A$6:$A$254,'Q3 TB-19'!A194,'Raw Data 07-31-2019'!C$6:C$254)</f>
        <v>18345</v>
      </c>
      <c r="D194" s="4"/>
      <c r="E194" s="3">
        <f>SUMIF('Raw Data 07-31-2019'!$A$6:$A$254,'Q3 TB-19'!A194,'Raw Data 07-31-2019'!D$6:D$254)</f>
        <v>0</v>
      </c>
      <c r="F194" s="3"/>
      <c r="G194" s="3">
        <f t="shared" si="9"/>
        <v>18345</v>
      </c>
      <c r="H194" s="53" t="s">
        <v>439</v>
      </c>
      <c r="J194" s="19"/>
    </row>
    <row r="195" spans="1:10" x14ac:dyDescent="0.75">
      <c r="A195" s="12">
        <v>6285</v>
      </c>
      <c r="B195" s="13" t="s">
        <v>642</v>
      </c>
      <c r="C195" s="3">
        <f>SUMIF('Raw Data 07-31-2019'!$A$6:$A$254,'Q3 TB-19'!A195,'Raw Data 07-31-2019'!C$6:C$254)</f>
        <v>0</v>
      </c>
      <c r="D195" s="4"/>
      <c r="E195" s="3">
        <f>SUMIF('Raw Data 07-31-2019'!$A$6:$A$254,'Q3 TB-19'!A195,'Raw Data 07-31-2019'!D$6:D$254)</f>
        <v>0</v>
      </c>
      <c r="F195" s="3"/>
      <c r="G195" s="3">
        <f t="shared" si="9"/>
        <v>0</v>
      </c>
      <c r="H195" s="53" t="s">
        <v>439</v>
      </c>
      <c r="J195" s="19"/>
    </row>
    <row r="196" spans="1:10" x14ac:dyDescent="0.75">
      <c r="A196" s="14">
        <v>6290</v>
      </c>
      <c r="B196" s="13" t="s">
        <v>643</v>
      </c>
      <c r="C196" s="3">
        <f>SUMIF('Raw Data 07-31-2019'!$A$6:$A$254,'Q3 TB-19'!A196,'Raw Data 07-31-2019'!C$6:C$254)</f>
        <v>0</v>
      </c>
      <c r="D196" s="4"/>
      <c r="E196" s="3">
        <f>SUMIF('Raw Data 07-31-2019'!$A$6:$A$254,'Q3 TB-19'!A196,'Raw Data 07-31-2019'!D$6:D$254)</f>
        <v>0</v>
      </c>
      <c r="F196" s="3"/>
      <c r="G196" s="3">
        <f t="shared" si="9"/>
        <v>0</v>
      </c>
      <c r="H196" s="53" t="s">
        <v>439</v>
      </c>
      <c r="J196" s="19"/>
    </row>
    <row r="197" spans="1:10" x14ac:dyDescent="0.75">
      <c r="A197" s="14">
        <v>6295</v>
      </c>
      <c r="B197" s="13" t="s">
        <v>644</v>
      </c>
      <c r="C197" s="3">
        <f>SUMIF('Raw Data 07-31-2019'!$A$6:$A$254,'Q3 TB-19'!A197,'Raw Data 07-31-2019'!C$6:C$254)</f>
        <v>635</v>
      </c>
      <c r="D197" s="4"/>
      <c r="E197" s="3">
        <f>SUMIF('Raw Data 07-31-2019'!$A$6:$A$254,'Q3 TB-19'!A197,'Raw Data 07-31-2019'!D$6:D$254)</f>
        <v>0</v>
      </c>
      <c r="F197" s="3"/>
      <c r="G197" s="3">
        <f t="shared" si="9"/>
        <v>635</v>
      </c>
      <c r="H197" s="53" t="s">
        <v>439</v>
      </c>
      <c r="I197" s="6"/>
      <c r="J197" s="19"/>
    </row>
    <row r="198" spans="1:10" x14ac:dyDescent="0.75">
      <c r="A198" s="14">
        <v>6300</v>
      </c>
      <c r="B198" s="13" t="s">
        <v>645</v>
      </c>
      <c r="C198" s="3">
        <f>SUMIF('Raw Data 07-31-2019'!$A$6:$A$254,'Q3 TB-19'!A198,'Raw Data 07-31-2019'!C$6:C$254)</f>
        <v>5817.62</v>
      </c>
      <c r="D198" s="4"/>
      <c r="E198" s="3">
        <f>SUMIF('Raw Data 07-31-2019'!$A$6:$A$254,'Q3 TB-19'!A198,'Raw Data 07-31-2019'!D$6:D$254)</f>
        <v>0</v>
      </c>
      <c r="F198" s="3"/>
      <c r="G198" s="3">
        <f t="shared" si="9"/>
        <v>5817.62</v>
      </c>
      <c r="H198" s="53" t="s">
        <v>439</v>
      </c>
      <c r="J198" s="19"/>
    </row>
    <row r="199" spans="1:10" x14ac:dyDescent="0.75">
      <c r="A199" s="14">
        <v>6305</v>
      </c>
      <c r="B199" s="13" t="s">
        <v>646</v>
      </c>
      <c r="C199" s="3">
        <f>SUMIF('Raw Data 07-31-2019'!$A$6:$A$254,'Q3 TB-19'!A199,'Raw Data 07-31-2019'!C$6:C$254)</f>
        <v>0</v>
      </c>
      <c r="D199" s="4"/>
      <c r="E199" s="3">
        <f>SUMIF('Raw Data 07-31-2019'!$A$6:$A$254,'Q3 TB-19'!A199,'Raw Data 07-31-2019'!D$6:D$254)</f>
        <v>0</v>
      </c>
      <c r="F199" s="3"/>
      <c r="G199" s="3">
        <f t="shared" si="9"/>
        <v>0</v>
      </c>
      <c r="H199" s="53" t="s">
        <v>439</v>
      </c>
      <c r="J199" s="19"/>
    </row>
    <row r="200" spans="1:10" x14ac:dyDescent="0.75">
      <c r="A200" s="12">
        <v>6310</v>
      </c>
      <c r="B200" s="13" t="s">
        <v>647</v>
      </c>
      <c r="C200" s="3">
        <f>SUMIF('Raw Data 07-31-2019'!$A$6:$A$254,'Q3 TB-19'!A200,'Raw Data 07-31-2019'!C$6:C$254)</f>
        <v>0</v>
      </c>
      <c r="D200" s="4"/>
      <c r="E200" s="3">
        <f>SUMIF('Raw Data 07-31-2019'!$A$6:$A$254,'Q3 TB-19'!A200,'Raw Data 07-31-2019'!D$6:D$254)</f>
        <v>0</v>
      </c>
      <c r="F200" s="3"/>
      <c r="G200" s="3">
        <f t="shared" si="9"/>
        <v>0</v>
      </c>
      <c r="H200" s="53" t="s">
        <v>439</v>
      </c>
      <c r="J200" s="19"/>
    </row>
    <row r="201" spans="1:10" x14ac:dyDescent="0.75">
      <c r="A201" s="14">
        <v>6315</v>
      </c>
      <c r="B201" s="13" t="s">
        <v>648</v>
      </c>
      <c r="C201" s="3">
        <f>SUMIF('Raw Data 07-31-2019'!$A$6:$A$254,'Q3 TB-19'!A201,'Raw Data 07-31-2019'!C$6:C$254)</f>
        <v>27580.87</v>
      </c>
      <c r="D201" s="4"/>
      <c r="E201" s="3">
        <f>SUMIF('Raw Data 07-31-2019'!$A$6:$A$254,'Q3 TB-19'!A201,'Raw Data 07-31-2019'!D$6:D$254)</f>
        <v>0</v>
      </c>
      <c r="F201" s="3"/>
      <c r="G201" s="3">
        <f t="shared" si="9"/>
        <v>27580.87</v>
      </c>
      <c r="H201" s="53" t="s">
        <v>439</v>
      </c>
      <c r="J201" s="19"/>
    </row>
    <row r="202" spans="1:10" x14ac:dyDescent="0.75">
      <c r="A202" s="12">
        <v>6320</v>
      </c>
      <c r="B202" s="13" t="s">
        <v>649</v>
      </c>
      <c r="C202" s="3">
        <f>SUMIF('Raw Data 07-31-2019'!$A$6:$A$254,'Q3 TB-19'!A202,'Raw Data 07-31-2019'!C$6:C$254)</f>
        <v>0</v>
      </c>
      <c r="D202" s="4"/>
      <c r="E202" s="3">
        <f>SUMIF('Raw Data 07-31-2019'!$A$6:$A$254,'Q3 TB-19'!A202,'Raw Data 07-31-2019'!D$6:D$254)</f>
        <v>0</v>
      </c>
      <c r="F202" s="3"/>
      <c r="G202" s="3">
        <f t="shared" si="9"/>
        <v>0</v>
      </c>
      <c r="H202" s="53" t="s">
        <v>439</v>
      </c>
      <c r="J202" s="19"/>
    </row>
    <row r="203" spans="1:10" x14ac:dyDescent="0.75">
      <c r="A203" s="12">
        <v>6325</v>
      </c>
      <c r="B203" s="13" t="s">
        <v>650</v>
      </c>
      <c r="C203" s="3">
        <f>SUMIF('Raw Data 07-31-2019'!$A$6:$A$254,'Q3 TB-19'!A203,'Raw Data 07-31-2019'!C$6:C$254)</f>
        <v>0</v>
      </c>
      <c r="D203" s="4"/>
      <c r="E203" s="3">
        <f>SUMIF('Raw Data 07-31-2019'!$A$6:$A$254,'Q3 TB-19'!A203,'Raw Data 07-31-2019'!D$6:D$254)</f>
        <v>0</v>
      </c>
      <c r="F203" s="3"/>
      <c r="G203" s="3">
        <f t="shared" si="9"/>
        <v>0</v>
      </c>
      <c r="H203" s="53" t="s">
        <v>439</v>
      </c>
      <c r="J203" s="19"/>
    </row>
    <row r="204" spans="1:10" x14ac:dyDescent="0.75">
      <c r="A204" s="12">
        <v>6330</v>
      </c>
      <c r="B204" s="13" t="s">
        <v>651</v>
      </c>
      <c r="C204" s="3">
        <f>SUMIF('Raw Data 07-31-2019'!$A$6:$A$254,'Q3 TB-19'!A204,'Raw Data 07-31-2019'!C$6:C$254)</f>
        <v>0</v>
      </c>
      <c r="D204" s="4"/>
      <c r="E204" s="3">
        <f>SUMIF('Raw Data 07-31-2019'!$A$6:$A$254,'Q3 TB-19'!A204,'Raw Data 07-31-2019'!D$6:D$254)</f>
        <v>0</v>
      </c>
      <c r="F204" s="3"/>
      <c r="G204" s="3">
        <f t="shared" si="9"/>
        <v>0</v>
      </c>
      <c r="H204" s="53" t="s">
        <v>439</v>
      </c>
      <c r="J204" s="19"/>
    </row>
    <row r="205" spans="1:10" x14ac:dyDescent="0.75">
      <c r="A205" s="14">
        <v>6335</v>
      </c>
      <c r="B205" s="18" t="s">
        <v>652</v>
      </c>
      <c r="C205" s="3">
        <f>SUMIF('Raw Data 07-31-2019'!$A$6:$A$254,'Q3 TB-19'!A205,'Raw Data 07-31-2019'!C$6:C$254)</f>
        <v>178.37</v>
      </c>
      <c r="D205" s="4"/>
      <c r="E205" s="3">
        <f>SUMIF('Raw Data 07-31-2019'!$A$6:$A$254,'Q3 TB-19'!A205,'Raw Data 07-31-2019'!D$6:D$254)</f>
        <v>0</v>
      </c>
      <c r="F205" s="3"/>
      <c r="G205" s="3">
        <f t="shared" si="9"/>
        <v>178.37</v>
      </c>
      <c r="H205" s="53" t="s">
        <v>439</v>
      </c>
      <c r="J205" s="19"/>
    </row>
    <row r="206" spans="1:10" x14ac:dyDescent="0.75">
      <c r="A206" s="14">
        <v>6340</v>
      </c>
      <c r="B206" s="18" t="s">
        <v>653</v>
      </c>
      <c r="C206" s="3">
        <f>SUMIF('Raw Data 07-31-2019'!$A$6:$A$254,'Q3 TB-19'!A206,'Raw Data 07-31-2019'!C$6:C$254)</f>
        <v>0</v>
      </c>
      <c r="D206" s="4"/>
      <c r="E206" s="3">
        <f>SUMIF('Raw Data 07-31-2019'!$A$6:$A$254,'Q3 TB-19'!A206,'Raw Data 07-31-2019'!D$6:D$254)</f>
        <v>0</v>
      </c>
      <c r="F206" s="5"/>
      <c r="G206" s="3">
        <f>C206-E206</f>
        <v>0</v>
      </c>
      <c r="H206" s="53" t="s">
        <v>439</v>
      </c>
      <c r="J206" s="19"/>
    </row>
    <row r="207" spans="1:10" x14ac:dyDescent="0.75">
      <c r="A207" s="14">
        <v>6345</v>
      </c>
      <c r="B207" s="18" t="s">
        <v>654</v>
      </c>
      <c r="C207" s="3">
        <f>SUMIF('Raw Data 07-31-2019'!$A$6:$A$254,'Q3 TB-19'!A207,'Raw Data 07-31-2019'!C$6:C$254)</f>
        <v>4911.42</v>
      </c>
      <c r="D207" s="4"/>
      <c r="E207" s="3">
        <f>SUMIF('Raw Data 07-31-2019'!$A$6:$A$254,'Q3 TB-19'!A207,'Raw Data 07-31-2019'!D$6:D$254)</f>
        <v>0</v>
      </c>
      <c r="F207" s="5"/>
      <c r="G207" s="3">
        <f>C207-E207</f>
        <v>4911.42</v>
      </c>
      <c r="H207" s="53" t="s">
        <v>439</v>
      </c>
      <c r="J207" s="19"/>
    </row>
    <row r="208" spans="1:10" x14ac:dyDescent="0.75">
      <c r="A208" s="14">
        <v>6350</v>
      </c>
      <c r="B208" s="18" t="s">
        <v>655</v>
      </c>
      <c r="C208" s="3">
        <f>SUMIF('Raw Data 07-31-2019'!$A$6:$A$254,'Q3 TB-19'!A208,'Raw Data 07-31-2019'!C$6:C$254)</f>
        <v>4066.63</v>
      </c>
      <c r="D208" s="4"/>
      <c r="E208" s="3">
        <f>SUMIF('Raw Data 07-31-2019'!$A$6:$A$254,'Q3 TB-19'!A208,'Raw Data 07-31-2019'!D$6:D$254)</f>
        <v>0</v>
      </c>
      <c r="F208" s="5"/>
      <c r="G208" s="3">
        <f>C208-E208</f>
        <v>4066.63</v>
      </c>
      <c r="H208" s="53" t="s">
        <v>439</v>
      </c>
      <c r="J208" s="19"/>
    </row>
    <row r="209" spans="1:8" x14ac:dyDescent="0.75">
      <c r="A209" s="14">
        <v>6355</v>
      </c>
      <c r="B209" s="18" t="s">
        <v>656</v>
      </c>
      <c r="C209" s="3">
        <f>SUMIF('Raw Data 07-31-2019'!$A$6:$A$254,'Q3 TB-19'!A209,'Raw Data 07-31-2019'!C$6:C$254)</f>
        <v>0</v>
      </c>
      <c r="D209" s="4"/>
      <c r="E209" s="3">
        <f>SUMIF('Raw Data 07-31-2019'!$A$6:$A$254,'Q3 TB-19'!A209,'Raw Data 07-31-2019'!D$6:D$254)</f>
        <v>0</v>
      </c>
      <c r="F209" s="5"/>
      <c r="G209" s="3">
        <f t="shared" ref="G209:G254" si="10">C209-E209</f>
        <v>0</v>
      </c>
      <c r="H209" s="53" t="s">
        <v>439</v>
      </c>
    </row>
    <row r="210" spans="1:8" x14ac:dyDescent="0.75">
      <c r="A210" s="14">
        <v>6400</v>
      </c>
      <c r="B210" s="18" t="s">
        <v>657</v>
      </c>
      <c r="C210" s="3">
        <f>SUMIF('Raw Data 07-31-2019'!$A$6:$A$254,'Q3 TB-19'!A210,'Raw Data 07-31-2019'!C$6:C$254)</f>
        <v>91267.65</v>
      </c>
      <c r="D210" s="4"/>
      <c r="E210" s="3">
        <f>SUMIF('Raw Data 07-31-2019'!$A$6:$A$254,'Q3 TB-19'!A210,'Raw Data 07-31-2019'!D$6:D$254)</f>
        <v>0</v>
      </c>
      <c r="F210" s="5"/>
      <c r="G210" s="3">
        <f t="shared" si="10"/>
        <v>91267.65</v>
      </c>
      <c r="H210" s="53" t="s">
        <v>439</v>
      </c>
    </row>
    <row r="211" spans="1:8" x14ac:dyDescent="0.75">
      <c r="A211" s="14">
        <v>6405</v>
      </c>
      <c r="B211" s="18" t="s">
        <v>658</v>
      </c>
      <c r="C211" s="3">
        <f>SUMIF('Raw Data 07-31-2019'!$A$6:$A$254,'Q3 TB-19'!A211,'Raw Data 07-31-2019'!C$6:C$254)</f>
        <v>0</v>
      </c>
      <c r="D211" s="4"/>
      <c r="E211" s="3">
        <f>SUMIF('Raw Data 07-31-2019'!$A$6:$A$254,'Q3 TB-19'!A211,'Raw Data 07-31-2019'!D$6:D$254)</f>
        <v>0</v>
      </c>
      <c r="F211" s="5"/>
      <c r="G211" s="3">
        <f t="shared" si="10"/>
        <v>0</v>
      </c>
      <c r="H211" s="53" t="s">
        <v>439</v>
      </c>
    </row>
    <row r="212" spans="1:8" x14ac:dyDescent="0.75">
      <c r="A212" s="14">
        <v>6410</v>
      </c>
      <c r="B212" s="18" t="s">
        <v>659</v>
      </c>
      <c r="C212" s="3">
        <f>SUMIF('Raw Data 07-31-2019'!$A$6:$A$254,'Q3 TB-19'!A212,'Raw Data 07-31-2019'!C$6:C$254)</f>
        <v>0</v>
      </c>
      <c r="D212" s="4"/>
      <c r="E212" s="3">
        <f>SUMIF('Raw Data 07-31-2019'!$A$6:$A$254,'Q3 TB-19'!A212,'Raw Data 07-31-2019'!D$6:D$254)</f>
        <v>0</v>
      </c>
      <c r="F212" s="5"/>
      <c r="G212" s="3">
        <f t="shared" si="10"/>
        <v>0</v>
      </c>
      <c r="H212" s="53" t="s">
        <v>439</v>
      </c>
    </row>
    <row r="213" spans="1:8" x14ac:dyDescent="0.75">
      <c r="A213" s="14">
        <v>6415</v>
      </c>
      <c r="B213" s="18" t="s">
        <v>660</v>
      </c>
      <c r="C213" s="3">
        <f>SUMIF('Raw Data 07-31-2019'!$A$6:$A$254,'Q3 TB-19'!A213,'Raw Data 07-31-2019'!C$6:C$254)</f>
        <v>0</v>
      </c>
      <c r="D213" s="4"/>
      <c r="E213" s="3">
        <f>SUMIF('Raw Data 07-31-2019'!$A$6:$A$254,'Q3 TB-19'!A213,'Raw Data 07-31-2019'!D$6:D$254)</f>
        <v>0</v>
      </c>
      <c r="F213" s="5"/>
      <c r="G213" s="3">
        <f t="shared" si="10"/>
        <v>0</v>
      </c>
      <c r="H213" s="53" t="s">
        <v>439</v>
      </c>
    </row>
    <row r="214" spans="1:8" x14ac:dyDescent="0.75">
      <c r="A214" s="14">
        <v>6420</v>
      </c>
      <c r="B214" s="18" t="s">
        <v>661</v>
      </c>
      <c r="C214" s="3">
        <f>SUMIF('Raw Data 07-31-2019'!$A$6:$A$254,'Q3 TB-19'!A214,'Raw Data 07-31-2019'!C$6:C$254)</f>
        <v>0</v>
      </c>
      <c r="D214" s="4"/>
      <c r="E214" s="3">
        <f>SUMIF('Raw Data 07-31-2019'!$A$6:$A$254,'Q3 TB-19'!A214,'Raw Data 07-31-2019'!D$6:D$254)</f>
        <v>0</v>
      </c>
      <c r="F214" s="5"/>
      <c r="G214" s="3">
        <f t="shared" si="10"/>
        <v>0</v>
      </c>
      <c r="H214" s="53" t="s">
        <v>439</v>
      </c>
    </row>
    <row r="215" spans="1:8" x14ac:dyDescent="0.75">
      <c r="A215" s="14">
        <v>6425</v>
      </c>
      <c r="B215" s="18" t="s">
        <v>662</v>
      </c>
      <c r="C215" s="3">
        <f>SUMIF('Raw Data 07-31-2019'!$A$6:$A$254,'Q3 TB-19'!A215,'Raw Data 07-31-2019'!C$6:C$254)</f>
        <v>0</v>
      </c>
      <c r="D215" s="4"/>
      <c r="E215" s="3">
        <f>SUMIF('Raw Data 07-31-2019'!$A$6:$A$254,'Q3 TB-19'!A215,'Raw Data 07-31-2019'!D$6:D$254)</f>
        <v>0</v>
      </c>
      <c r="F215" s="5"/>
      <c r="G215" s="3">
        <f t="shared" si="10"/>
        <v>0</v>
      </c>
      <c r="H215" s="53" t="s">
        <v>439</v>
      </c>
    </row>
    <row r="216" spans="1:8" x14ac:dyDescent="0.75">
      <c r="A216" s="14">
        <v>6430</v>
      </c>
      <c r="B216" s="18" t="s">
        <v>663</v>
      </c>
      <c r="C216" s="3">
        <f>SUMIF('Raw Data 07-31-2019'!$A$6:$A$254,'Q3 TB-19'!A216,'Raw Data 07-31-2019'!C$6:C$254)</f>
        <v>91059.94</v>
      </c>
      <c r="D216" s="4"/>
      <c r="E216" s="3">
        <f>SUMIF('Raw Data 07-31-2019'!$A$6:$A$254,'Q3 TB-19'!A216,'Raw Data 07-31-2019'!D$6:D$254)</f>
        <v>0</v>
      </c>
      <c r="F216" s="5"/>
      <c r="G216" s="3">
        <f t="shared" si="10"/>
        <v>91059.94</v>
      </c>
      <c r="H216" s="53" t="s">
        <v>439</v>
      </c>
    </row>
    <row r="217" spans="1:8" x14ac:dyDescent="0.75">
      <c r="A217" s="14">
        <v>6435</v>
      </c>
      <c r="B217" s="18" t="s">
        <v>664</v>
      </c>
      <c r="C217" s="3">
        <f>SUMIF('Raw Data 07-31-2019'!$A$6:$A$254,'Q3 TB-19'!A217,'Raw Data 07-31-2019'!C$6:C$254)</f>
        <v>6020.51</v>
      </c>
      <c r="D217" s="4"/>
      <c r="E217" s="3">
        <f>SUMIF('Raw Data 07-31-2019'!$A$6:$A$254,'Q3 TB-19'!A217,'Raw Data 07-31-2019'!D$6:D$254)</f>
        <v>0</v>
      </c>
      <c r="F217" s="5"/>
      <c r="G217" s="3">
        <f t="shared" si="10"/>
        <v>6020.51</v>
      </c>
      <c r="H217" s="53" t="s">
        <v>439</v>
      </c>
    </row>
    <row r="218" spans="1:8" x14ac:dyDescent="0.75">
      <c r="A218" s="14">
        <v>6440</v>
      </c>
      <c r="B218" s="18" t="s">
        <v>665</v>
      </c>
      <c r="C218" s="3">
        <f>SUMIF('Raw Data 07-31-2019'!$A$6:$A$254,'Q3 TB-19'!A218,'Raw Data 07-31-2019'!C$6:C$254)</f>
        <v>52109.31</v>
      </c>
      <c r="D218" s="4"/>
      <c r="E218" s="3">
        <f>SUMIF('Raw Data 07-31-2019'!$A$6:$A$254,'Q3 TB-19'!A218,'Raw Data 07-31-2019'!D$6:D$254)</f>
        <v>0</v>
      </c>
      <c r="F218" s="5"/>
      <c r="G218" s="3">
        <f t="shared" si="10"/>
        <v>52109.31</v>
      </c>
      <c r="H218" s="53" t="s">
        <v>439</v>
      </c>
    </row>
    <row r="219" spans="1:8" x14ac:dyDescent="0.75">
      <c r="A219" s="14">
        <v>6445</v>
      </c>
      <c r="B219" s="18" t="s">
        <v>666</v>
      </c>
      <c r="C219" s="3">
        <f>SUMIF('Raw Data 07-31-2019'!$A$6:$A$254,'Q3 TB-19'!A219,'Raw Data 07-31-2019'!C$6:C$254)</f>
        <v>26309.73</v>
      </c>
      <c r="D219" s="4"/>
      <c r="E219" s="3">
        <f>SUMIF('Raw Data 07-31-2019'!$A$6:$A$254,'Q3 TB-19'!A219,'Raw Data 07-31-2019'!D$6:D$254)</f>
        <v>0</v>
      </c>
      <c r="F219" s="5"/>
      <c r="G219" s="3">
        <f t="shared" si="10"/>
        <v>26309.73</v>
      </c>
      <c r="H219" s="53" t="s">
        <v>439</v>
      </c>
    </row>
    <row r="220" spans="1:8" x14ac:dyDescent="0.75">
      <c r="A220" s="14">
        <v>6450</v>
      </c>
      <c r="B220" s="18" t="s">
        <v>667</v>
      </c>
      <c r="C220" s="3">
        <f>SUMIF('Raw Data 07-31-2019'!$A$6:$A$254,'Q3 TB-19'!A220,'Raw Data 07-31-2019'!C$6:C$254)</f>
        <v>0</v>
      </c>
      <c r="D220" s="4"/>
      <c r="E220" s="3">
        <f>SUMIF('Raw Data 07-31-2019'!$A$6:$A$254,'Q3 TB-19'!A220,'Raw Data 07-31-2019'!D$6:D$254)</f>
        <v>0</v>
      </c>
      <c r="F220" s="5"/>
      <c r="G220" s="3">
        <f t="shared" si="10"/>
        <v>0</v>
      </c>
      <c r="H220" s="53" t="s">
        <v>439</v>
      </c>
    </row>
    <row r="221" spans="1:8" x14ac:dyDescent="0.75">
      <c r="A221" s="14">
        <v>6455</v>
      </c>
      <c r="B221" s="18" t="s">
        <v>668</v>
      </c>
      <c r="C221" s="3">
        <f>SUMIF('Raw Data 07-31-2019'!$A$6:$A$254,'Q3 TB-19'!A221,'Raw Data 07-31-2019'!C$6:C$254)</f>
        <v>0</v>
      </c>
      <c r="D221" s="4"/>
      <c r="E221" s="3">
        <f>SUMIF('Raw Data 07-31-2019'!$A$6:$A$254,'Q3 TB-19'!A221,'Raw Data 07-31-2019'!D$6:D$254)</f>
        <v>0</v>
      </c>
      <c r="F221" s="5"/>
      <c r="G221" s="3">
        <f t="shared" si="10"/>
        <v>0</v>
      </c>
      <c r="H221" s="53" t="s">
        <v>439</v>
      </c>
    </row>
    <row r="222" spans="1:8" x14ac:dyDescent="0.75">
      <c r="A222" s="14">
        <v>6460</v>
      </c>
      <c r="B222" s="18" t="s">
        <v>669</v>
      </c>
      <c r="C222" s="3">
        <f>SUMIF('Raw Data 07-31-2019'!$A$6:$A$254,'Q3 TB-19'!A222,'Raw Data 07-31-2019'!C$6:C$254)</f>
        <v>0</v>
      </c>
      <c r="D222" s="4"/>
      <c r="E222" s="3">
        <f>SUMIF('Raw Data 07-31-2019'!$A$6:$A$254,'Q3 TB-19'!A222,'Raw Data 07-31-2019'!D$6:D$254)</f>
        <v>0</v>
      </c>
      <c r="F222" s="5"/>
      <c r="G222" s="3">
        <f t="shared" si="10"/>
        <v>0</v>
      </c>
      <c r="H222" s="53" t="s">
        <v>439</v>
      </c>
    </row>
    <row r="223" spans="1:8" x14ac:dyDescent="0.75">
      <c r="A223" s="14">
        <v>6500</v>
      </c>
      <c r="B223" s="18" t="s">
        <v>670</v>
      </c>
      <c r="C223" s="3">
        <f>SUMIF('Raw Data 07-31-2019'!$A$6:$A$254,'Q3 TB-19'!A223,'Raw Data 07-31-2019'!C$6:C$254)</f>
        <v>0</v>
      </c>
      <c r="D223" s="4"/>
      <c r="E223" s="3">
        <f>SUMIF('Raw Data 07-31-2019'!$A$6:$A$254,'Q3 TB-19'!A223,'Raw Data 07-31-2019'!D$6:D$254)</f>
        <v>0</v>
      </c>
      <c r="F223" s="5"/>
      <c r="G223" s="3">
        <f t="shared" si="10"/>
        <v>0</v>
      </c>
      <c r="H223" s="53" t="s">
        <v>439</v>
      </c>
    </row>
    <row r="224" spans="1:8" x14ac:dyDescent="0.75">
      <c r="A224" s="14">
        <v>6505</v>
      </c>
      <c r="B224" s="18" t="s">
        <v>671</v>
      </c>
      <c r="C224" s="3">
        <f>SUMIF('Raw Data 07-31-2019'!$A$6:$A$254,'Q3 TB-19'!A224,'Raw Data 07-31-2019'!C$6:C$254)</f>
        <v>0</v>
      </c>
      <c r="D224" s="4"/>
      <c r="E224" s="3">
        <f>SUMIF('Raw Data 07-31-2019'!$A$6:$A$254,'Q3 TB-19'!A224,'Raw Data 07-31-2019'!D$6:D$254)</f>
        <v>0</v>
      </c>
      <c r="F224" s="5"/>
      <c r="G224" s="3">
        <f t="shared" si="10"/>
        <v>0</v>
      </c>
      <c r="H224" s="53" t="s">
        <v>439</v>
      </c>
    </row>
    <row r="225" spans="1:8" x14ac:dyDescent="0.75">
      <c r="A225" s="14">
        <v>6510</v>
      </c>
      <c r="B225" s="18" t="s">
        <v>672</v>
      </c>
      <c r="C225" s="3">
        <f>SUMIF('Raw Data 07-31-2019'!$A$6:$A$254,'Q3 TB-19'!A225,'Raw Data 07-31-2019'!C$6:C$254)</f>
        <v>8098.3</v>
      </c>
      <c r="D225" s="4"/>
      <c r="E225" s="3">
        <f>SUMIF('Raw Data 07-31-2019'!$A$6:$A$254,'Q3 TB-19'!A225,'Raw Data 07-31-2019'!D$6:D$254)</f>
        <v>0</v>
      </c>
      <c r="F225" s="5"/>
      <c r="G225" s="3">
        <f t="shared" si="10"/>
        <v>8098.3</v>
      </c>
      <c r="H225" s="53" t="s">
        <v>439</v>
      </c>
    </row>
    <row r="226" spans="1:8" x14ac:dyDescent="0.75">
      <c r="A226" s="14">
        <v>6515</v>
      </c>
      <c r="B226" s="18" t="s">
        <v>673</v>
      </c>
      <c r="C226" s="3">
        <f>SUMIF('Raw Data 07-31-2019'!$A$6:$A$254,'Q3 TB-19'!A226,'Raw Data 07-31-2019'!C$6:C$254)</f>
        <v>0</v>
      </c>
      <c r="D226" s="4"/>
      <c r="E226" s="3">
        <f>SUMIF('Raw Data 07-31-2019'!$A$6:$A$254,'Q3 TB-19'!A226,'Raw Data 07-31-2019'!D$6:D$254)</f>
        <v>0</v>
      </c>
      <c r="F226" s="5"/>
      <c r="G226" s="3">
        <f t="shared" si="10"/>
        <v>0</v>
      </c>
      <c r="H226" s="53" t="s">
        <v>439</v>
      </c>
    </row>
    <row r="227" spans="1:8" x14ac:dyDescent="0.75">
      <c r="A227" s="14">
        <v>6520</v>
      </c>
      <c r="B227" s="18" t="s">
        <v>674</v>
      </c>
      <c r="C227" s="3">
        <f>SUMIF('Raw Data 07-31-2019'!$A$6:$A$254,'Q3 TB-19'!A227,'Raw Data 07-31-2019'!C$6:C$254)</f>
        <v>0</v>
      </c>
      <c r="D227" s="4"/>
      <c r="E227" s="3">
        <f>SUMIF('Raw Data 07-31-2019'!$A$6:$A$254,'Q3 TB-19'!A227,'Raw Data 07-31-2019'!D$6:D$254)</f>
        <v>0</v>
      </c>
      <c r="F227" s="5"/>
      <c r="G227" s="3">
        <f t="shared" si="10"/>
        <v>0</v>
      </c>
      <c r="H227" s="53" t="s">
        <v>439</v>
      </c>
    </row>
    <row r="228" spans="1:8" x14ac:dyDescent="0.75">
      <c r="A228" s="14">
        <v>6525</v>
      </c>
      <c r="B228" s="18" t="s">
        <v>675</v>
      </c>
      <c r="C228" s="3">
        <f>SUMIF('Raw Data 07-31-2019'!$A$6:$A$254,'Q3 TB-19'!A228,'Raw Data 07-31-2019'!C$6:C$254)</f>
        <v>1232.8800000000001</v>
      </c>
      <c r="D228" s="4"/>
      <c r="E228" s="3">
        <f>SUMIF('Raw Data 07-31-2019'!$A$6:$A$254,'Q3 TB-19'!A228,'Raw Data 07-31-2019'!D$6:D$254)</f>
        <v>0</v>
      </c>
      <c r="F228" s="5"/>
      <c r="G228" s="3">
        <f t="shared" si="10"/>
        <v>1232.8800000000001</v>
      </c>
      <c r="H228" s="53" t="s">
        <v>439</v>
      </c>
    </row>
    <row r="229" spans="1:8" x14ac:dyDescent="0.75">
      <c r="A229" s="14">
        <v>6530</v>
      </c>
      <c r="B229" s="18" t="s">
        <v>676</v>
      </c>
      <c r="C229" s="3">
        <f>SUMIF('Raw Data 07-31-2019'!$A$6:$A$254,'Q3 TB-19'!A229,'Raw Data 07-31-2019'!C$6:C$254)</f>
        <v>0</v>
      </c>
      <c r="D229" s="4"/>
      <c r="E229" s="3">
        <f>SUMIF('Raw Data 07-31-2019'!$A$6:$A$254,'Q3 TB-19'!A229,'Raw Data 07-31-2019'!D$6:D$254)</f>
        <v>0</v>
      </c>
      <c r="F229" s="5"/>
      <c r="G229" s="3">
        <f t="shared" si="10"/>
        <v>0</v>
      </c>
      <c r="H229" s="53" t="s">
        <v>439</v>
      </c>
    </row>
    <row r="230" spans="1:8" x14ac:dyDescent="0.75">
      <c r="A230" s="14">
        <v>6535</v>
      </c>
      <c r="B230" s="18" t="s">
        <v>677</v>
      </c>
      <c r="C230" s="3">
        <f>SUMIF('Raw Data 07-31-2019'!$A$6:$A$254,'Q3 TB-19'!A230,'Raw Data 07-31-2019'!C$6:C$254)</f>
        <v>0</v>
      </c>
      <c r="D230" s="4"/>
      <c r="E230" s="3">
        <f>SUMIF('Raw Data 07-31-2019'!$A$6:$A$254,'Q3 TB-19'!A230,'Raw Data 07-31-2019'!D$6:D$254)</f>
        <v>0</v>
      </c>
      <c r="F230" s="5"/>
      <c r="G230" s="3">
        <f t="shared" si="10"/>
        <v>0</v>
      </c>
      <c r="H230" s="53" t="s">
        <v>439</v>
      </c>
    </row>
    <row r="231" spans="1:8" x14ac:dyDescent="0.75">
      <c r="A231" s="14">
        <v>6540</v>
      </c>
      <c r="B231" s="18" t="s">
        <v>678</v>
      </c>
      <c r="C231" s="3">
        <f>SUMIF('Raw Data 07-31-2019'!$A$6:$A$254,'Q3 TB-19'!A231,'Raw Data 07-31-2019'!C$6:C$254)</f>
        <v>0</v>
      </c>
      <c r="D231" s="4"/>
      <c r="E231" s="3">
        <f>SUMIF('Raw Data 07-31-2019'!$A$6:$A$254,'Q3 TB-19'!A231,'Raw Data 07-31-2019'!D$6:D$254)</f>
        <v>0</v>
      </c>
      <c r="F231" s="5"/>
      <c r="G231" s="3">
        <f t="shared" si="10"/>
        <v>0</v>
      </c>
      <c r="H231" s="53" t="s">
        <v>439</v>
      </c>
    </row>
    <row r="232" spans="1:8" x14ac:dyDescent="0.75">
      <c r="A232" s="14">
        <v>6545</v>
      </c>
      <c r="B232" s="18" t="s">
        <v>679</v>
      </c>
      <c r="C232" s="3">
        <f>SUMIF('Raw Data 07-31-2019'!$A$6:$A$254,'Q3 TB-19'!A232,'Raw Data 07-31-2019'!C$6:C$254)</f>
        <v>48.37</v>
      </c>
      <c r="D232" s="4"/>
      <c r="E232" s="3">
        <f>SUMIF('Raw Data 07-31-2019'!$A$6:$A$254,'Q3 TB-19'!A232,'Raw Data 07-31-2019'!D$6:D$254)</f>
        <v>0</v>
      </c>
      <c r="F232" s="5"/>
      <c r="G232" s="3">
        <f t="shared" si="10"/>
        <v>48.37</v>
      </c>
      <c r="H232" s="53" t="s">
        <v>439</v>
      </c>
    </row>
    <row r="233" spans="1:8" x14ac:dyDescent="0.75">
      <c r="A233" s="14">
        <v>6550</v>
      </c>
      <c r="B233" s="18" t="s">
        <v>680</v>
      </c>
      <c r="C233" s="3">
        <f>SUMIF('Raw Data 07-31-2019'!$A$6:$A$254,'Q3 TB-19'!A233,'Raw Data 07-31-2019'!C$6:C$254)</f>
        <v>12490.22</v>
      </c>
      <c r="D233" s="4"/>
      <c r="E233" s="3">
        <f>SUMIF('Raw Data 07-31-2019'!$A$6:$A$254,'Q3 TB-19'!A233,'Raw Data 07-31-2019'!D$6:D$254)</f>
        <v>0</v>
      </c>
      <c r="F233" s="5"/>
      <c r="G233" s="3">
        <f t="shared" si="10"/>
        <v>12490.22</v>
      </c>
      <c r="H233" s="53" t="s">
        <v>439</v>
      </c>
    </row>
    <row r="234" spans="1:8" x14ac:dyDescent="0.75">
      <c r="A234" s="14">
        <v>6555</v>
      </c>
      <c r="B234" s="18" t="s">
        <v>681</v>
      </c>
      <c r="C234" s="3">
        <f>SUMIF('Raw Data 07-31-2019'!$A$6:$A$254,'Q3 TB-19'!A234,'Raw Data 07-31-2019'!C$6:C$254)</f>
        <v>4961.29</v>
      </c>
      <c r="D234" s="4"/>
      <c r="E234" s="3">
        <f>SUMIF('Raw Data 07-31-2019'!$A$6:$A$254,'Q3 TB-19'!A234,'Raw Data 07-31-2019'!D$6:D$254)</f>
        <v>0</v>
      </c>
      <c r="F234" s="5"/>
      <c r="G234" s="3">
        <f t="shared" si="10"/>
        <v>4961.29</v>
      </c>
      <c r="H234" s="53" t="s">
        <v>439</v>
      </c>
    </row>
    <row r="235" spans="1:8" x14ac:dyDescent="0.75">
      <c r="A235" s="14">
        <v>6560</v>
      </c>
      <c r="B235" s="18" t="s">
        <v>682</v>
      </c>
      <c r="C235" s="3">
        <f>SUMIF('Raw Data 07-31-2019'!$A$6:$A$254,'Q3 TB-19'!A235,'Raw Data 07-31-2019'!C$6:C$254)</f>
        <v>0</v>
      </c>
      <c r="D235" s="4"/>
      <c r="E235" s="3">
        <f>SUMIF('Raw Data 07-31-2019'!$A$6:$A$254,'Q3 TB-19'!A235,'Raw Data 07-31-2019'!D$6:D$254)</f>
        <v>0</v>
      </c>
      <c r="F235" s="5"/>
      <c r="G235" s="3">
        <f t="shared" si="10"/>
        <v>0</v>
      </c>
      <c r="H235" s="53" t="s">
        <v>439</v>
      </c>
    </row>
    <row r="236" spans="1:8" x14ac:dyDescent="0.75">
      <c r="A236" s="14">
        <v>6565</v>
      </c>
      <c r="B236" s="18" t="s">
        <v>683</v>
      </c>
      <c r="C236" s="3">
        <f>SUMIF('Raw Data 07-31-2019'!$A$6:$A$254,'Q3 TB-19'!A236,'Raw Data 07-31-2019'!C$6:C$254)</f>
        <v>0</v>
      </c>
      <c r="D236" s="4"/>
      <c r="E236" s="3">
        <f>SUMIF('Raw Data 07-31-2019'!$A$6:$A$254,'Q3 TB-19'!A236,'Raw Data 07-31-2019'!D$6:D$254)</f>
        <v>0</v>
      </c>
      <c r="F236" s="5"/>
      <c r="G236" s="3">
        <f t="shared" si="10"/>
        <v>0</v>
      </c>
      <c r="H236" s="53" t="s">
        <v>439</v>
      </c>
    </row>
    <row r="237" spans="1:8" x14ac:dyDescent="0.75">
      <c r="A237" s="14">
        <v>6570</v>
      </c>
      <c r="B237" s="18" t="s">
        <v>684</v>
      </c>
      <c r="C237" s="3">
        <f>SUMIF('Raw Data 07-31-2019'!$A$6:$A$254,'Q3 TB-19'!A237,'Raw Data 07-31-2019'!C$6:C$254)</f>
        <v>0</v>
      </c>
      <c r="D237" s="4"/>
      <c r="E237" s="3">
        <f>SUMIF('Raw Data 07-31-2019'!$A$6:$A$254,'Q3 TB-19'!A237,'Raw Data 07-31-2019'!D$6:D$254)</f>
        <v>0</v>
      </c>
      <c r="F237" s="5"/>
      <c r="G237" s="3">
        <f t="shared" si="10"/>
        <v>0</v>
      </c>
      <c r="H237" s="53" t="s">
        <v>439</v>
      </c>
    </row>
    <row r="238" spans="1:8" x14ac:dyDescent="0.75">
      <c r="A238" s="14">
        <v>6575</v>
      </c>
      <c r="B238" s="18" t="s">
        <v>685</v>
      </c>
      <c r="C238" s="3">
        <f>SUMIF('Raw Data 07-31-2019'!$A$6:$A$254,'Q3 TB-19'!A238,'Raw Data 07-31-2019'!C$6:C$254)</f>
        <v>0</v>
      </c>
      <c r="D238" s="4"/>
      <c r="E238" s="3">
        <f>SUMIF('Raw Data 07-31-2019'!$A$6:$A$254,'Q3 TB-19'!A238,'Raw Data 07-31-2019'!D$6:D$254)</f>
        <v>0</v>
      </c>
      <c r="F238" s="5"/>
      <c r="G238" s="3">
        <f t="shared" si="10"/>
        <v>0</v>
      </c>
      <c r="H238" s="53" t="s">
        <v>439</v>
      </c>
    </row>
    <row r="239" spans="1:8" x14ac:dyDescent="0.75">
      <c r="A239" s="14">
        <v>6580</v>
      </c>
      <c r="B239" s="18" t="s">
        <v>686</v>
      </c>
      <c r="C239" s="3">
        <f>SUMIF('Raw Data 07-31-2019'!$A$6:$A$254,'Q3 TB-19'!A239,'Raw Data 07-31-2019'!C$6:C$254)</f>
        <v>0</v>
      </c>
      <c r="D239" s="4"/>
      <c r="E239" s="3">
        <f>SUMIF('Raw Data 07-31-2019'!$A$6:$A$254,'Q3 TB-19'!A239,'Raw Data 07-31-2019'!D$6:D$254)</f>
        <v>0</v>
      </c>
      <c r="F239" s="5"/>
      <c r="G239" s="3">
        <f t="shared" si="10"/>
        <v>0</v>
      </c>
      <c r="H239" s="53" t="s">
        <v>439</v>
      </c>
    </row>
    <row r="240" spans="1:8" x14ac:dyDescent="0.75">
      <c r="A240" s="14">
        <v>6585</v>
      </c>
      <c r="B240" s="18" t="s">
        <v>687</v>
      </c>
      <c r="C240" s="3">
        <f>SUMIF('Raw Data 07-31-2019'!$A$6:$A$254,'Q3 TB-19'!A240,'Raw Data 07-31-2019'!C$6:C$254)</f>
        <v>0</v>
      </c>
      <c r="D240" s="4"/>
      <c r="E240" s="3">
        <f>SUMIF('Raw Data 07-31-2019'!$A$6:$A$254,'Q3 TB-19'!A240,'Raw Data 07-31-2019'!D$6:D$254)</f>
        <v>0</v>
      </c>
      <c r="F240" s="5"/>
      <c r="G240" s="3">
        <f t="shared" si="10"/>
        <v>0</v>
      </c>
      <c r="H240" s="53" t="s">
        <v>439</v>
      </c>
    </row>
    <row r="241" spans="1:8" x14ac:dyDescent="0.75">
      <c r="A241" s="14">
        <v>6590</v>
      </c>
      <c r="B241" s="18" t="s">
        <v>688</v>
      </c>
      <c r="C241" s="3">
        <f>SUMIF('Raw Data 07-31-2019'!$A$6:$A$254,'Q3 TB-19'!A241,'Raw Data 07-31-2019'!C$6:C$254)</f>
        <v>0</v>
      </c>
      <c r="D241" s="4"/>
      <c r="E241" s="3">
        <f>SUMIF('Raw Data 07-31-2019'!$A$6:$A$254,'Q3 TB-19'!A241,'Raw Data 07-31-2019'!D$6:D$254)</f>
        <v>0</v>
      </c>
      <c r="F241" s="5"/>
      <c r="G241" s="3">
        <f t="shared" si="10"/>
        <v>0</v>
      </c>
      <c r="H241" s="53" t="s">
        <v>439</v>
      </c>
    </row>
    <row r="242" spans="1:8" x14ac:dyDescent="0.75">
      <c r="A242" s="14">
        <v>7100</v>
      </c>
      <c r="B242" s="18" t="s">
        <v>689</v>
      </c>
      <c r="C242" s="3">
        <f>SUMIF('Raw Data 07-31-2019'!$A$6:$A$254,'Q3 TB-19'!A242,'Raw Data 07-31-2019'!C$6:C$254)</f>
        <v>0</v>
      </c>
      <c r="D242" s="4"/>
      <c r="E242" s="3">
        <f>SUMIF('Raw Data 07-31-2019'!$A$6:$A$254,'Q3 TB-19'!A242,'Raw Data 07-31-2019'!D$6:D$254)</f>
        <v>70.28</v>
      </c>
      <c r="F242" s="5"/>
      <c r="G242" s="3">
        <f t="shared" si="10"/>
        <v>-70.28</v>
      </c>
      <c r="H242" s="53" t="s">
        <v>439</v>
      </c>
    </row>
    <row r="243" spans="1:8" x14ac:dyDescent="0.75">
      <c r="A243" s="14">
        <v>7200</v>
      </c>
      <c r="B243" s="18" t="s">
        <v>690</v>
      </c>
      <c r="C243" s="3">
        <f>SUMIF('Raw Data 07-31-2019'!$A$6:$A$254,'Q3 TB-19'!A243,'Raw Data 07-31-2019'!C$6:C$254)</f>
        <v>0</v>
      </c>
      <c r="D243" s="4"/>
      <c r="E243" s="3">
        <f>SUMIF('Raw Data 07-31-2019'!$A$6:$A$254,'Q3 TB-19'!A243,'Raw Data 07-31-2019'!D$6:D$254)</f>
        <v>0</v>
      </c>
      <c r="F243" s="5"/>
      <c r="G243" s="3">
        <f t="shared" si="10"/>
        <v>0</v>
      </c>
      <c r="H243" s="53" t="s">
        <v>439</v>
      </c>
    </row>
    <row r="244" spans="1:8" x14ac:dyDescent="0.75">
      <c r="A244" s="14">
        <v>7300</v>
      </c>
      <c r="B244" s="18" t="s">
        <v>691</v>
      </c>
      <c r="C244" s="3">
        <f>SUMIF('Raw Data 07-31-2019'!$A$6:$A$254,'Q3 TB-19'!A244,'Raw Data 07-31-2019'!C$6:C$254)</f>
        <v>0</v>
      </c>
      <c r="D244" s="4"/>
      <c r="E244" s="3">
        <f>SUMIF('Raw Data 07-31-2019'!$A$6:$A$254,'Q3 TB-19'!A244,'Raw Data 07-31-2019'!D$6:D$254)</f>
        <v>0</v>
      </c>
      <c r="F244" s="5"/>
      <c r="G244" s="3">
        <f t="shared" si="10"/>
        <v>0</v>
      </c>
      <c r="H244" s="53" t="s">
        <v>439</v>
      </c>
    </row>
    <row r="245" spans="1:8" x14ac:dyDescent="0.75">
      <c r="A245" s="14">
        <v>7310</v>
      </c>
      <c r="B245" s="18" t="s">
        <v>692</v>
      </c>
      <c r="C245" s="3">
        <f>SUMIF('Raw Data 07-31-2019'!$A$6:$A$254,'Q3 TB-19'!A245,'Raw Data 07-31-2019'!C$6:C$254)</f>
        <v>0</v>
      </c>
      <c r="D245" s="4"/>
      <c r="E245" s="3">
        <f>SUMIF('Raw Data 07-31-2019'!$A$6:$A$254,'Q3 TB-19'!A245,'Raw Data 07-31-2019'!D$6:D$254)</f>
        <v>0</v>
      </c>
      <c r="F245" s="5"/>
      <c r="G245" s="3">
        <f t="shared" si="10"/>
        <v>0</v>
      </c>
      <c r="H245" s="53" t="s">
        <v>439</v>
      </c>
    </row>
    <row r="246" spans="1:8" x14ac:dyDescent="0.75">
      <c r="A246" s="14">
        <v>7400</v>
      </c>
      <c r="B246" s="18" t="s">
        <v>693</v>
      </c>
      <c r="C246" s="3">
        <f>SUMIF('Raw Data 07-31-2019'!$A$6:$A$254,'Q3 TB-19'!A246,'Raw Data 07-31-2019'!C$6:C$254)</f>
        <v>0</v>
      </c>
      <c r="D246" s="4"/>
      <c r="E246" s="3">
        <f>SUMIF('Raw Data 07-31-2019'!$A$6:$A$254,'Q3 TB-19'!A246,'Raw Data 07-31-2019'!D$6:D$254)</f>
        <v>0</v>
      </c>
      <c r="F246" s="5"/>
      <c r="G246" s="3">
        <f t="shared" si="10"/>
        <v>0</v>
      </c>
      <c r="H246" s="53" t="s">
        <v>951</v>
      </c>
    </row>
    <row r="247" spans="1:8" x14ac:dyDescent="0.75">
      <c r="A247" s="12">
        <v>7500</v>
      </c>
      <c r="B247" s="13" t="s">
        <v>620</v>
      </c>
      <c r="C247" s="3">
        <f>SUMIF('Raw Data 07-31-2019'!$A$6:$A$254,'Q3 TB-19'!A247,'Raw Data 07-31-2019'!C$6:C$254)</f>
        <v>0</v>
      </c>
      <c r="D247" s="4"/>
      <c r="E247" s="3">
        <f>SUMIF('Raw Data 07-31-2019'!$A$6:$A$254,'Q3 TB-19'!A247,'Raw Data 07-31-2019'!D$6:D$254)</f>
        <v>0</v>
      </c>
      <c r="F247" s="5"/>
      <c r="G247" s="3">
        <f t="shared" si="10"/>
        <v>0</v>
      </c>
      <c r="H247" s="53" t="s">
        <v>441</v>
      </c>
    </row>
    <row r="248" spans="1:8" x14ac:dyDescent="0.75">
      <c r="A248" s="12">
        <v>7510</v>
      </c>
      <c r="B248" s="13" t="s">
        <v>621</v>
      </c>
      <c r="C248" s="3">
        <f>SUMIF('Raw Data 07-31-2019'!$A$6:$A$254,'Q3 TB-19'!A248,'Raw Data 07-31-2019'!C$6:C$254)</f>
        <v>5594.61</v>
      </c>
      <c r="D248" s="4"/>
      <c r="E248" s="3">
        <f>SUMIF('Raw Data 07-31-2019'!$A$6:$A$254,'Q3 TB-19'!A248,'Raw Data 07-31-2019'!D$6:D$254)</f>
        <v>0</v>
      </c>
      <c r="F248" s="5"/>
      <c r="G248" s="3">
        <f t="shared" si="10"/>
        <v>5594.61</v>
      </c>
      <c r="H248" s="53" t="s">
        <v>441</v>
      </c>
    </row>
    <row r="249" spans="1:8" x14ac:dyDescent="0.75">
      <c r="A249" s="12">
        <v>7520</v>
      </c>
      <c r="B249" s="13" t="s">
        <v>622</v>
      </c>
      <c r="C249" s="3">
        <f>SUMIF('Raw Data 07-31-2019'!$A$6:$A$254,'Q3 TB-19'!A249,'Raw Data 07-31-2019'!C$6:C$254)</f>
        <v>3894.01</v>
      </c>
      <c r="D249" s="4"/>
      <c r="E249" s="3">
        <f>SUMIF('Raw Data 07-31-2019'!$A$6:$A$254,'Q3 TB-19'!A249,'Raw Data 07-31-2019'!D$6:D$254)</f>
        <v>0</v>
      </c>
      <c r="F249" s="5"/>
      <c r="G249" s="3">
        <f t="shared" si="10"/>
        <v>3894.01</v>
      </c>
      <c r="H249" s="53" t="s">
        <v>441</v>
      </c>
    </row>
    <row r="250" spans="1:8" x14ac:dyDescent="0.75">
      <c r="A250" s="12">
        <v>7530</v>
      </c>
      <c r="B250" s="13" t="s">
        <v>623</v>
      </c>
      <c r="C250" s="3">
        <f>SUMIF('Raw Data 07-31-2019'!$A$6:$A$254,'Q3 TB-19'!A250,'Raw Data 07-31-2019'!C$6:C$254)</f>
        <v>27127.73</v>
      </c>
      <c r="D250" s="4"/>
      <c r="E250" s="3">
        <f>SUMIF('Raw Data 07-31-2019'!$A$6:$A$254,'Q3 TB-19'!A250,'Raw Data 07-31-2019'!D$6:D$254)</f>
        <v>0</v>
      </c>
      <c r="F250" s="5"/>
      <c r="G250" s="3">
        <f t="shared" si="10"/>
        <v>27127.73</v>
      </c>
      <c r="H250" s="53" t="s">
        <v>441</v>
      </c>
    </row>
    <row r="251" spans="1:8" x14ac:dyDescent="0.75">
      <c r="A251" s="12">
        <v>7540</v>
      </c>
      <c r="B251" s="13" t="s">
        <v>624</v>
      </c>
      <c r="C251" s="3">
        <f>SUMIF('Raw Data 07-31-2019'!$A$6:$A$254,'Q3 TB-19'!A251,'Raw Data 07-31-2019'!C$6:C$254)</f>
        <v>59067.11</v>
      </c>
      <c r="D251" s="4"/>
      <c r="E251" s="3">
        <f>SUMIF('Raw Data 07-31-2019'!$A$6:$A$254,'Q3 TB-19'!A251,'Raw Data 07-31-2019'!D$6:D$254)</f>
        <v>0</v>
      </c>
      <c r="F251" s="5"/>
      <c r="G251" s="3">
        <f t="shared" si="10"/>
        <v>59067.11</v>
      </c>
      <c r="H251" s="53" t="s">
        <v>441</v>
      </c>
    </row>
    <row r="252" spans="1:8" s="76" customFormat="1" x14ac:dyDescent="0.75">
      <c r="A252" s="12" t="s">
        <v>945</v>
      </c>
      <c r="B252" s="13" t="s">
        <v>946</v>
      </c>
      <c r="C252" s="3">
        <f>SUMIF('Raw Data 07-31-2019'!$A$6:$A$254,'Q3 TB-19'!A252,'Raw Data 07-31-2019'!C$6:C$254)</f>
        <v>106643</v>
      </c>
      <c r="D252" s="4"/>
      <c r="E252" s="3">
        <f>SUMIF('Raw Data 07-31-2019'!$A$6:$A$254,'Q3 TB-19'!A252,'Raw Data 07-31-2019'!D$6:D$254)</f>
        <v>0</v>
      </c>
      <c r="F252" s="5"/>
      <c r="G252" s="3">
        <f t="shared" ref="G252" si="11">C252-E252</f>
        <v>106643</v>
      </c>
      <c r="H252" s="76" t="s">
        <v>441</v>
      </c>
    </row>
    <row r="253" spans="1:8" x14ac:dyDescent="0.75">
      <c r="A253" s="14">
        <v>7600</v>
      </c>
      <c r="B253" s="18" t="s">
        <v>694</v>
      </c>
      <c r="C253" s="3">
        <f>SUMIF('Raw Data 07-31-2019'!$A$6:$A$254,'Q3 TB-19'!A253,'Raw Data 07-31-2019'!C$6:C$254)</f>
        <v>0</v>
      </c>
      <c r="D253" s="4"/>
      <c r="E253" s="3">
        <f>SUMIF('Raw Data 07-31-2019'!$A$6:$A$254,'Q3 TB-19'!A253,'Raw Data 07-31-2019'!D$6:D$254)</f>
        <v>0</v>
      </c>
      <c r="F253" s="5"/>
      <c r="G253" s="3">
        <f t="shared" si="10"/>
        <v>0</v>
      </c>
      <c r="H253" s="53" t="s">
        <v>439</v>
      </c>
    </row>
    <row r="254" spans="1:8" x14ac:dyDescent="0.75">
      <c r="A254" s="14">
        <v>7700</v>
      </c>
      <c r="B254" s="18" t="s">
        <v>695</v>
      </c>
      <c r="C254" s="3">
        <f>SUMIF('Raw Data 07-31-2019'!$A$6:$A$254,'Q3 TB-19'!A254,'Raw Data 07-31-2019'!C$6:C$254)</f>
        <v>0</v>
      </c>
      <c r="D254" s="4"/>
      <c r="E254" s="3">
        <f>SUMIF('Raw Data 07-31-2019'!$A$6:$A$254,'Q3 TB-19'!A254,'Raw Data 07-31-2019'!D$6:D$254)</f>
        <v>0</v>
      </c>
      <c r="F254" s="5"/>
      <c r="G254" s="3">
        <f t="shared" si="10"/>
        <v>0</v>
      </c>
      <c r="H254" s="53" t="s">
        <v>439</v>
      </c>
    </row>
    <row r="255" spans="1:8" x14ac:dyDescent="0.75">
      <c r="C255" s="51">
        <f>SUM(C6:C254)</f>
        <v>11390794.019999998</v>
      </c>
      <c r="E255" s="51">
        <f>SUM(E6:E254)</f>
        <v>11390794.020000001</v>
      </c>
      <c r="G255" s="51">
        <f>SUM(G6:G254)</f>
        <v>-1.9354047253727913E-9</v>
      </c>
    </row>
  </sheetData>
  <sortState xmlns:xlrd2="http://schemas.microsoft.com/office/spreadsheetml/2017/richdata2" ref="A6:B254">
    <sortCondition ref="A6:A254"/>
  </sortState>
  <mergeCells count="3">
    <mergeCell ref="B1:D1"/>
    <mergeCell ref="B2:D2"/>
    <mergeCell ref="B3:D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7410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17410" r:id="rId4" name="HEADER"/>
      </mc:Fallback>
    </mc:AlternateContent>
    <mc:AlternateContent xmlns:mc="http://schemas.openxmlformats.org/markup-compatibility/2006">
      <mc:Choice Requires="x14">
        <control shapeId="17409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17409" r:id="rId6" name="FILTER"/>
      </mc:Fallback>
    </mc:AlternateContent>
  </control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D60C-0EF7-4F41-A757-1F63C5CF6044}">
  <sheetPr codeName="Sheet11"/>
  <dimension ref="A1:J255"/>
  <sheetViews>
    <sheetView zoomScaleNormal="100" workbookViewId="0">
      <pane xSplit="2" ySplit="5" topLeftCell="C66" activePane="bottomRight" state="frozenSplit"/>
      <selection pane="topRight" activeCell="C1" sqref="C1"/>
      <selection pane="bottomLeft" activeCell="A3" sqref="A3"/>
      <selection pane="bottomRight" activeCell="H91" sqref="H91"/>
    </sheetView>
  </sheetViews>
  <sheetFormatPr defaultColWidth="9.1328125" defaultRowHeight="14.75" x14ac:dyDescent="0.75"/>
  <cols>
    <col min="1" max="1" width="11.86328125" style="14" customWidth="1"/>
    <col min="2" max="2" width="40.26953125" style="18" customWidth="1"/>
    <col min="3" max="3" width="14.1328125" style="10" customWidth="1"/>
    <col min="4" max="4" width="2.1328125" style="10" customWidth="1"/>
    <col min="5" max="5" width="15.40625" style="10" customWidth="1"/>
    <col min="6" max="6" width="4.26953125" style="10" customWidth="1"/>
    <col min="7" max="7" width="15.40625" style="10" customWidth="1"/>
    <col min="8" max="8" width="17.54296875" style="85" bestFit="1" customWidth="1"/>
    <col min="9" max="16384" width="9.1328125" style="85"/>
  </cols>
  <sheetData>
    <row r="1" spans="1:10" ht="18" x14ac:dyDescent="0.8">
      <c r="B1" s="195" t="s">
        <v>696</v>
      </c>
      <c r="C1" s="197"/>
      <c r="D1" s="197"/>
    </row>
    <row r="2" spans="1:10" ht="18" x14ac:dyDescent="0.8">
      <c r="B2" s="195" t="s">
        <v>697</v>
      </c>
      <c r="C2" s="197"/>
      <c r="D2" s="197"/>
    </row>
    <row r="3" spans="1:10" ht="15.75" x14ac:dyDescent="0.75">
      <c r="B3" s="196" t="str">
        <f>'Raw Data 01-31-2020'!B3:D3</f>
        <v>As of January 31, 2020</v>
      </c>
      <c r="C3" s="196"/>
      <c r="D3" s="196"/>
    </row>
    <row r="4" spans="1:10" ht="15.5" thickBot="1" x14ac:dyDescent="0.9">
      <c r="A4" s="12"/>
      <c r="B4" s="13"/>
      <c r="C4" s="15"/>
      <c r="D4" s="1"/>
      <c r="E4" s="2"/>
      <c r="F4" s="2"/>
      <c r="G4" s="2"/>
    </row>
    <row r="5" spans="1:10" s="9" customFormat="1" ht="16.25" thickTop="1" thickBot="1" x14ac:dyDescent="0.9">
      <c r="A5" s="12" t="s">
        <v>4</v>
      </c>
      <c r="B5" s="17" t="s">
        <v>3</v>
      </c>
      <c r="C5" s="7" t="s">
        <v>0</v>
      </c>
      <c r="D5" s="8"/>
      <c r="E5" s="7" t="s">
        <v>1</v>
      </c>
      <c r="F5" s="15"/>
      <c r="G5" s="15" t="s">
        <v>170</v>
      </c>
      <c r="H5" s="35" t="s">
        <v>799</v>
      </c>
    </row>
    <row r="6" spans="1:10" ht="15.5" thickTop="1" x14ac:dyDescent="0.75">
      <c r="A6" s="12">
        <v>1005</v>
      </c>
      <c r="B6" s="13" t="s">
        <v>457</v>
      </c>
      <c r="C6" s="3">
        <f>SUMIF('Raw Data 01-31-2020'!$A$6:$A$254,'Q1 TB-20'!A6,'Raw Data 01-31-2020'!C$6:C$254)</f>
        <v>0</v>
      </c>
      <c r="D6" s="4"/>
      <c r="E6" s="3">
        <f>SUMIF('Raw Data 01-31-2020'!$A$6:$A$254,'Q1 TB-20'!A6,'Raw Data 01-31-2020'!D$6:D$254)</f>
        <v>0</v>
      </c>
      <c r="F6" s="3"/>
      <c r="G6" s="3">
        <f>C6-E6</f>
        <v>0</v>
      </c>
      <c r="H6" s="109" t="s">
        <v>171</v>
      </c>
      <c r="J6" s="19"/>
    </row>
    <row r="7" spans="1:10" x14ac:dyDescent="0.75">
      <c r="A7" s="12">
        <v>1010</v>
      </c>
      <c r="B7" s="13" t="s">
        <v>458</v>
      </c>
      <c r="C7" s="3">
        <f>SUMIF('Raw Data 01-31-2020'!$A$6:$A$254,'Q1 TB-20'!A7,'Raw Data 01-31-2020'!C$6:C$254)</f>
        <v>34202.14</v>
      </c>
      <c r="D7" s="4"/>
      <c r="E7" s="3">
        <f>SUMIF('Raw Data 01-31-2020'!$A$6:$A$254,'Q1 TB-20'!A7,'Raw Data 01-31-2020'!D$6:D$254)</f>
        <v>0</v>
      </c>
      <c r="F7" s="3"/>
      <c r="G7" s="3">
        <f t="shared" ref="G7:G72" si="0">C7-E7</f>
        <v>34202.14</v>
      </c>
      <c r="H7" s="109" t="s">
        <v>171</v>
      </c>
      <c r="J7" s="19"/>
    </row>
    <row r="8" spans="1:10" x14ac:dyDescent="0.75">
      <c r="A8" s="12">
        <v>1020</v>
      </c>
      <c r="B8" s="13" t="s">
        <v>459</v>
      </c>
      <c r="C8" s="3">
        <f>SUMIF('Raw Data 01-31-2020'!$A$6:$A$254,'Q1 TB-20'!A8,'Raw Data 01-31-2020'!C$6:C$254)</f>
        <v>350642.98</v>
      </c>
      <c r="D8" s="4"/>
      <c r="E8" s="3">
        <f>SUMIF('Raw Data 01-31-2020'!$A$6:$A$254,'Q1 TB-20'!A8,'Raw Data 01-31-2020'!D$6:D$254)</f>
        <v>0</v>
      </c>
      <c r="F8" s="3"/>
      <c r="G8" s="3">
        <f t="shared" si="0"/>
        <v>350642.98</v>
      </c>
      <c r="H8" s="109" t="s">
        <v>171</v>
      </c>
      <c r="J8" s="19"/>
    </row>
    <row r="9" spans="1:10" x14ac:dyDescent="0.75">
      <c r="A9" s="12">
        <v>1200</v>
      </c>
      <c r="B9" s="13" t="s">
        <v>460</v>
      </c>
      <c r="C9" s="3">
        <f>SUMIF('Raw Data 01-31-2020'!$A$6:$A$254,'Q1 TB-20'!A9,'Raw Data 01-31-2020'!C$6:C$254)</f>
        <v>216395.9</v>
      </c>
      <c r="D9" s="4"/>
      <c r="E9" s="3">
        <f>SUMIF('Raw Data 01-31-2020'!$A$6:$A$254,'Q1 TB-20'!A9,'Raw Data 01-31-2020'!D$6:D$254)</f>
        <v>0</v>
      </c>
      <c r="F9" s="3"/>
      <c r="G9" s="3">
        <f t="shared" si="0"/>
        <v>216395.9</v>
      </c>
      <c r="H9" s="109" t="s">
        <v>172</v>
      </c>
      <c r="I9" s="55"/>
      <c r="J9" s="19"/>
    </row>
    <row r="10" spans="1:10" x14ac:dyDescent="0.75">
      <c r="A10" s="12">
        <v>1210</v>
      </c>
      <c r="B10" s="13" t="s">
        <v>461</v>
      </c>
      <c r="C10" s="3">
        <f>SUMIF('Raw Data 01-31-2020'!$A$6:$A$254,'Q1 TB-20'!A10,'Raw Data 01-31-2020'!C$6:C$254)</f>
        <v>0</v>
      </c>
      <c r="D10" s="4"/>
      <c r="E10" s="3">
        <f>SUMIF('Raw Data 01-31-2020'!$A$6:$A$254,'Q1 TB-20'!A10,'Raw Data 01-31-2020'!D$6:D$254)</f>
        <v>0</v>
      </c>
      <c r="F10" s="3"/>
      <c r="G10" s="3">
        <f t="shared" si="0"/>
        <v>0</v>
      </c>
      <c r="H10" s="109" t="s">
        <v>172</v>
      </c>
      <c r="J10" s="19"/>
    </row>
    <row r="11" spans="1:10" x14ac:dyDescent="0.75">
      <c r="A11" s="12">
        <v>1250</v>
      </c>
      <c r="B11" s="13" t="s">
        <v>462</v>
      </c>
      <c r="C11" s="3">
        <f>SUMIF('Raw Data 01-31-2020'!$A$6:$A$254,'Q1 TB-20'!A11,'Raw Data 01-31-2020'!C$6:C$254)</f>
        <v>0</v>
      </c>
      <c r="D11" s="4"/>
      <c r="E11" s="3">
        <f>SUMIF('Raw Data 01-31-2020'!$A$6:$A$254,'Q1 TB-20'!A11,'Raw Data 01-31-2020'!D$6:D$254)</f>
        <v>0</v>
      </c>
      <c r="F11" s="3"/>
      <c r="G11" s="3">
        <f t="shared" si="0"/>
        <v>0</v>
      </c>
      <c r="H11" s="109" t="s">
        <v>172</v>
      </c>
      <c r="J11" s="19"/>
    </row>
    <row r="12" spans="1:10" x14ac:dyDescent="0.75">
      <c r="A12" s="12">
        <v>1280</v>
      </c>
      <c r="B12" s="13" t="s">
        <v>468</v>
      </c>
      <c r="C12" s="3">
        <f>SUMIF('Raw Data 01-31-2020'!$A$6:$A$254,'Q1 TB-20'!A12,'Raw Data 01-31-2020'!C$6:C$254)</f>
        <v>0</v>
      </c>
      <c r="D12" s="4"/>
      <c r="E12" s="3">
        <f>SUMIF('Raw Data 01-31-2020'!$A$6:$A$254,'Q1 TB-20'!A12,'Raw Data 01-31-2020'!D$6:D$254)</f>
        <v>0</v>
      </c>
      <c r="F12" s="3"/>
      <c r="G12" s="3">
        <f t="shared" si="0"/>
        <v>0</v>
      </c>
      <c r="H12" s="109" t="s">
        <v>175</v>
      </c>
      <c r="J12" s="19"/>
    </row>
    <row r="13" spans="1:10" x14ac:dyDescent="0.75">
      <c r="A13" s="12">
        <v>1290</v>
      </c>
      <c r="B13" s="13" t="s">
        <v>469</v>
      </c>
      <c r="C13" s="3">
        <f>SUMIF('Raw Data 01-31-2020'!$A$6:$A$254,'Q1 TB-20'!A13,'Raw Data 01-31-2020'!C$6:C$254)</f>
        <v>0</v>
      </c>
      <c r="D13" s="4"/>
      <c r="E13" s="3">
        <f>SUMIF('Raw Data 01-31-2020'!$A$6:$A$254,'Q1 TB-20'!A13,'Raw Data 01-31-2020'!D$6:D$254)</f>
        <v>0</v>
      </c>
      <c r="F13" s="3"/>
      <c r="G13" s="3">
        <f t="shared" si="0"/>
        <v>0</v>
      </c>
      <c r="H13" s="109" t="s">
        <v>172</v>
      </c>
      <c r="J13" s="19"/>
    </row>
    <row r="14" spans="1:10" x14ac:dyDescent="0.75">
      <c r="A14" s="12">
        <v>1300</v>
      </c>
      <c r="B14" s="13" t="s">
        <v>463</v>
      </c>
      <c r="C14" s="3">
        <f>SUMIF('Raw Data 01-31-2020'!$A$6:$A$254,'Q1 TB-20'!A14,'Raw Data 01-31-2020'!C$6:C$254)</f>
        <v>0</v>
      </c>
      <c r="D14" s="4"/>
      <c r="E14" s="3">
        <f>SUMIF('Raw Data 01-31-2020'!$A$6:$A$254,'Q1 TB-20'!A14,'Raw Data 01-31-2020'!D$6:D$254)</f>
        <v>0</v>
      </c>
      <c r="F14" s="3"/>
      <c r="G14" s="3">
        <f t="shared" si="0"/>
        <v>0</v>
      </c>
      <c r="H14" s="109" t="s">
        <v>174</v>
      </c>
      <c r="J14" s="19"/>
    </row>
    <row r="15" spans="1:10" x14ac:dyDescent="0.75">
      <c r="A15" s="12">
        <v>1310</v>
      </c>
      <c r="B15" s="13" t="s">
        <v>467</v>
      </c>
      <c r="C15" s="3">
        <f>SUMIF('Raw Data 01-31-2020'!$A$6:$A$254,'Q1 TB-20'!A15,'Raw Data 01-31-2020'!C$6:C$254)</f>
        <v>0</v>
      </c>
      <c r="D15" s="4"/>
      <c r="E15" s="3">
        <f>SUMIF('Raw Data 01-31-2020'!$A$6:$A$254,'Q1 TB-20'!A15,'Raw Data 01-31-2020'!D$6:D$254)</f>
        <v>1994.8</v>
      </c>
      <c r="F15" s="3"/>
      <c r="G15" s="3">
        <f t="shared" si="0"/>
        <v>-1994.8</v>
      </c>
      <c r="H15" s="109" t="s">
        <v>174</v>
      </c>
      <c r="J15" s="19"/>
    </row>
    <row r="16" spans="1:10" x14ac:dyDescent="0.75">
      <c r="A16" s="12">
        <v>1320</v>
      </c>
      <c r="B16" s="13" t="s">
        <v>466</v>
      </c>
      <c r="C16" s="3">
        <f>SUMIF('Raw Data 01-31-2020'!$A$6:$A$254,'Q1 TB-20'!A16,'Raw Data 01-31-2020'!C$6:C$254)</f>
        <v>0</v>
      </c>
      <c r="D16" s="4"/>
      <c r="E16" s="3">
        <f>SUMIF('Raw Data 01-31-2020'!$A$6:$A$254,'Q1 TB-20'!A16,'Raw Data 01-31-2020'!D$6:D$254)</f>
        <v>0</v>
      </c>
      <c r="F16" s="3"/>
      <c r="G16" s="3">
        <f t="shared" si="0"/>
        <v>0</v>
      </c>
      <c r="H16" s="109" t="s">
        <v>174</v>
      </c>
      <c r="J16" s="19"/>
    </row>
    <row r="17" spans="1:10" x14ac:dyDescent="0.75">
      <c r="A17" s="12">
        <v>1330</v>
      </c>
      <c r="B17" s="13" t="s">
        <v>464</v>
      </c>
      <c r="C17" s="3">
        <f>SUMIF('Raw Data 01-31-2020'!$A$6:$A$254,'Q1 TB-20'!A17,'Raw Data 01-31-2020'!C$6:C$254)</f>
        <v>0</v>
      </c>
      <c r="D17" s="4"/>
      <c r="E17" s="3">
        <f>SUMIF('Raw Data 01-31-2020'!$A$6:$A$254,'Q1 TB-20'!A17,'Raw Data 01-31-2020'!D$6:D$254)</f>
        <v>0</v>
      </c>
      <c r="F17" s="3"/>
      <c r="G17" s="3">
        <f t="shared" si="0"/>
        <v>0</v>
      </c>
      <c r="H17" s="109" t="s">
        <v>174</v>
      </c>
      <c r="J17" s="19"/>
    </row>
    <row r="18" spans="1:10" x14ac:dyDescent="0.75">
      <c r="A18" s="12">
        <v>1340</v>
      </c>
      <c r="B18" s="13" t="s">
        <v>465</v>
      </c>
      <c r="C18" s="3">
        <f>SUMIF('Raw Data 01-31-2020'!$A$6:$A$254,'Q1 TB-20'!A18,'Raw Data 01-31-2020'!C$6:C$254)</f>
        <v>0</v>
      </c>
      <c r="D18" s="4"/>
      <c r="E18" s="3">
        <f>SUMIF('Raw Data 01-31-2020'!$A$6:$A$254,'Q1 TB-20'!A18,'Raw Data 01-31-2020'!D$6:D$254)</f>
        <v>19994.2</v>
      </c>
      <c r="F18" s="3"/>
      <c r="G18" s="3">
        <f t="shared" si="0"/>
        <v>-19994.2</v>
      </c>
      <c r="H18" s="109" t="s">
        <v>174</v>
      </c>
      <c r="J18" s="19"/>
    </row>
    <row r="19" spans="1:10" x14ac:dyDescent="0.75">
      <c r="A19" s="12">
        <v>1410</v>
      </c>
      <c r="B19" s="13" t="s">
        <v>470</v>
      </c>
      <c r="C19" s="3">
        <f>SUMIF('Raw Data 01-31-2020'!$A$6:$A$254,'Q1 TB-20'!A19,'Raw Data 01-31-2020'!C$6:C$254)</f>
        <v>75250</v>
      </c>
      <c r="D19" s="4"/>
      <c r="E19" s="3">
        <f>SUMIF('Raw Data 01-31-2020'!$A$6:$A$254,'Q1 TB-20'!A19,'Raw Data 01-31-2020'!D$6:D$254)</f>
        <v>0</v>
      </c>
      <c r="F19" s="3"/>
      <c r="G19" s="3">
        <f t="shared" si="0"/>
        <v>75250</v>
      </c>
      <c r="H19" s="109" t="s">
        <v>175</v>
      </c>
      <c r="J19" s="19"/>
    </row>
    <row r="20" spans="1:10" x14ac:dyDescent="0.75">
      <c r="A20" s="12">
        <v>1420</v>
      </c>
      <c r="B20" s="13" t="s">
        <v>471</v>
      </c>
      <c r="C20" s="3">
        <f>SUMIF('Raw Data 01-31-2020'!$A$6:$A$254,'Q1 TB-20'!A20,'Raw Data 01-31-2020'!C$6:C$254)</f>
        <v>0</v>
      </c>
      <c r="D20" s="4"/>
      <c r="E20" s="3">
        <f>SUMIF('Raw Data 01-31-2020'!$A$6:$A$254,'Q1 TB-20'!A20,'Raw Data 01-31-2020'!D$6:D$254)</f>
        <v>0</v>
      </c>
      <c r="F20" s="3"/>
      <c r="G20" s="3">
        <f t="shared" si="0"/>
        <v>0</v>
      </c>
      <c r="H20" s="109" t="s">
        <v>175</v>
      </c>
      <c r="J20" s="19"/>
    </row>
    <row r="21" spans="1:10" x14ac:dyDescent="0.75">
      <c r="A21" s="12">
        <v>1430</v>
      </c>
      <c r="B21" s="13" t="s">
        <v>472</v>
      </c>
      <c r="C21" s="3">
        <f>SUMIF('Raw Data 01-31-2020'!$A$6:$A$254,'Q1 TB-20'!A21,'Raw Data 01-31-2020'!C$6:C$254)</f>
        <v>5500</v>
      </c>
      <c r="D21" s="4"/>
      <c r="E21" s="3">
        <f>SUMIF('Raw Data 01-31-2020'!$A$6:$A$254,'Q1 TB-20'!A21,'Raw Data 01-31-2020'!D$6:D$254)</f>
        <v>0</v>
      </c>
      <c r="F21" s="3"/>
      <c r="G21" s="3">
        <f t="shared" si="0"/>
        <v>5500</v>
      </c>
      <c r="H21" s="109" t="s">
        <v>175</v>
      </c>
      <c r="J21" s="19"/>
    </row>
    <row r="22" spans="1:10" x14ac:dyDescent="0.75">
      <c r="A22" s="12">
        <v>1710</v>
      </c>
      <c r="B22" s="13" t="s">
        <v>481</v>
      </c>
      <c r="C22" s="3">
        <f>SUMIF('Raw Data 01-31-2020'!$A$6:$A$254,'Q1 TB-20'!A22,'Raw Data 01-31-2020'!C$6:C$254)</f>
        <v>97384.17</v>
      </c>
      <c r="D22" s="4"/>
      <c r="E22" s="3">
        <f>SUMIF('Raw Data 01-31-2020'!$A$6:$A$254,'Q1 TB-20'!A22,'Raw Data 01-31-2020'!D$6:D$254)</f>
        <v>0</v>
      </c>
      <c r="F22" s="3"/>
      <c r="G22" s="3">
        <f t="shared" si="0"/>
        <v>97384.17</v>
      </c>
      <c r="H22" s="109" t="s">
        <v>173</v>
      </c>
      <c r="J22" s="19"/>
    </row>
    <row r="23" spans="1:10" x14ac:dyDescent="0.75">
      <c r="A23" s="12">
        <v>1715</v>
      </c>
      <c r="B23" s="13" t="s">
        <v>483</v>
      </c>
      <c r="C23" s="3">
        <f>SUMIF('Raw Data 01-31-2020'!$A$6:$A$254,'Q1 TB-20'!A23,'Raw Data 01-31-2020'!C$6:C$254)</f>
        <v>0</v>
      </c>
      <c r="D23" s="4"/>
      <c r="E23" s="3">
        <f>SUMIF('Raw Data 01-31-2020'!$A$6:$A$254,'Q1 TB-20'!A23,'Raw Data 01-31-2020'!D$6:D$254)</f>
        <v>0</v>
      </c>
      <c r="F23" s="3"/>
      <c r="G23" s="3">
        <f t="shared" si="0"/>
        <v>0</v>
      </c>
      <c r="H23" s="109" t="s">
        <v>173</v>
      </c>
      <c r="J23" s="19"/>
    </row>
    <row r="24" spans="1:10" x14ac:dyDescent="0.75">
      <c r="A24" s="12">
        <v>1720</v>
      </c>
      <c r="B24" s="13" t="s">
        <v>484</v>
      </c>
      <c r="C24" s="3">
        <f>SUMIF('Raw Data 01-31-2020'!$A$6:$A$254,'Q1 TB-20'!A24,'Raw Data 01-31-2020'!C$6:C$254)</f>
        <v>3937.6</v>
      </c>
      <c r="D24" s="4"/>
      <c r="E24" s="3">
        <f>SUMIF('Raw Data 01-31-2020'!$A$6:$A$254,'Q1 TB-20'!A24,'Raw Data 01-31-2020'!D$6:D$254)</f>
        <v>0</v>
      </c>
      <c r="F24" s="3"/>
      <c r="G24" s="3">
        <f t="shared" si="0"/>
        <v>3937.6</v>
      </c>
      <c r="H24" s="109" t="s">
        <v>173</v>
      </c>
      <c r="J24" s="19"/>
    </row>
    <row r="25" spans="1:10" x14ac:dyDescent="0.75">
      <c r="A25" s="12">
        <v>1725</v>
      </c>
      <c r="B25" s="13" t="s">
        <v>485</v>
      </c>
      <c r="C25" s="3">
        <f>SUMIF('Raw Data 01-31-2020'!$A$6:$A$254,'Q1 TB-20'!A25,'Raw Data 01-31-2020'!C$6:C$254)</f>
        <v>2446.33</v>
      </c>
      <c r="D25" s="4"/>
      <c r="E25" s="3">
        <f>SUMIF('Raw Data 01-31-2020'!$A$6:$A$254,'Q1 TB-20'!A25,'Raw Data 01-31-2020'!D$6:D$254)</f>
        <v>0</v>
      </c>
      <c r="F25" s="3"/>
      <c r="G25" s="3">
        <f t="shared" si="0"/>
        <v>2446.33</v>
      </c>
      <c r="H25" s="109" t="s">
        <v>173</v>
      </c>
      <c r="J25" s="19"/>
    </row>
    <row r="26" spans="1:10" x14ac:dyDescent="0.75">
      <c r="A26" s="12">
        <v>1735</v>
      </c>
      <c r="B26" s="13" t="s">
        <v>487</v>
      </c>
      <c r="C26" s="3">
        <f>SUMIF('Raw Data 01-31-2020'!$A$6:$A$254,'Q1 TB-20'!A26,'Raw Data 01-31-2020'!C$6:C$254)</f>
        <v>4977.6499999999996</v>
      </c>
      <c r="D26" s="4"/>
      <c r="E26" s="3">
        <f>SUMIF('Raw Data 01-31-2020'!$A$6:$A$254,'Q1 TB-20'!A26,'Raw Data 01-31-2020'!D$6:D$254)</f>
        <v>0</v>
      </c>
      <c r="F26" s="3"/>
      <c r="G26" s="3">
        <f t="shared" si="0"/>
        <v>4977.6499999999996</v>
      </c>
      <c r="H26" s="109" t="s">
        <v>173</v>
      </c>
      <c r="J26" s="19"/>
    </row>
    <row r="27" spans="1:10" x14ac:dyDescent="0.75">
      <c r="A27" s="12">
        <v>1740</v>
      </c>
      <c r="B27" s="13" t="s">
        <v>488</v>
      </c>
      <c r="C27" s="3">
        <f>SUMIF('Raw Data 01-31-2020'!$A$6:$A$254,'Q1 TB-20'!A27,'Raw Data 01-31-2020'!C$6:C$254)</f>
        <v>0</v>
      </c>
      <c r="D27" s="4"/>
      <c r="E27" s="3">
        <f>SUMIF('Raw Data 01-31-2020'!$A$6:$A$254,'Q1 TB-20'!A27,'Raw Data 01-31-2020'!D$6:D$254)</f>
        <v>0</v>
      </c>
      <c r="F27" s="3"/>
      <c r="G27" s="3">
        <f t="shared" si="0"/>
        <v>0</v>
      </c>
      <c r="H27" s="109" t="s">
        <v>173</v>
      </c>
      <c r="J27" s="19"/>
    </row>
    <row r="28" spans="1:10" x14ac:dyDescent="0.75">
      <c r="A28" s="12">
        <v>1745</v>
      </c>
      <c r="B28" s="13" t="s">
        <v>489</v>
      </c>
      <c r="C28" s="3">
        <f>SUMIF('Raw Data 01-31-2020'!$A$6:$A$254,'Q1 TB-20'!A28,'Raw Data 01-31-2020'!C$6:C$254)</f>
        <v>315246.63</v>
      </c>
      <c r="D28" s="4"/>
      <c r="E28" s="3">
        <f>SUMIF('Raw Data 01-31-2020'!$A$6:$A$254,'Q1 TB-20'!A28,'Raw Data 01-31-2020'!D$6:D$254)</f>
        <v>0</v>
      </c>
      <c r="F28" s="3"/>
      <c r="G28" s="3">
        <f t="shared" si="0"/>
        <v>315246.63</v>
      </c>
      <c r="H28" s="109" t="s">
        <v>173</v>
      </c>
      <c r="J28" s="19"/>
    </row>
    <row r="29" spans="1:10" x14ac:dyDescent="0.75">
      <c r="A29" s="12">
        <v>1750</v>
      </c>
      <c r="B29" s="13" t="s">
        <v>490</v>
      </c>
      <c r="C29" s="3">
        <f>SUMIF('Raw Data 01-31-2020'!$A$6:$A$254,'Q1 TB-20'!A29,'Raw Data 01-31-2020'!C$6:C$254)</f>
        <v>10394.01</v>
      </c>
      <c r="D29" s="4"/>
      <c r="E29" s="3">
        <f>SUMIF('Raw Data 01-31-2020'!$A$6:$A$254,'Q1 TB-20'!A29,'Raw Data 01-31-2020'!D$6:D$254)</f>
        <v>0</v>
      </c>
      <c r="F29" s="3"/>
      <c r="G29" s="3">
        <f t="shared" si="0"/>
        <v>10394.01</v>
      </c>
      <c r="H29" s="109" t="s">
        <v>173</v>
      </c>
      <c r="J29" s="19"/>
    </row>
    <row r="30" spans="1:10" x14ac:dyDescent="0.75">
      <c r="A30" s="12">
        <v>1755</v>
      </c>
      <c r="B30" s="13" t="s">
        <v>491</v>
      </c>
      <c r="C30" s="3">
        <f>SUMIF('Raw Data 01-31-2020'!$A$6:$A$254,'Q1 TB-20'!A30,'Raw Data 01-31-2020'!C$6:C$254)</f>
        <v>787.91</v>
      </c>
      <c r="D30" s="4"/>
      <c r="E30" s="3">
        <f>SUMIF('Raw Data 01-31-2020'!$A$6:$A$254,'Q1 TB-20'!A30,'Raw Data 01-31-2020'!D$6:D$254)</f>
        <v>0</v>
      </c>
      <c r="F30" s="3"/>
      <c r="G30" s="3">
        <f t="shared" si="0"/>
        <v>787.91</v>
      </c>
      <c r="H30" s="109" t="s">
        <v>173</v>
      </c>
      <c r="J30" s="19"/>
    </row>
    <row r="31" spans="1:10" x14ac:dyDescent="0.75">
      <c r="A31" s="12">
        <v>1760</v>
      </c>
      <c r="B31" s="13" t="s">
        <v>492</v>
      </c>
      <c r="C31" s="3">
        <f>SUMIF('Raw Data 01-31-2020'!$A$6:$A$254,'Q1 TB-20'!A31,'Raw Data 01-31-2020'!C$6:C$254)</f>
        <v>20105.95</v>
      </c>
      <c r="D31" s="4"/>
      <c r="E31" s="3">
        <f>SUMIF('Raw Data 01-31-2020'!$A$6:$A$254,'Q1 TB-20'!A31,'Raw Data 01-31-2020'!D$6:D$254)</f>
        <v>0</v>
      </c>
      <c r="F31" s="3"/>
      <c r="G31" s="3">
        <f t="shared" si="0"/>
        <v>20105.95</v>
      </c>
      <c r="H31" s="109" t="s">
        <v>173</v>
      </c>
      <c r="J31" s="19"/>
    </row>
    <row r="32" spans="1:10" x14ac:dyDescent="0.75">
      <c r="A32" s="12">
        <v>1765</v>
      </c>
      <c r="B32" s="13" t="s">
        <v>493</v>
      </c>
      <c r="C32" s="3">
        <f>SUMIF('Raw Data 01-31-2020'!$A$6:$A$254,'Q1 TB-20'!A32,'Raw Data 01-31-2020'!C$6:C$254)</f>
        <v>1015.31</v>
      </c>
      <c r="D32" s="4"/>
      <c r="E32" s="3">
        <f>SUMIF('Raw Data 01-31-2020'!$A$6:$A$254,'Q1 TB-20'!A32,'Raw Data 01-31-2020'!D$6:D$254)</f>
        <v>0</v>
      </c>
      <c r="F32" s="3"/>
      <c r="G32" s="3">
        <f t="shared" si="0"/>
        <v>1015.31</v>
      </c>
      <c r="H32" s="109" t="s">
        <v>173</v>
      </c>
      <c r="J32" s="19"/>
    </row>
    <row r="33" spans="1:10" x14ac:dyDescent="0.75">
      <c r="A33" s="12">
        <v>1781</v>
      </c>
      <c r="B33" s="13" t="s">
        <v>482</v>
      </c>
      <c r="C33" s="3">
        <f>SUMIF('Raw Data 01-31-2020'!$A$6:$A$254,'Q1 TB-20'!A33,'Raw Data 01-31-2020'!C$6:C$254)</f>
        <v>0</v>
      </c>
      <c r="D33" s="4"/>
      <c r="E33" s="3">
        <f>SUMIF('Raw Data 01-31-2020'!$A$6:$A$254,'Q1 TB-20'!A33,'Raw Data 01-31-2020'!D$6:D$254)</f>
        <v>47894.14</v>
      </c>
      <c r="F33" s="3"/>
      <c r="G33" s="3">
        <f t="shared" si="0"/>
        <v>-47894.14</v>
      </c>
      <c r="H33" s="109" t="s">
        <v>173</v>
      </c>
      <c r="J33" s="19"/>
    </row>
    <row r="34" spans="1:10" x14ac:dyDescent="0.75">
      <c r="A34" s="12">
        <v>1782</v>
      </c>
      <c r="B34" s="13" t="s">
        <v>473</v>
      </c>
      <c r="C34" s="3">
        <f>SUMIF('Raw Data 01-31-2020'!$A$6:$A$254,'Q1 TB-20'!A34,'Raw Data 01-31-2020'!C$6:C$254)</f>
        <v>0</v>
      </c>
      <c r="D34" s="4"/>
      <c r="E34" s="3">
        <f>SUMIF('Raw Data 01-31-2020'!$A$6:$A$254,'Q1 TB-20'!A34,'Raw Data 01-31-2020'!D$6:D$254)</f>
        <v>0</v>
      </c>
      <c r="F34" s="3"/>
      <c r="G34" s="3">
        <f t="shared" si="0"/>
        <v>0</v>
      </c>
      <c r="H34" s="109" t="s">
        <v>173</v>
      </c>
      <c r="J34" s="19"/>
    </row>
    <row r="35" spans="1:10" x14ac:dyDescent="0.75">
      <c r="A35" s="12">
        <v>1783</v>
      </c>
      <c r="B35" s="13" t="s">
        <v>474</v>
      </c>
      <c r="C35" s="3">
        <f>SUMIF('Raw Data 01-31-2020'!$A$6:$A$254,'Q1 TB-20'!A35,'Raw Data 01-31-2020'!C$6:C$254)</f>
        <v>0</v>
      </c>
      <c r="D35" s="4"/>
      <c r="E35" s="3">
        <f>SUMIF('Raw Data 01-31-2020'!$A$6:$A$254,'Q1 TB-20'!A35,'Raw Data 01-31-2020'!D$6:D$254)</f>
        <v>1312.52</v>
      </c>
      <c r="F35" s="3"/>
      <c r="G35" s="3">
        <f t="shared" si="0"/>
        <v>-1312.52</v>
      </c>
      <c r="H35" s="109" t="s">
        <v>173</v>
      </c>
      <c r="J35" s="19"/>
    </row>
    <row r="36" spans="1:10" x14ac:dyDescent="0.75">
      <c r="A36" s="12">
        <v>1784</v>
      </c>
      <c r="B36" s="13" t="s">
        <v>486</v>
      </c>
      <c r="C36" s="3">
        <f>SUMIF('Raw Data 01-31-2020'!$A$6:$A$254,'Q1 TB-20'!A36,'Raw Data 01-31-2020'!C$6:C$254)</f>
        <v>0</v>
      </c>
      <c r="D36" s="4"/>
      <c r="E36" s="3">
        <f>SUMIF('Raw Data 01-31-2020'!$A$6:$A$254,'Q1 TB-20'!A36,'Raw Data 01-31-2020'!D$6:D$254)</f>
        <v>559.1</v>
      </c>
      <c r="F36" s="3"/>
      <c r="G36" s="3">
        <f t="shared" si="0"/>
        <v>-559.1</v>
      </c>
      <c r="H36" s="109" t="s">
        <v>173</v>
      </c>
      <c r="J36" s="19"/>
    </row>
    <row r="37" spans="1:10" x14ac:dyDescent="0.75">
      <c r="A37" s="12">
        <v>1785</v>
      </c>
      <c r="B37" s="13" t="s">
        <v>476</v>
      </c>
      <c r="C37" s="3">
        <f>SUMIF('Raw Data 01-31-2020'!$A$6:$A$254,'Q1 TB-20'!A37,'Raw Data 01-31-2020'!C$6:C$254)</f>
        <v>0</v>
      </c>
      <c r="D37" s="4"/>
      <c r="E37" s="3">
        <f>SUMIF('Raw Data 01-31-2020'!$A$6:$A$254,'Q1 TB-20'!A37,'Raw Data 01-31-2020'!D$6:D$254)</f>
        <v>4321.3500000000004</v>
      </c>
      <c r="F37" s="3"/>
      <c r="G37" s="3">
        <f t="shared" si="0"/>
        <v>-4321.3500000000004</v>
      </c>
      <c r="H37" s="109" t="s">
        <v>173</v>
      </c>
      <c r="J37" s="19"/>
    </row>
    <row r="38" spans="1:10" x14ac:dyDescent="0.75">
      <c r="A38" s="12">
        <v>1786</v>
      </c>
      <c r="B38" s="13" t="s">
        <v>475</v>
      </c>
      <c r="C38" s="3">
        <f>SUMIF('Raw Data 01-31-2020'!$A$6:$A$254,'Q1 TB-20'!A38,'Raw Data 01-31-2020'!C$6:C$254)</f>
        <v>0</v>
      </c>
      <c r="D38" s="4"/>
      <c r="E38" s="3">
        <f>SUMIF('Raw Data 01-31-2020'!$A$6:$A$254,'Q1 TB-20'!A38,'Raw Data 01-31-2020'!D$6:D$254)</f>
        <v>0</v>
      </c>
      <c r="F38" s="3"/>
      <c r="G38" s="3">
        <f t="shared" si="0"/>
        <v>0</v>
      </c>
      <c r="H38" s="109" t="s">
        <v>173</v>
      </c>
      <c r="J38" s="19"/>
    </row>
    <row r="39" spans="1:10" x14ac:dyDescent="0.75">
      <c r="A39" s="12">
        <v>1787</v>
      </c>
      <c r="B39" s="13" t="s">
        <v>477</v>
      </c>
      <c r="C39" s="3">
        <f>SUMIF('Raw Data 01-31-2020'!$A$6:$A$254,'Q1 TB-20'!A39,'Raw Data 01-31-2020'!C$6:C$254)</f>
        <v>0</v>
      </c>
      <c r="D39" s="4"/>
      <c r="E39" s="3">
        <f>SUMIF('Raw Data 01-31-2020'!$A$6:$A$254,'Q1 TB-20'!A39,'Raw Data 01-31-2020'!D$6:D$254)</f>
        <v>189746.69</v>
      </c>
      <c r="F39" s="3"/>
      <c r="G39" s="3">
        <f t="shared" si="0"/>
        <v>-189746.69</v>
      </c>
      <c r="H39" s="109" t="s">
        <v>173</v>
      </c>
      <c r="J39" s="19"/>
    </row>
    <row r="40" spans="1:10" x14ac:dyDescent="0.75">
      <c r="A40" s="12" t="s">
        <v>863</v>
      </c>
      <c r="B40" s="13" t="s">
        <v>864</v>
      </c>
      <c r="C40" s="3">
        <f>SUMIF('Raw Data 01-31-2020'!$A$6:$A$254,'Q1 TB-20'!A40,'Raw Data 01-31-2020'!C$6:C$254)</f>
        <v>0</v>
      </c>
      <c r="D40" s="4"/>
      <c r="E40" s="3">
        <f>SUMIF('Raw Data 01-31-2020'!$A$6:$A$254,'Q1 TB-20'!A40,'Raw Data 01-31-2020'!D$6:D$254)</f>
        <v>10394.01</v>
      </c>
      <c r="F40" s="3"/>
      <c r="G40" s="3">
        <f t="shared" si="0"/>
        <v>-10394.01</v>
      </c>
      <c r="H40" s="109" t="s">
        <v>173</v>
      </c>
      <c r="J40" s="19"/>
    </row>
    <row r="41" spans="1:10" x14ac:dyDescent="0.75">
      <c r="A41" s="12">
        <v>1789</v>
      </c>
      <c r="B41" s="13" t="s">
        <v>478</v>
      </c>
      <c r="C41" s="3">
        <f>SUMIF('Raw Data 01-31-2020'!$A$6:$A$254,'Q1 TB-20'!A41,'Raw Data 01-31-2020'!C$6:C$254)</f>
        <v>0</v>
      </c>
      <c r="D41" s="4"/>
      <c r="E41" s="3">
        <f>SUMIF('Raw Data 01-31-2020'!$A$6:$A$254,'Q1 TB-20'!A41,'Raw Data 01-31-2020'!D$6:D$254)</f>
        <v>787.91</v>
      </c>
      <c r="F41" s="3"/>
      <c r="G41" s="3">
        <f t="shared" si="0"/>
        <v>-787.91</v>
      </c>
      <c r="H41" s="109" t="s">
        <v>173</v>
      </c>
      <c r="J41" s="19"/>
    </row>
    <row r="42" spans="1:10" x14ac:dyDescent="0.75">
      <c r="A42" s="12">
        <v>1790</v>
      </c>
      <c r="B42" s="13" t="s">
        <v>479</v>
      </c>
      <c r="C42" s="3">
        <f>SUMIF('Raw Data 01-31-2020'!$A$6:$A$254,'Q1 TB-20'!A42,'Raw Data 01-31-2020'!C$6:C$254)</f>
        <v>0</v>
      </c>
      <c r="D42" s="4"/>
      <c r="E42" s="3">
        <f>SUMIF('Raw Data 01-31-2020'!$A$6:$A$254,'Q1 TB-20'!A42,'Raw Data 01-31-2020'!D$6:D$254)</f>
        <v>1015.31</v>
      </c>
      <c r="F42" s="3"/>
      <c r="G42" s="3">
        <f t="shared" si="0"/>
        <v>-1015.31</v>
      </c>
      <c r="H42" s="109" t="s">
        <v>173</v>
      </c>
      <c r="J42" s="19"/>
    </row>
    <row r="43" spans="1:10" x14ac:dyDescent="0.75">
      <c r="A43" s="12">
        <v>1791</v>
      </c>
      <c r="B43" s="13" t="s">
        <v>480</v>
      </c>
      <c r="C43" s="3">
        <f>SUMIF('Raw Data 01-31-2020'!$A$6:$A$254,'Q1 TB-20'!A43,'Raw Data 01-31-2020'!C$6:C$254)</f>
        <v>0</v>
      </c>
      <c r="D43" s="4"/>
      <c r="E43" s="3">
        <f>SUMIF('Raw Data 01-31-2020'!$A$6:$A$254,'Q1 TB-20'!A43,'Raw Data 01-31-2020'!D$6:D$254)</f>
        <v>19955.22</v>
      </c>
      <c r="F43" s="3"/>
      <c r="G43" s="3">
        <f t="shared" si="0"/>
        <v>-19955.22</v>
      </c>
      <c r="H43" s="109" t="s">
        <v>173</v>
      </c>
      <c r="J43" s="19"/>
    </row>
    <row r="44" spans="1:10" x14ac:dyDescent="0.75">
      <c r="A44" s="12" t="s">
        <v>67</v>
      </c>
      <c r="B44" s="13" t="s">
        <v>921</v>
      </c>
      <c r="C44" s="3">
        <f>SUMIF('Raw Data 01-31-2020'!$A$6:$A$254,'Q1 TB-20'!A44,'Raw Data 01-31-2020'!C$6:C$254)</f>
        <v>56459</v>
      </c>
      <c r="D44" s="4"/>
      <c r="E44" s="3">
        <f>SUMIF('Raw Data 01-31-2020'!$A$6:$A$254,'Q1 TB-20'!A44,'Raw Data 01-31-2020'!D$6:D$254)</f>
        <v>0</v>
      </c>
      <c r="F44" s="3"/>
      <c r="G44" s="3">
        <f t="shared" si="0"/>
        <v>56459</v>
      </c>
      <c r="H44" s="109" t="s">
        <v>922</v>
      </c>
      <c r="J44" s="19"/>
    </row>
    <row r="45" spans="1:10" x14ac:dyDescent="0.75">
      <c r="A45" s="12">
        <v>1820</v>
      </c>
      <c r="B45" s="13" t="s">
        <v>495</v>
      </c>
      <c r="C45" s="3">
        <f>SUMIF('Raw Data 01-31-2020'!$A$6:$A$254,'Q1 TB-20'!A45,'Raw Data 01-31-2020'!C$6:C$254)</f>
        <v>0</v>
      </c>
      <c r="D45" s="4"/>
      <c r="E45" s="3">
        <f>SUMIF('Raw Data 01-31-2020'!$A$6:$A$254,'Q1 TB-20'!A45,'Raw Data 01-31-2020'!D$6:D$254)</f>
        <v>0</v>
      </c>
      <c r="F45" s="3"/>
      <c r="G45" s="3">
        <f t="shared" si="0"/>
        <v>0</v>
      </c>
      <c r="H45" s="109" t="s">
        <v>444</v>
      </c>
      <c r="J45" s="19"/>
    </row>
    <row r="46" spans="1:10" x14ac:dyDescent="0.75">
      <c r="A46" s="12">
        <v>1830</v>
      </c>
      <c r="B46" s="13" t="s">
        <v>496</v>
      </c>
      <c r="C46" s="3">
        <f>SUMIF('Raw Data 01-31-2020'!$A$6:$A$254,'Q1 TB-20'!A46,'Raw Data 01-31-2020'!C$6:C$254)</f>
        <v>0</v>
      </c>
      <c r="D46" s="4"/>
      <c r="E46" s="3">
        <f>SUMIF('Raw Data 01-31-2020'!$A$6:$A$254,'Q1 TB-20'!A46,'Raw Data 01-31-2020'!D$6:D$254)</f>
        <v>0</v>
      </c>
      <c r="F46" s="3"/>
      <c r="G46" s="3">
        <f t="shared" si="0"/>
        <v>0</v>
      </c>
      <c r="H46" s="109" t="s">
        <v>444</v>
      </c>
      <c r="J46" s="19"/>
    </row>
    <row r="47" spans="1:10" x14ac:dyDescent="0.75">
      <c r="A47" s="12">
        <v>1840</v>
      </c>
      <c r="B47" s="13" t="s">
        <v>497</v>
      </c>
      <c r="C47" s="3">
        <f>SUMIF('Raw Data 01-31-2020'!$A$6:$A$254,'Q1 TB-20'!A47,'Raw Data 01-31-2020'!C$6:C$254)</f>
        <v>0</v>
      </c>
      <c r="D47" s="4"/>
      <c r="E47" s="3">
        <f>SUMIF('Raw Data 01-31-2020'!$A$6:$A$254,'Q1 TB-20'!A47,'Raw Data 01-31-2020'!D$6:D$254)</f>
        <v>0</v>
      </c>
      <c r="F47" s="3"/>
      <c r="G47" s="3">
        <f t="shared" si="0"/>
        <v>0</v>
      </c>
      <c r="H47" s="109" t="s">
        <v>444</v>
      </c>
      <c r="J47" s="19"/>
    </row>
    <row r="48" spans="1:10" x14ac:dyDescent="0.75">
      <c r="A48" s="12">
        <v>1900</v>
      </c>
      <c r="B48" s="13" t="s">
        <v>498</v>
      </c>
      <c r="C48" s="3">
        <f>SUMIF('Raw Data 01-31-2020'!$A$6:$A$254,'Q1 TB-20'!A48,'Raw Data 01-31-2020'!C$6:C$254)</f>
        <v>0</v>
      </c>
      <c r="D48" s="4"/>
      <c r="E48" s="3">
        <f>SUMIF('Raw Data 01-31-2020'!$A$6:$A$254,'Q1 TB-20'!A48,'Raw Data 01-31-2020'!D$6:D$254)</f>
        <v>0</v>
      </c>
      <c r="F48" s="3"/>
      <c r="G48" s="3">
        <f t="shared" si="0"/>
        <v>0</v>
      </c>
      <c r="H48" s="109" t="s">
        <v>443</v>
      </c>
      <c r="J48" s="19"/>
    </row>
    <row r="49" spans="1:10" x14ac:dyDescent="0.75">
      <c r="A49" s="12">
        <v>1902</v>
      </c>
      <c r="B49" s="13" t="s">
        <v>499</v>
      </c>
      <c r="C49" s="3">
        <f>SUMIF('Raw Data 01-31-2020'!$A$6:$A$254,'Q1 TB-20'!A49,'Raw Data 01-31-2020'!C$6:C$254)</f>
        <v>0</v>
      </c>
      <c r="D49" s="4"/>
      <c r="E49" s="3">
        <f>SUMIF('Raw Data 01-31-2020'!$A$6:$A$254,'Q1 TB-20'!A49,'Raw Data 01-31-2020'!D$6:D$254)</f>
        <v>0</v>
      </c>
      <c r="F49" s="3"/>
      <c r="G49" s="3">
        <f t="shared" si="0"/>
        <v>0</v>
      </c>
      <c r="H49" s="109" t="s">
        <v>443</v>
      </c>
      <c r="J49" s="19"/>
    </row>
    <row r="50" spans="1:10" x14ac:dyDescent="0.75">
      <c r="A50" s="12">
        <v>1904</v>
      </c>
      <c r="B50" s="13" t="s">
        <v>500</v>
      </c>
      <c r="C50" s="3">
        <f>SUMIF('Raw Data 01-31-2020'!$A$6:$A$254,'Q1 TB-20'!A50,'Raw Data 01-31-2020'!C$6:C$254)</f>
        <v>0</v>
      </c>
      <c r="D50" s="4"/>
      <c r="E50" s="3">
        <f>SUMIF('Raw Data 01-31-2020'!$A$6:$A$254,'Q1 TB-20'!A50,'Raw Data 01-31-2020'!D$6:D$254)</f>
        <v>0</v>
      </c>
      <c r="F50" s="3"/>
      <c r="G50" s="3">
        <f t="shared" si="0"/>
        <v>0</v>
      </c>
      <c r="H50" s="109" t="s">
        <v>176</v>
      </c>
      <c r="J50" s="19"/>
    </row>
    <row r="51" spans="1:10" x14ac:dyDescent="0.75">
      <c r="A51" s="12">
        <v>1906</v>
      </c>
      <c r="B51" s="13" t="s">
        <v>501</v>
      </c>
      <c r="C51" s="3">
        <f>SUMIF('Raw Data 01-31-2020'!$A$6:$A$254,'Q1 TB-20'!A51,'Raw Data 01-31-2020'!C$6:C$254)</f>
        <v>0</v>
      </c>
      <c r="D51" s="4"/>
      <c r="E51" s="3">
        <f>SUMIF('Raw Data 01-31-2020'!$A$6:$A$254,'Q1 TB-20'!A51,'Raw Data 01-31-2020'!D$6:D$254)</f>
        <v>0</v>
      </c>
      <c r="F51" s="3"/>
      <c r="G51" s="3">
        <f t="shared" si="0"/>
        <v>0</v>
      </c>
      <c r="H51" s="109" t="s">
        <v>176</v>
      </c>
      <c r="J51" s="19"/>
    </row>
    <row r="52" spans="1:10" x14ac:dyDescent="0.75">
      <c r="A52" s="12">
        <v>1908</v>
      </c>
      <c r="B52" s="13" t="s">
        <v>502</v>
      </c>
      <c r="C52" s="3">
        <f>SUMIF('Raw Data 01-31-2020'!$A$6:$A$254,'Q1 TB-20'!A52,'Raw Data 01-31-2020'!C$6:C$254)</f>
        <v>0</v>
      </c>
      <c r="D52" s="4"/>
      <c r="E52" s="3">
        <f>SUMIF('Raw Data 01-31-2020'!$A$6:$A$254,'Q1 TB-20'!A52,'Raw Data 01-31-2020'!D$6:D$254)</f>
        <v>0</v>
      </c>
      <c r="F52" s="3"/>
      <c r="G52" s="3">
        <f t="shared" si="0"/>
        <v>0</v>
      </c>
      <c r="H52" s="109" t="s">
        <v>176</v>
      </c>
      <c r="J52" s="19"/>
    </row>
    <row r="53" spans="1:10" x14ac:dyDescent="0.75">
      <c r="A53" s="12">
        <v>1910</v>
      </c>
      <c r="B53" s="13" t="s">
        <v>503</v>
      </c>
      <c r="C53" s="3">
        <f>SUMIF('Raw Data 01-31-2020'!$A$6:$A$254,'Q1 TB-20'!A53,'Raw Data 01-31-2020'!C$6:C$254)</f>
        <v>0</v>
      </c>
      <c r="D53" s="4"/>
      <c r="E53" s="3">
        <f>SUMIF('Raw Data 01-31-2020'!$A$6:$A$254,'Q1 TB-20'!A53,'Raw Data 01-31-2020'!D$6:D$254)</f>
        <v>0</v>
      </c>
      <c r="F53" s="3"/>
      <c r="G53" s="3">
        <f t="shared" si="0"/>
        <v>0</v>
      </c>
      <c r="H53" s="109" t="s">
        <v>443</v>
      </c>
      <c r="J53" s="19"/>
    </row>
    <row r="54" spans="1:10" x14ac:dyDescent="0.75">
      <c r="A54" s="12">
        <v>1912</v>
      </c>
      <c r="B54" s="13" t="s">
        <v>504</v>
      </c>
      <c r="C54" s="3">
        <f>SUMIF('Raw Data 01-31-2020'!$A$6:$A$254,'Q1 TB-20'!A54,'Raw Data 01-31-2020'!C$6:C$254)</f>
        <v>0</v>
      </c>
      <c r="D54" s="4"/>
      <c r="E54" s="3">
        <f>SUMIF('Raw Data 01-31-2020'!$A$6:$A$254,'Q1 TB-20'!A54,'Raw Data 01-31-2020'!D$6:D$254)</f>
        <v>0</v>
      </c>
      <c r="F54" s="3"/>
      <c r="G54" s="3">
        <f t="shared" si="0"/>
        <v>0</v>
      </c>
      <c r="H54" s="109" t="s">
        <v>176</v>
      </c>
      <c r="J54" s="19"/>
    </row>
    <row r="55" spans="1:10" x14ac:dyDescent="0.75">
      <c r="A55" s="12">
        <v>1914</v>
      </c>
      <c r="B55" s="13" t="s">
        <v>505</v>
      </c>
      <c r="C55" s="3">
        <f>SUMIF('Raw Data 01-31-2020'!$A$6:$A$254,'Q1 TB-20'!A55,'Raw Data 01-31-2020'!C$6:C$254)</f>
        <v>0</v>
      </c>
      <c r="D55" s="4"/>
      <c r="E55" s="3">
        <f>SUMIF('Raw Data 01-31-2020'!$A$6:$A$254,'Q1 TB-20'!A55,'Raw Data 01-31-2020'!D$6:D$254)</f>
        <v>0</v>
      </c>
      <c r="F55" s="3"/>
      <c r="G55" s="3">
        <f t="shared" si="0"/>
        <v>0</v>
      </c>
      <c r="H55" s="109" t="s">
        <v>176</v>
      </c>
      <c r="J55" s="19"/>
    </row>
    <row r="56" spans="1:10" x14ac:dyDescent="0.75">
      <c r="A56" s="12">
        <v>1916</v>
      </c>
      <c r="B56" s="13" t="s">
        <v>506</v>
      </c>
      <c r="C56" s="3">
        <f>SUMIF('Raw Data 01-31-2020'!$A$6:$A$254,'Q1 TB-20'!A56,'Raw Data 01-31-2020'!C$6:C$254)</f>
        <v>0</v>
      </c>
      <c r="D56" s="4"/>
      <c r="E56" s="3">
        <f>SUMIF('Raw Data 01-31-2020'!$A$6:$A$254,'Q1 TB-20'!A56,'Raw Data 01-31-2020'!D$6:D$254)</f>
        <v>0</v>
      </c>
      <c r="F56" s="3"/>
      <c r="G56" s="3">
        <f t="shared" si="0"/>
        <v>0</v>
      </c>
      <c r="H56" s="109" t="s">
        <v>176</v>
      </c>
      <c r="J56" s="19"/>
    </row>
    <row r="57" spans="1:10" x14ac:dyDescent="0.75">
      <c r="A57" s="12">
        <v>1918</v>
      </c>
      <c r="B57" s="13" t="s">
        <v>507</v>
      </c>
      <c r="C57" s="3">
        <f>SUMIF('Raw Data 01-31-2020'!$A$6:$A$254,'Q1 TB-20'!A57,'Raw Data 01-31-2020'!C$6:C$254)</f>
        <v>0</v>
      </c>
      <c r="D57" s="4"/>
      <c r="E57" s="3">
        <f>SUMIF('Raw Data 01-31-2020'!$A$6:$A$254,'Q1 TB-20'!A57,'Raw Data 01-31-2020'!D$6:D$254)</f>
        <v>0</v>
      </c>
      <c r="F57" s="3"/>
      <c r="G57" s="3">
        <f t="shared" si="0"/>
        <v>0</v>
      </c>
      <c r="H57" s="109" t="s">
        <v>176</v>
      </c>
      <c r="J57" s="19"/>
    </row>
    <row r="58" spans="1:10" x14ac:dyDescent="0.75">
      <c r="A58" s="12">
        <v>1920</v>
      </c>
      <c r="B58" s="13" t="s">
        <v>508</v>
      </c>
      <c r="C58" s="3">
        <f>SUMIF('Raw Data 01-31-2020'!$A$6:$A$254,'Q1 TB-20'!A58,'Raw Data 01-31-2020'!C$6:C$254)</f>
        <v>0</v>
      </c>
      <c r="D58" s="4"/>
      <c r="E58" s="3">
        <f>SUMIF('Raw Data 01-31-2020'!$A$6:$A$254,'Q1 TB-20'!A58,'Raw Data 01-31-2020'!D$6:D$254)</f>
        <v>0</v>
      </c>
      <c r="F58" s="3"/>
      <c r="G58" s="3">
        <f t="shared" si="0"/>
        <v>0</v>
      </c>
      <c r="H58" s="109" t="s">
        <v>176</v>
      </c>
      <c r="J58" s="19"/>
    </row>
    <row r="59" spans="1:10" x14ac:dyDescent="0.75">
      <c r="A59" s="12">
        <v>1922</v>
      </c>
      <c r="B59" s="13" t="s">
        <v>509</v>
      </c>
      <c r="C59" s="3">
        <f>SUMIF('Raw Data 01-31-2020'!$A$6:$A$254,'Q1 TB-20'!A59,'Raw Data 01-31-2020'!C$6:C$254)</f>
        <v>0</v>
      </c>
      <c r="D59" s="4"/>
      <c r="E59" s="3">
        <f>SUMIF('Raw Data 01-31-2020'!$A$6:$A$254,'Q1 TB-20'!A59,'Raw Data 01-31-2020'!D$6:D$254)</f>
        <v>0</v>
      </c>
      <c r="F59" s="3"/>
      <c r="G59" s="3">
        <f t="shared" si="0"/>
        <v>0</v>
      </c>
      <c r="H59" s="109" t="s">
        <v>176</v>
      </c>
      <c r="J59" s="19"/>
    </row>
    <row r="60" spans="1:10" x14ac:dyDescent="0.75">
      <c r="A60" s="12">
        <v>1924</v>
      </c>
      <c r="B60" s="13" t="s">
        <v>510</v>
      </c>
      <c r="C60" s="3">
        <f>SUMIF('Raw Data 01-31-2020'!$A$6:$A$254,'Q1 TB-20'!A60,'Raw Data 01-31-2020'!C$6:C$254)</f>
        <v>0</v>
      </c>
      <c r="D60" s="4"/>
      <c r="E60" s="3">
        <f>SUMIF('Raw Data 01-31-2020'!$A$6:$A$254,'Q1 TB-20'!A60,'Raw Data 01-31-2020'!D$6:D$254)</f>
        <v>0</v>
      </c>
      <c r="F60" s="3"/>
      <c r="G60" s="3">
        <f t="shared" si="0"/>
        <v>0</v>
      </c>
      <c r="H60" s="109" t="s">
        <v>176</v>
      </c>
      <c r="J60" s="19"/>
    </row>
    <row r="61" spans="1:10" x14ac:dyDescent="0.75">
      <c r="A61" s="12">
        <v>1926</v>
      </c>
      <c r="B61" s="13" t="s">
        <v>511</v>
      </c>
      <c r="C61" s="3">
        <f>SUMIF('Raw Data 01-31-2020'!$A$6:$A$254,'Q1 TB-20'!A61,'Raw Data 01-31-2020'!C$6:C$254)</f>
        <v>0</v>
      </c>
      <c r="D61" s="4"/>
      <c r="E61" s="3">
        <f>SUMIF('Raw Data 01-31-2020'!$A$6:$A$254,'Q1 TB-20'!A61,'Raw Data 01-31-2020'!D$6:D$254)</f>
        <v>0</v>
      </c>
      <c r="F61" s="3"/>
      <c r="G61" s="3">
        <f t="shared" si="0"/>
        <v>0</v>
      </c>
      <c r="H61" s="109" t="s">
        <v>176</v>
      </c>
      <c r="J61" s="19"/>
    </row>
    <row r="62" spans="1:10" x14ac:dyDescent="0.75">
      <c r="A62" s="12">
        <v>1928</v>
      </c>
      <c r="B62" s="13" t="s">
        <v>512</v>
      </c>
      <c r="C62" s="3">
        <f>SUMIF('Raw Data 01-31-2020'!$A$6:$A$254,'Q1 TB-20'!A62,'Raw Data 01-31-2020'!C$6:C$254)</f>
        <v>43132.88</v>
      </c>
      <c r="D62" s="4"/>
      <c r="E62" s="3">
        <f>SUMIF('Raw Data 01-31-2020'!$A$6:$A$254,'Q1 TB-20'!A62,'Raw Data 01-31-2020'!D$6:D$254)</f>
        <v>0</v>
      </c>
      <c r="F62" s="3"/>
      <c r="G62" s="3">
        <f t="shared" si="0"/>
        <v>43132.88</v>
      </c>
      <c r="H62" s="109" t="s">
        <v>176</v>
      </c>
      <c r="J62" s="19"/>
    </row>
    <row r="63" spans="1:10" x14ac:dyDescent="0.75">
      <c r="A63" s="12">
        <v>1930</v>
      </c>
      <c r="B63" s="13" t="s">
        <v>513</v>
      </c>
      <c r="C63" s="3">
        <f>SUMIF('Raw Data 01-31-2020'!$A$6:$A$254,'Q1 TB-20'!A63,'Raw Data 01-31-2020'!C$6:C$254)</f>
        <v>0</v>
      </c>
      <c r="D63" s="4"/>
      <c r="E63" s="3">
        <f>SUMIF('Raw Data 01-31-2020'!$A$6:$A$254,'Q1 TB-20'!A63,'Raw Data 01-31-2020'!D$6:D$254)</f>
        <v>0</v>
      </c>
      <c r="F63" s="3"/>
      <c r="G63" s="3">
        <f t="shared" si="0"/>
        <v>0</v>
      </c>
      <c r="H63" s="109" t="s">
        <v>176</v>
      </c>
      <c r="J63" s="19"/>
    </row>
    <row r="64" spans="1:10" x14ac:dyDescent="0.75">
      <c r="A64" s="12">
        <v>1932</v>
      </c>
      <c r="B64" s="13" t="s">
        <v>514</v>
      </c>
      <c r="C64" s="3">
        <f>SUMIF('Raw Data 01-31-2020'!$A$6:$A$254,'Q1 TB-20'!A64,'Raw Data 01-31-2020'!C$6:C$254)</f>
        <v>0</v>
      </c>
      <c r="D64" s="4"/>
      <c r="E64" s="3">
        <f>SUMIF('Raw Data 01-31-2020'!$A$6:$A$254,'Q1 TB-20'!A64,'Raw Data 01-31-2020'!D$6:D$254)</f>
        <v>0</v>
      </c>
      <c r="F64" s="3"/>
      <c r="G64" s="3">
        <f t="shared" si="0"/>
        <v>0</v>
      </c>
      <c r="H64" s="109" t="s">
        <v>176</v>
      </c>
      <c r="J64" s="19"/>
    </row>
    <row r="65" spans="1:10" x14ac:dyDescent="0.75">
      <c r="A65" s="12">
        <v>1950</v>
      </c>
      <c r="B65" s="13" t="s">
        <v>494</v>
      </c>
      <c r="C65" s="3">
        <f>SUMIF('Raw Data 01-31-2020'!$A$6:$A$254,'Q1 TB-20'!A65,'Raw Data 01-31-2020'!C$6:C$254)</f>
        <v>0</v>
      </c>
      <c r="D65" s="4"/>
      <c r="E65" s="3">
        <f>SUMIF('Raw Data 01-31-2020'!$A$6:$A$254,'Q1 TB-20'!A65,'Raw Data 01-31-2020'!D$6:D$254)</f>
        <v>43132.89</v>
      </c>
      <c r="F65" s="3"/>
      <c r="G65" s="3">
        <f t="shared" si="0"/>
        <v>-43132.89</v>
      </c>
      <c r="H65" s="109" t="s">
        <v>176</v>
      </c>
      <c r="J65" s="19"/>
    </row>
    <row r="66" spans="1:10" x14ac:dyDescent="0.75">
      <c r="A66" s="12">
        <v>1960</v>
      </c>
      <c r="B66" s="13" t="s">
        <v>515</v>
      </c>
      <c r="C66" s="3">
        <f>SUMIF('Raw Data 01-31-2020'!$A$6:$A$254,'Q1 TB-20'!A66,'Raw Data 01-31-2020'!C$6:C$254)</f>
        <v>0</v>
      </c>
      <c r="D66" s="4"/>
      <c r="E66" s="3">
        <f>SUMIF('Raw Data 01-31-2020'!$A$6:$A$254,'Q1 TB-20'!A66,'Raw Data 01-31-2020'!D$6:D$254)</f>
        <v>0</v>
      </c>
      <c r="F66" s="3"/>
      <c r="G66" s="3">
        <f t="shared" si="0"/>
        <v>0</v>
      </c>
      <c r="H66" s="109" t="s">
        <v>444</v>
      </c>
      <c r="J66" s="19"/>
    </row>
    <row r="67" spans="1:10" x14ac:dyDescent="0.75">
      <c r="A67" s="12">
        <v>1980</v>
      </c>
      <c r="B67" s="13" t="s">
        <v>516</v>
      </c>
      <c r="C67" s="3">
        <f>SUMIF('Raw Data 01-31-2020'!$A$6:$A$254,'Q1 TB-20'!A67,'Raw Data 01-31-2020'!C$6:C$254)</f>
        <v>0</v>
      </c>
      <c r="D67" s="4"/>
      <c r="E67" s="3">
        <f>SUMIF('Raw Data 01-31-2020'!$A$6:$A$254,'Q1 TB-20'!A67,'Raw Data 01-31-2020'!D$6:D$254)</f>
        <v>0</v>
      </c>
      <c r="F67" s="3"/>
      <c r="G67" s="3">
        <f t="shared" si="0"/>
        <v>0</v>
      </c>
      <c r="H67" s="109" t="s">
        <v>444</v>
      </c>
      <c r="J67" s="19"/>
    </row>
    <row r="68" spans="1:10" x14ac:dyDescent="0.75">
      <c r="A68" s="12">
        <v>2000</v>
      </c>
      <c r="B68" s="13" t="s">
        <v>517</v>
      </c>
      <c r="C68" s="3">
        <f>SUMIF('Raw Data 01-31-2020'!$A$6:$A$254,'Q1 TB-20'!A68,'Raw Data 01-31-2020'!C$6:C$254)</f>
        <v>0</v>
      </c>
      <c r="D68" s="4"/>
      <c r="E68" s="3">
        <f>SUMIF('Raw Data 01-31-2020'!$A$6:$A$254,'Q1 TB-20'!A68,'Raw Data 01-31-2020'!D$6:D$254)</f>
        <v>15898.92</v>
      </c>
      <c r="F68" s="3"/>
      <c r="G68" s="3">
        <f t="shared" si="0"/>
        <v>-15898.92</v>
      </c>
      <c r="H68" s="109" t="s">
        <v>177</v>
      </c>
      <c r="J68" s="19"/>
    </row>
    <row r="69" spans="1:10" x14ac:dyDescent="0.75">
      <c r="A69" s="12">
        <v>2010</v>
      </c>
      <c r="B69" s="13" t="s">
        <v>524</v>
      </c>
      <c r="C69" s="3">
        <f>SUMIF('Raw Data 01-31-2020'!$A$6:$A$254,'Q1 TB-20'!A69,'Raw Data 01-31-2020'!C$6:C$254)</f>
        <v>0</v>
      </c>
      <c r="D69" s="4"/>
      <c r="E69" s="3">
        <f>SUMIF('Raw Data 01-31-2020'!$A$6:$A$254,'Q1 TB-20'!A69,'Raw Data 01-31-2020'!D$6:D$254)</f>
        <v>0</v>
      </c>
      <c r="F69" s="3"/>
      <c r="G69" s="3">
        <f t="shared" si="0"/>
        <v>0</v>
      </c>
      <c r="H69" s="109" t="s">
        <v>177</v>
      </c>
      <c r="J69" s="19"/>
    </row>
    <row r="70" spans="1:10" x14ac:dyDescent="0.75">
      <c r="A70" s="12">
        <v>2020</v>
      </c>
      <c r="B70" s="13" t="s">
        <v>525</v>
      </c>
      <c r="C70" s="3">
        <f>SUMIF('Raw Data 01-31-2020'!$A$6:$A$254,'Q1 TB-20'!A70,'Raw Data 01-31-2020'!C$6:C$254)</f>
        <v>0</v>
      </c>
      <c r="D70" s="4"/>
      <c r="E70" s="3">
        <f>SUMIF('Raw Data 01-31-2020'!$A$6:$A$254,'Q1 TB-20'!A70,'Raw Data 01-31-2020'!D$6:D$254)</f>
        <v>0</v>
      </c>
      <c r="F70" s="3"/>
      <c r="G70" s="3">
        <f t="shared" si="0"/>
        <v>0</v>
      </c>
      <c r="H70" s="109" t="s">
        <v>177</v>
      </c>
      <c r="J70" s="19"/>
    </row>
    <row r="71" spans="1:10" x14ac:dyDescent="0.75">
      <c r="A71" s="12">
        <v>2101</v>
      </c>
      <c r="B71" s="13" t="s">
        <v>518</v>
      </c>
      <c r="C71" s="3">
        <f>SUMIF('Raw Data 01-31-2020'!$A$6:$A$254,'Q1 TB-20'!A71,'Raw Data 01-31-2020'!C$6:C$254)</f>
        <v>0</v>
      </c>
      <c r="D71" s="4"/>
      <c r="E71" s="3">
        <f>SUMIF('Raw Data 01-31-2020'!$A$6:$A$254,'Q1 TB-20'!A71,'Raw Data 01-31-2020'!D$6:D$254)</f>
        <v>0</v>
      </c>
      <c r="F71" s="3"/>
      <c r="G71" s="3">
        <f t="shared" si="0"/>
        <v>0</v>
      </c>
      <c r="H71" s="109" t="s">
        <v>178</v>
      </c>
      <c r="J71" s="19"/>
    </row>
    <row r="72" spans="1:10" x14ac:dyDescent="0.75">
      <c r="A72" s="12">
        <v>2102</v>
      </c>
      <c r="B72" s="13" t="s">
        <v>519</v>
      </c>
      <c r="C72" s="3">
        <f>SUMIF('Raw Data 01-31-2020'!$A$6:$A$254,'Q1 TB-20'!A72,'Raw Data 01-31-2020'!C$6:C$254)</f>
        <v>0</v>
      </c>
      <c r="D72" s="4"/>
      <c r="E72" s="3">
        <f>SUMIF('Raw Data 01-31-2020'!$A$6:$A$254,'Q1 TB-20'!A72,'Raw Data 01-31-2020'!D$6:D$254)</f>
        <v>12517.38</v>
      </c>
      <c r="F72" s="3"/>
      <c r="G72" s="3">
        <f t="shared" si="0"/>
        <v>-12517.38</v>
      </c>
      <c r="H72" s="109" t="s">
        <v>178</v>
      </c>
      <c r="J72" s="19"/>
    </row>
    <row r="73" spans="1:10" x14ac:dyDescent="0.75">
      <c r="A73" s="12">
        <v>2103</v>
      </c>
      <c r="B73" s="13" t="s">
        <v>520</v>
      </c>
      <c r="C73" s="3">
        <f>SUMIF('Raw Data 01-31-2020'!$A$6:$A$254,'Q1 TB-20'!A73,'Raw Data 01-31-2020'!C$6:C$254)</f>
        <v>0</v>
      </c>
      <c r="D73" s="4"/>
      <c r="E73" s="3">
        <f>SUMIF('Raw Data 01-31-2020'!$A$6:$A$254,'Q1 TB-20'!A73,'Raw Data 01-31-2020'!D$6:D$254)</f>
        <v>8469.4</v>
      </c>
      <c r="F73" s="3"/>
      <c r="G73" s="3">
        <f t="shared" ref="G73:G141" si="1">C73-E73</f>
        <v>-8469.4</v>
      </c>
      <c r="H73" s="109" t="s">
        <v>178</v>
      </c>
      <c r="J73" s="19"/>
    </row>
    <row r="74" spans="1:10" x14ac:dyDescent="0.75">
      <c r="A74" s="12">
        <v>2104</v>
      </c>
      <c r="B74" s="13" t="s">
        <v>521</v>
      </c>
      <c r="C74" s="3">
        <f>SUMIF('Raw Data 01-31-2020'!$A$6:$A$254,'Q1 TB-20'!A74,'Raw Data 01-31-2020'!C$6:C$254)</f>
        <v>0</v>
      </c>
      <c r="D74" s="4"/>
      <c r="E74" s="3">
        <f>SUMIF('Raw Data 01-31-2020'!$A$6:$A$254,'Q1 TB-20'!A74,'Raw Data 01-31-2020'!D$6:D$254)</f>
        <v>7379.34</v>
      </c>
      <c r="F74" s="3"/>
      <c r="G74" s="3">
        <f t="shared" si="1"/>
        <v>-7379.34</v>
      </c>
      <c r="H74" s="109" t="s">
        <v>178</v>
      </c>
      <c r="J74" s="19"/>
    </row>
    <row r="75" spans="1:10" x14ac:dyDescent="0.75">
      <c r="A75" s="12">
        <v>2105</v>
      </c>
      <c r="B75" s="13" t="s">
        <v>522</v>
      </c>
      <c r="C75" s="3">
        <f>SUMIF('Raw Data 01-31-2020'!$A$6:$A$254,'Q1 TB-20'!A75,'Raw Data 01-31-2020'!C$6:C$254)</f>
        <v>0</v>
      </c>
      <c r="D75" s="4"/>
      <c r="E75" s="3">
        <f>SUMIF('Raw Data 01-31-2020'!$A$6:$A$254,'Q1 TB-20'!A75,'Raw Data 01-31-2020'!D$6:D$254)</f>
        <v>0</v>
      </c>
      <c r="F75" s="3"/>
      <c r="G75" s="3">
        <f t="shared" si="1"/>
        <v>0</v>
      </c>
      <c r="H75" s="109" t="s">
        <v>178</v>
      </c>
      <c r="J75" s="19"/>
    </row>
    <row r="76" spans="1:10" x14ac:dyDescent="0.75">
      <c r="A76" s="12">
        <v>2106</v>
      </c>
      <c r="B76" s="13" t="s">
        <v>546</v>
      </c>
      <c r="C76" s="3">
        <f>SUMIF('Raw Data 01-31-2020'!$A$6:$A$254,'Q1 TB-20'!A76,'Raw Data 01-31-2020'!C$6:C$254)</f>
        <v>0</v>
      </c>
      <c r="D76" s="4"/>
      <c r="E76" s="3">
        <f>SUMIF('Raw Data 01-31-2020'!$A$6:$A$254,'Q1 TB-20'!A76,'Raw Data 01-31-2020'!D$6:D$254)</f>
        <v>6932.48</v>
      </c>
      <c r="F76" s="3"/>
      <c r="G76" s="3">
        <f t="shared" si="1"/>
        <v>-6932.48</v>
      </c>
      <c r="H76" s="109" t="s">
        <v>178</v>
      </c>
      <c r="J76" s="19"/>
    </row>
    <row r="77" spans="1:10" x14ac:dyDescent="0.75">
      <c r="A77" s="12">
        <v>2210</v>
      </c>
      <c r="B77" s="13" t="s">
        <v>526</v>
      </c>
      <c r="C77" s="3">
        <f>SUMIF('Raw Data 01-31-2020'!$A$6:$A$254,'Q1 TB-20'!A77,'Raw Data 01-31-2020'!C$6:C$254)</f>
        <v>0</v>
      </c>
      <c r="D77" s="4"/>
      <c r="E77" s="3">
        <f>SUMIF('Raw Data 01-31-2020'!$A$6:$A$254,'Q1 TB-20'!A77,'Raw Data 01-31-2020'!D$6:D$254)</f>
        <v>678047.42</v>
      </c>
      <c r="F77" s="3"/>
      <c r="G77" s="3">
        <f t="shared" si="1"/>
        <v>-678047.42</v>
      </c>
      <c r="H77" s="109" t="s">
        <v>446</v>
      </c>
      <c r="J77" s="19"/>
    </row>
    <row r="78" spans="1:10" s="89" customFormat="1" x14ac:dyDescent="0.75">
      <c r="A78" s="12" t="s">
        <v>93</v>
      </c>
      <c r="B78" s="13" t="s">
        <v>1005</v>
      </c>
      <c r="C78" s="3">
        <f>SUMIF('Raw Data 01-31-2020'!$A$6:$A$254,'Q1 TB-20'!A78,'Raw Data 01-31-2020'!C$6:C$254)</f>
        <v>0</v>
      </c>
      <c r="D78" s="4"/>
      <c r="E78" s="3">
        <f>SUMIF('Raw Data 01-31-2020'!$A$6:$A$254,'Q1 TB-20'!A78,'Raw Data 01-31-2020'!D$6:D$254)</f>
        <v>2805.55</v>
      </c>
      <c r="F78" s="3"/>
      <c r="G78" s="3">
        <f t="shared" ref="G78" si="2">C78-E78</f>
        <v>-2805.55</v>
      </c>
      <c r="H78" s="109" t="s">
        <v>178</v>
      </c>
      <c r="J78" s="19"/>
    </row>
    <row r="79" spans="1:10" x14ac:dyDescent="0.75">
      <c r="A79" s="12">
        <v>2231</v>
      </c>
      <c r="B79" s="13" t="s">
        <v>534</v>
      </c>
      <c r="C79" s="3">
        <f>SUMIF('Raw Data 01-31-2020'!$A$6:$A$254,'Q1 TB-20'!A79,'Raw Data 01-31-2020'!C$6:C$254)</f>
        <v>0</v>
      </c>
      <c r="D79" s="4"/>
      <c r="E79" s="3">
        <f>SUMIF('Raw Data 01-31-2020'!$A$6:$A$254,'Q1 TB-20'!A79,'Raw Data 01-31-2020'!D$6:D$254)</f>
        <v>0</v>
      </c>
      <c r="F79" s="3"/>
      <c r="G79" s="3">
        <f t="shared" si="1"/>
        <v>0</v>
      </c>
      <c r="H79" s="109" t="s">
        <v>178</v>
      </c>
      <c r="J79" s="19"/>
    </row>
    <row r="80" spans="1:10" x14ac:dyDescent="0.75">
      <c r="A80" s="12">
        <v>2232</v>
      </c>
      <c r="B80" s="13" t="s">
        <v>535</v>
      </c>
      <c r="C80" s="3">
        <f>SUMIF('Raw Data 01-31-2020'!$A$6:$A$254,'Q1 TB-20'!A80,'Raw Data 01-31-2020'!C$6:C$254)</f>
        <v>0</v>
      </c>
      <c r="D80" s="4"/>
      <c r="E80" s="3">
        <f>SUMIF('Raw Data 01-31-2020'!$A$6:$A$254,'Q1 TB-20'!A80,'Raw Data 01-31-2020'!D$6:D$254)</f>
        <v>0</v>
      </c>
      <c r="F80" s="3"/>
      <c r="G80" s="3">
        <f t="shared" si="1"/>
        <v>0</v>
      </c>
      <c r="H80" s="109" t="s">
        <v>178</v>
      </c>
      <c r="J80" s="19"/>
    </row>
    <row r="81" spans="1:10" x14ac:dyDescent="0.75">
      <c r="A81" s="12">
        <v>2233</v>
      </c>
      <c r="B81" s="13" t="s">
        <v>537</v>
      </c>
      <c r="C81" s="3">
        <f>SUMIF('Raw Data 01-31-2020'!$A$6:$A$254,'Q1 TB-20'!A81,'Raw Data 01-31-2020'!C$6:C$254)</f>
        <v>0</v>
      </c>
      <c r="D81" s="4"/>
      <c r="E81" s="3">
        <f>SUMIF('Raw Data 01-31-2020'!$A$6:$A$254,'Q1 TB-20'!A81,'Raw Data 01-31-2020'!D$6:D$254)</f>
        <v>0</v>
      </c>
      <c r="F81" s="3"/>
      <c r="G81" s="3">
        <f t="shared" si="1"/>
        <v>0</v>
      </c>
      <c r="H81" s="109" t="s">
        <v>178</v>
      </c>
      <c r="J81" s="19"/>
    </row>
    <row r="82" spans="1:10" x14ac:dyDescent="0.75">
      <c r="A82" s="12">
        <v>2235</v>
      </c>
      <c r="B82" s="13" t="s">
        <v>543</v>
      </c>
      <c r="C82" s="3">
        <f>SUMIF('Raw Data 01-31-2020'!$A$6:$A$254,'Q1 TB-20'!A82,'Raw Data 01-31-2020'!C$6:C$254)</f>
        <v>0</v>
      </c>
      <c r="D82" s="4"/>
      <c r="E82" s="3">
        <f>SUMIF('Raw Data 01-31-2020'!$A$6:$A$254,'Q1 TB-20'!A82,'Raw Data 01-31-2020'!D$6:D$254)</f>
        <v>0</v>
      </c>
      <c r="F82" s="3"/>
      <c r="G82" s="3">
        <f t="shared" si="1"/>
        <v>0</v>
      </c>
      <c r="H82" s="109" t="s">
        <v>178</v>
      </c>
      <c r="J82" s="19"/>
    </row>
    <row r="83" spans="1:10" x14ac:dyDescent="0.75">
      <c r="A83" s="12">
        <v>2236</v>
      </c>
      <c r="B83" s="13" t="s">
        <v>523</v>
      </c>
      <c r="C83" s="3">
        <f>SUMIF('Raw Data 01-31-2020'!$A$6:$A$254,'Q1 TB-20'!A83,'Raw Data 01-31-2020'!C$6:C$254)</f>
        <v>0</v>
      </c>
      <c r="D83" s="4"/>
      <c r="E83" s="3">
        <f>SUMIF('Raw Data 01-31-2020'!$A$6:$A$254,'Q1 TB-20'!A83,'Raw Data 01-31-2020'!D$6:D$254)</f>
        <v>0</v>
      </c>
      <c r="F83" s="3"/>
      <c r="G83" s="3">
        <f t="shared" si="1"/>
        <v>0</v>
      </c>
      <c r="H83" s="109" t="s">
        <v>178</v>
      </c>
      <c r="J83" s="19"/>
    </row>
    <row r="84" spans="1:10" x14ac:dyDescent="0.75">
      <c r="A84" s="12">
        <v>2250</v>
      </c>
      <c r="B84" s="13" t="s">
        <v>536</v>
      </c>
      <c r="C84" s="3">
        <f>SUMIF('Raw Data 01-31-2020'!$A$6:$A$254,'Q1 TB-20'!A84,'Raw Data 01-31-2020'!C$6:C$254)</f>
        <v>0</v>
      </c>
      <c r="D84" s="4"/>
      <c r="E84" s="3">
        <f>SUMIF('Raw Data 01-31-2020'!$A$6:$A$254,'Q1 TB-20'!A84,'Raw Data 01-31-2020'!D$6:D$254)</f>
        <v>0</v>
      </c>
      <c r="F84" s="3"/>
      <c r="G84" s="3">
        <f t="shared" si="1"/>
        <v>0</v>
      </c>
      <c r="H84" s="109" t="s">
        <v>178</v>
      </c>
      <c r="J84" s="19"/>
    </row>
    <row r="85" spans="1:10" x14ac:dyDescent="0.75">
      <c r="A85" s="12">
        <v>2270</v>
      </c>
      <c r="B85" s="13" t="s">
        <v>544</v>
      </c>
      <c r="C85" s="3">
        <f>SUMIF('Raw Data 01-31-2020'!$A$6:$A$254,'Q1 TB-20'!A85,'Raw Data 01-31-2020'!C$6:C$254)</f>
        <v>0</v>
      </c>
      <c r="D85" s="4"/>
      <c r="E85" s="3">
        <f>SUMIF('Raw Data 01-31-2020'!$A$6:$A$254,'Q1 TB-20'!A85,'Raw Data 01-31-2020'!D$6:D$254)</f>
        <v>0</v>
      </c>
      <c r="F85" s="3"/>
      <c r="G85" s="3">
        <f t="shared" si="1"/>
        <v>0</v>
      </c>
      <c r="H85" s="109" t="s">
        <v>178</v>
      </c>
      <c r="J85" s="19"/>
    </row>
    <row r="86" spans="1:10" x14ac:dyDescent="0.75">
      <c r="A86" s="12">
        <v>2280</v>
      </c>
      <c r="B86" s="13" t="s">
        <v>541</v>
      </c>
      <c r="C86" s="3">
        <f>SUMIF('Raw Data 01-31-2020'!$A$6:$A$254,'Q1 TB-20'!A86,'Raw Data 01-31-2020'!C$6:C$254)</f>
        <v>0</v>
      </c>
      <c r="D86" s="4"/>
      <c r="E86" s="3">
        <f>SUMIF('Raw Data 01-31-2020'!$A$6:$A$254,'Q1 TB-20'!A86,'Raw Data 01-31-2020'!D$6:D$254)</f>
        <v>0</v>
      </c>
      <c r="F86" s="3"/>
      <c r="G86" s="3">
        <f t="shared" si="1"/>
        <v>0</v>
      </c>
      <c r="H86" s="109" t="s">
        <v>178</v>
      </c>
      <c r="J86" s="19"/>
    </row>
    <row r="87" spans="1:10" x14ac:dyDescent="0.75">
      <c r="A87" s="12">
        <v>2285</v>
      </c>
      <c r="B87" s="13" t="s">
        <v>545</v>
      </c>
      <c r="C87" s="3">
        <f>SUMIF('Raw Data 01-31-2020'!$A$6:$A$254,'Q1 TB-20'!A87,'Raw Data 01-31-2020'!C$6:C$254)</f>
        <v>0</v>
      </c>
      <c r="D87" s="4"/>
      <c r="E87" s="3">
        <f>SUMIF('Raw Data 01-31-2020'!$A$6:$A$254,'Q1 TB-20'!A87,'Raw Data 01-31-2020'!D$6:D$254)</f>
        <v>0</v>
      </c>
      <c r="F87" s="3"/>
      <c r="G87" s="3">
        <f t="shared" si="1"/>
        <v>0</v>
      </c>
      <c r="H87" s="109" t="s">
        <v>178</v>
      </c>
      <c r="J87" s="19"/>
    </row>
    <row r="88" spans="1:10" x14ac:dyDescent="0.75">
      <c r="A88" s="12">
        <v>2290</v>
      </c>
      <c r="B88" s="13" t="s">
        <v>540</v>
      </c>
      <c r="C88" s="3">
        <f>SUMIF('Raw Data 01-31-2020'!$A$6:$A$254,'Q1 TB-20'!A88,'Raw Data 01-31-2020'!C$6:C$254)</f>
        <v>0</v>
      </c>
      <c r="D88" s="4"/>
      <c r="E88" s="3">
        <f>SUMIF('Raw Data 01-31-2020'!$A$6:$A$254,'Q1 TB-20'!A88,'Raw Data 01-31-2020'!D$6:D$254)</f>
        <v>40000</v>
      </c>
      <c r="F88" s="3"/>
      <c r="G88" s="3">
        <f t="shared" si="1"/>
        <v>-40000</v>
      </c>
      <c r="H88" s="109" t="s">
        <v>178</v>
      </c>
      <c r="J88" s="19"/>
    </row>
    <row r="89" spans="1:10" x14ac:dyDescent="0.75">
      <c r="A89" s="12">
        <v>2305</v>
      </c>
      <c r="B89" s="13" t="s">
        <v>542</v>
      </c>
      <c r="C89" s="3">
        <f>SUMIF('Raw Data 01-31-2020'!$A$6:$A$254,'Q1 TB-20'!A89,'Raw Data 01-31-2020'!C$6:C$254)</f>
        <v>0</v>
      </c>
      <c r="D89" s="4"/>
      <c r="E89" s="3">
        <f>SUMIF('Raw Data 01-31-2020'!$A$6:$A$254,'Q1 TB-20'!A89,'Raw Data 01-31-2020'!D$6:D$254)</f>
        <v>1221957.72</v>
      </c>
      <c r="F89" s="3"/>
      <c r="G89" s="3">
        <f t="shared" si="1"/>
        <v>-1221957.72</v>
      </c>
      <c r="H89" s="109" t="s">
        <v>181</v>
      </c>
      <c r="J89" s="19"/>
    </row>
    <row r="90" spans="1:10" x14ac:dyDescent="0.75">
      <c r="A90" s="12">
        <v>2310</v>
      </c>
      <c r="B90" s="13" t="s">
        <v>538</v>
      </c>
      <c r="C90" s="3">
        <f>SUMIF('Raw Data 01-31-2020'!$A$6:$A$254,'Q1 TB-20'!A90,'Raw Data 01-31-2020'!C$6:C$254)</f>
        <v>0</v>
      </c>
      <c r="D90" s="4"/>
      <c r="E90" s="3">
        <f>SUMIF('Raw Data 01-31-2020'!$A$6:$A$254,'Q1 TB-20'!A90,'Raw Data 01-31-2020'!D$6:D$254)</f>
        <v>35000</v>
      </c>
      <c r="F90" s="3"/>
      <c r="G90" s="3">
        <f t="shared" si="1"/>
        <v>-35000</v>
      </c>
      <c r="H90" s="109" t="s">
        <v>800</v>
      </c>
      <c r="J90" s="19"/>
    </row>
    <row r="91" spans="1:10" x14ac:dyDescent="0.75">
      <c r="A91" s="12">
        <v>2320</v>
      </c>
      <c r="B91" s="13" t="s">
        <v>539</v>
      </c>
      <c r="C91" s="3">
        <f>SUMIF('Raw Data 01-31-2020'!$A$6:$A$254,'Q1 TB-20'!A91,'Raw Data 01-31-2020'!C$6:C$254)</f>
        <v>0</v>
      </c>
      <c r="D91" s="4"/>
      <c r="E91" s="3">
        <f>SUMIF('Raw Data 01-31-2020'!$A$6:$A$254,'Q1 TB-20'!A91,'Raw Data 01-31-2020'!D$6:D$254)</f>
        <v>0</v>
      </c>
      <c r="F91" s="3"/>
      <c r="G91" s="3">
        <f t="shared" si="1"/>
        <v>0</v>
      </c>
      <c r="H91" s="109" t="s">
        <v>178</v>
      </c>
      <c r="J91" s="19"/>
    </row>
    <row r="92" spans="1:10" x14ac:dyDescent="0.75">
      <c r="A92" s="12">
        <v>2400</v>
      </c>
      <c r="B92" s="13" t="s">
        <v>527</v>
      </c>
      <c r="C92" s="3">
        <f>SUMIF('Raw Data 01-31-2020'!$A$6:$A$254,'Q1 TB-20'!A92,'Raw Data 01-31-2020'!C$6:C$254)</f>
        <v>0</v>
      </c>
      <c r="D92" s="4"/>
      <c r="E92" s="3">
        <f>SUMIF('Raw Data 01-31-2020'!$A$6:$A$254,'Q1 TB-20'!A92,'Raw Data 01-31-2020'!D$6:D$254)</f>
        <v>123163.32</v>
      </c>
      <c r="F92" s="3"/>
      <c r="G92" s="3">
        <f t="shared" si="1"/>
        <v>-123163.32</v>
      </c>
      <c r="H92" s="109" t="s">
        <v>180</v>
      </c>
      <c r="J92" s="19"/>
    </row>
    <row r="93" spans="1:10" x14ac:dyDescent="0.75">
      <c r="A93" s="12">
        <v>2405</v>
      </c>
      <c r="B93" s="13" t="s">
        <v>528</v>
      </c>
      <c r="C93" s="3">
        <f>SUMIF('Raw Data 01-31-2020'!$A$6:$A$254,'Q1 TB-20'!A93,'Raw Data 01-31-2020'!C$6:C$254)</f>
        <v>0</v>
      </c>
      <c r="D93" s="4"/>
      <c r="E93" s="3">
        <f>SUMIF('Raw Data 01-31-2020'!$A$6:$A$254,'Q1 TB-20'!A93,'Raw Data 01-31-2020'!D$6:D$254)</f>
        <v>51246.29</v>
      </c>
      <c r="F93" s="3"/>
      <c r="G93" s="3">
        <f t="shared" si="1"/>
        <v>-51246.29</v>
      </c>
      <c r="H93" s="109" t="s">
        <v>180</v>
      </c>
      <c r="J93" s="19"/>
    </row>
    <row r="94" spans="1:10" x14ac:dyDescent="0.75">
      <c r="A94" s="12">
        <v>2410</v>
      </c>
      <c r="B94" s="13" t="s">
        <v>529</v>
      </c>
      <c r="C94" s="3">
        <f>SUMIF('Raw Data 01-31-2020'!$A$6:$A$254,'Q1 TB-20'!A94,'Raw Data 01-31-2020'!C$6:C$254)</f>
        <v>0</v>
      </c>
      <c r="D94" s="4"/>
      <c r="E94" s="3">
        <f>SUMIF('Raw Data 01-31-2020'!$A$6:$A$254,'Q1 TB-20'!A94,'Raw Data 01-31-2020'!D$6:D$254)</f>
        <v>0</v>
      </c>
      <c r="F94" s="3"/>
      <c r="G94" s="3">
        <f t="shared" si="1"/>
        <v>0</v>
      </c>
      <c r="H94" s="109" t="s">
        <v>180</v>
      </c>
      <c r="J94" s="19"/>
    </row>
    <row r="95" spans="1:10" x14ac:dyDescent="0.75">
      <c r="A95" s="12">
        <v>2415</v>
      </c>
      <c r="B95" s="13" t="s">
        <v>530</v>
      </c>
      <c r="C95" s="3">
        <f>SUMIF('Raw Data 01-31-2020'!$A$6:$A$254,'Q1 TB-20'!A95,'Raw Data 01-31-2020'!C$6:C$254)</f>
        <v>0</v>
      </c>
      <c r="D95" s="4"/>
      <c r="E95" s="3">
        <f>SUMIF('Raw Data 01-31-2020'!$A$6:$A$254,'Q1 TB-20'!A95,'Raw Data 01-31-2020'!D$6:D$254)</f>
        <v>0</v>
      </c>
      <c r="F95" s="3"/>
      <c r="G95" s="3">
        <f t="shared" si="1"/>
        <v>0</v>
      </c>
      <c r="H95" s="109" t="s">
        <v>180</v>
      </c>
      <c r="J95" s="19"/>
    </row>
    <row r="96" spans="1:10" x14ac:dyDescent="0.75">
      <c r="A96" s="12">
        <v>2420</v>
      </c>
      <c r="B96" s="13" t="s">
        <v>531</v>
      </c>
      <c r="C96" s="3">
        <f>SUMIF('Raw Data 01-31-2020'!$A$6:$A$254,'Q1 TB-20'!A96,'Raw Data 01-31-2020'!C$6:C$254)</f>
        <v>0</v>
      </c>
      <c r="D96" s="4"/>
      <c r="E96" s="3">
        <f>SUMIF('Raw Data 01-31-2020'!$A$6:$A$254,'Q1 TB-20'!A96,'Raw Data 01-31-2020'!D$6:D$254)</f>
        <v>0</v>
      </c>
      <c r="F96" s="3"/>
      <c r="G96" s="3">
        <f t="shared" si="1"/>
        <v>0</v>
      </c>
      <c r="H96" s="109" t="s">
        <v>180</v>
      </c>
      <c r="J96" s="19"/>
    </row>
    <row r="97" spans="1:10" x14ac:dyDescent="0.75">
      <c r="A97" s="12">
        <v>2425</v>
      </c>
      <c r="B97" s="13" t="s">
        <v>532</v>
      </c>
      <c r="C97" s="3">
        <f>SUMIF('Raw Data 01-31-2020'!$A$6:$A$254,'Q1 TB-20'!A97,'Raw Data 01-31-2020'!C$6:C$254)</f>
        <v>0</v>
      </c>
      <c r="D97" s="4"/>
      <c r="E97" s="3">
        <f>SUMIF('Raw Data 01-31-2020'!$A$6:$A$254,'Q1 TB-20'!A97,'Raw Data 01-31-2020'!D$6:D$254)</f>
        <v>0</v>
      </c>
      <c r="F97" s="3"/>
      <c r="G97" s="3">
        <f t="shared" si="1"/>
        <v>0</v>
      </c>
      <c r="H97" s="109" t="s">
        <v>180</v>
      </c>
      <c r="J97" s="19"/>
    </row>
    <row r="98" spans="1:10" x14ac:dyDescent="0.75">
      <c r="A98" s="12">
        <v>2430</v>
      </c>
      <c r="B98" s="13" t="s">
        <v>533</v>
      </c>
      <c r="C98" s="3">
        <f>SUMIF('Raw Data 01-31-2020'!$A$6:$A$254,'Q1 TB-20'!A98,'Raw Data 01-31-2020'!C$6:C$254)</f>
        <v>0</v>
      </c>
      <c r="D98" s="4"/>
      <c r="E98" s="3">
        <f>SUMIF('Raw Data 01-31-2020'!$A$6:$A$254,'Q1 TB-20'!A98,'Raw Data 01-31-2020'!D$6:D$254)</f>
        <v>0</v>
      </c>
      <c r="F98" s="3"/>
      <c r="G98" s="3">
        <f t="shared" si="1"/>
        <v>0</v>
      </c>
      <c r="H98" s="109" t="s">
        <v>180</v>
      </c>
      <c r="J98" s="19"/>
    </row>
    <row r="99" spans="1:10" x14ac:dyDescent="0.75">
      <c r="A99" s="12" t="s">
        <v>952</v>
      </c>
      <c r="B99" s="13" t="s">
        <v>953</v>
      </c>
      <c r="C99" s="3">
        <f>SUMIF('Raw Data 01-31-2020'!$A$6:$A$254,'Q1 TB-20'!A99,'Raw Data 01-31-2020'!C$6:C$254)</f>
        <v>0</v>
      </c>
      <c r="D99" s="4"/>
      <c r="E99" s="3">
        <f>SUMIF('Raw Data 01-31-2020'!$A$6:$A$254,'Q1 TB-20'!A99,'Raw Data 01-31-2020'!D$6:D$254)</f>
        <v>56459</v>
      </c>
      <c r="F99" s="3"/>
      <c r="G99" s="3">
        <f t="shared" si="1"/>
        <v>-56459</v>
      </c>
      <c r="H99" s="109" t="s">
        <v>954</v>
      </c>
      <c r="J99" s="19"/>
    </row>
    <row r="100" spans="1:10" x14ac:dyDescent="0.75">
      <c r="A100" s="12">
        <v>2705</v>
      </c>
      <c r="B100" s="13" t="s">
        <v>547</v>
      </c>
      <c r="C100" s="3">
        <f>SUMIF('Raw Data 01-31-2020'!$A$6:$A$254,'Q1 TB-20'!A100,'Raw Data 01-31-2020'!C$6:C$254)</f>
        <v>0</v>
      </c>
      <c r="D100" s="4"/>
      <c r="E100" s="3">
        <f>SUMIF('Raw Data 01-31-2020'!$A$6:$A$254,'Q1 TB-20'!A100,'Raw Data 01-31-2020'!D$6:D$254)</f>
        <v>50000</v>
      </c>
      <c r="F100" s="3"/>
      <c r="G100" s="3">
        <f t="shared" si="1"/>
        <v>-50000</v>
      </c>
      <c r="H100" s="109" t="s">
        <v>800</v>
      </c>
      <c r="J100" s="19"/>
    </row>
    <row r="101" spans="1:10" x14ac:dyDescent="0.75">
      <c r="A101" s="12">
        <v>2710</v>
      </c>
      <c r="B101" s="13" t="s">
        <v>548</v>
      </c>
      <c r="C101" s="3">
        <f>SUMIF('Raw Data 01-31-2020'!$A$6:$A$254,'Q1 TB-20'!A101,'Raw Data 01-31-2020'!C$6:C$254)</f>
        <v>0</v>
      </c>
      <c r="D101" s="4"/>
      <c r="E101" s="3">
        <f>SUMIF('Raw Data 01-31-2020'!$A$6:$A$254,'Q1 TB-20'!A101,'Raw Data 01-31-2020'!D$6:D$254)</f>
        <v>15000</v>
      </c>
      <c r="F101" s="3"/>
      <c r="G101" s="3">
        <f t="shared" si="1"/>
        <v>-15000</v>
      </c>
      <c r="H101" s="109" t="s">
        <v>800</v>
      </c>
      <c r="J101" s="19"/>
    </row>
    <row r="102" spans="1:10" x14ac:dyDescent="0.75">
      <c r="A102" s="12">
        <v>2715</v>
      </c>
      <c r="B102" s="13" t="s">
        <v>549</v>
      </c>
      <c r="C102" s="3">
        <f>SUMIF('Raw Data 01-31-2020'!$A$6:$A$254,'Q1 TB-20'!A102,'Raw Data 01-31-2020'!C$6:C$254)</f>
        <v>0</v>
      </c>
      <c r="D102" s="4"/>
      <c r="E102" s="3">
        <f>SUMIF('Raw Data 01-31-2020'!$A$6:$A$254,'Q1 TB-20'!A102,'Raw Data 01-31-2020'!D$6:D$254)</f>
        <v>25000</v>
      </c>
      <c r="F102" s="3"/>
      <c r="G102" s="3">
        <f t="shared" si="1"/>
        <v>-25000</v>
      </c>
      <c r="H102" s="109" t="s">
        <v>800</v>
      </c>
      <c r="J102" s="19"/>
    </row>
    <row r="103" spans="1:10" x14ac:dyDescent="0.75">
      <c r="A103" s="12">
        <v>2720</v>
      </c>
      <c r="B103" s="13" t="s">
        <v>550</v>
      </c>
      <c r="C103" s="3">
        <f>SUMIF('Raw Data 01-31-2020'!$A$6:$A$254,'Q1 TB-20'!A103,'Raw Data 01-31-2020'!C$6:C$254)</f>
        <v>0</v>
      </c>
      <c r="D103" s="4"/>
      <c r="E103" s="3">
        <f>SUMIF('Raw Data 01-31-2020'!$A$6:$A$254,'Q1 TB-20'!A103,'Raw Data 01-31-2020'!D$6:D$254)</f>
        <v>50000</v>
      </c>
      <c r="F103" s="3"/>
      <c r="G103" s="3">
        <f t="shared" si="1"/>
        <v>-50000</v>
      </c>
      <c r="H103" s="109" t="s">
        <v>800</v>
      </c>
      <c r="J103" s="19"/>
    </row>
    <row r="104" spans="1:10" x14ac:dyDescent="0.75">
      <c r="A104" s="12">
        <v>2725</v>
      </c>
      <c r="B104" s="13" t="s">
        <v>551</v>
      </c>
      <c r="C104" s="3">
        <f>SUMIF('Raw Data 01-31-2020'!$A$6:$A$254,'Q1 TB-20'!A104,'Raw Data 01-31-2020'!C$6:C$254)</f>
        <v>0</v>
      </c>
      <c r="D104" s="4"/>
      <c r="E104" s="3">
        <f>SUMIF('Raw Data 01-31-2020'!$A$6:$A$254,'Q1 TB-20'!A104,'Raw Data 01-31-2020'!D$6:D$254)</f>
        <v>60000</v>
      </c>
      <c r="F104" s="3"/>
      <c r="G104" s="3">
        <f t="shared" si="1"/>
        <v>-60000</v>
      </c>
      <c r="H104" s="109" t="s">
        <v>800</v>
      </c>
      <c r="J104" s="19"/>
    </row>
    <row r="105" spans="1:10" x14ac:dyDescent="0.75">
      <c r="A105" s="12">
        <v>2730</v>
      </c>
      <c r="B105" s="13" t="s">
        <v>552</v>
      </c>
      <c r="C105" s="3">
        <f>SUMIF('Raw Data 01-31-2020'!$A$6:$A$254,'Q1 TB-20'!A105,'Raw Data 01-31-2020'!C$6:C$254)</f>
        <v>0</v>
      </c>
      <c r="D105" s="4"/>
      <c r="E105" s="3">
        <f>SUMIF('Raw Data 01-31-2020'!$A$6:$A$254,'Q1 TB-20'!A105,'Raw Data 01-31-2020'!D$6:D$254)</f>
        <v>108527</v>
      </c>
      <c r="F105" s="3"/>
      <c r="G105" s="3">
        <f t="shared" si="1"/>
        <v>-108527</v>
      </c>
      <c r="H105" s="109" t="s">
        <v>800</v>
      </c>
      <c r="J105" s="19"/>
    </row>
    <row r="106" spans="1:10" x14ac:dyDescent="0.75">
      <c r="A106" s="12">
        <v>2735</v>
      </c>
      <c r="B106" s="13" t="s">
        <v>553</v>
      </c>
      <c r="C106" s="3">
        <f>SUMIF('Raw Data 01-31-2020'!$A$6:$A$254,'Q1 TB-20'!A106,'Raw Data 01-31-2020'!C$6:C$254)</f>
        <v>0</v>
      </c>
      <c r="D106" s="4"/>
      <c r="E106" s="3">
        <f>SUMIF('Raw Data 01-31-2020'!$A$6:$A$254,'Q1 TB-20'!A106,'Raw Data 01-31-2020'!D$6:D$254)</f>
        <v>150000</v>
      </c>
      <c r="F106" s="3"/>
      <c r="G106" s="3">
        <f t="shared" si="1"/>
        <v>-150000</v>
      </c>
      <c r="H106" s="109" t="s">
        <v>800</v>
      </c>
      <c r="J106" s="19"/>
    </row>
    <row r="107" spans="1:10" x14ac:dyDescent="0.75">
      <c r="A107" s="12">
        <v>2740</v>
      </c>
      <c r="B107" s="13" t="s">
        <v>554</v>
      </c>
      <c r="C107" s="3">
        <f>SUMIF('Raw Data 01-31-2020'!$A$6:$A$254,'Q1 TB-20'!A107,'Raw Data 01-31-2020'!C$6:C$254)</f>
        <v>0</v>
      </c>
      <c r="D107" s="4"/>
      <c r="E107" s="3">
        <f>SUMIF('Raw Data 01-31-2020'!$A$6:$A$254,'Q1 TB-20'!A107,'Raw Data 01-31-2020'!D$6:D$254)</f>
        <v>40000</v>
      </c>
      <c r="F107" s="3"/>
      <c r="G107" s="3">
        <f t="shared" si="1"/>
        <v>-40000</v>
      </c>
      <c r="H107" s="109" t="s">
        <v>800</v>
      </c>
      <c r="J107" s="19"/>
    </row>
    <row r="108" spans="1:10" x14ac:dyDescent="0.75">
      <c r="A108" s="12">
        <v>2745</v>
      </c>
      <c r="B108" s="13" t="s">
        <v>939</v>
      </c>
      <c r="C108" s="3">
        <f>SUMIF('Raw Data 01-31-2020'!$A$6:$A$254,'Q1 TB-20'!A108,'Raw Data 01-31-2020'!C$6:C$254)</f>
        <v>0</v>
      </c>
      <c r="D108" s="4"/>
      <c r="E108" s="3">
        <f>SUMIF('Raw Data 01-31-2020'!$A$6:$A$254,'Q1 TB-20'!A108,'Raw Data 01-31-2020'!D$6:D$254)</f>
        <v>136754.29</v>
      </c>
      <c r="F108" s="3"/>
      <c r="G108" s="3">
        <f t="shared" si="1"/>
        <v>-136754.29</v>
      </c>
      <c r="H108" s="109" t="s">
        <v>182</v>
      </c>
      <c r="J108" s="19"/>
    </row>
    <row r="109" spans="1:10" x14ac:dyDescent="0.75">
      <c r="A109" s="12">
        <v>2750</v>
      </c>
      <c r="B109" s="13" t="s">
        <v>555</v>
      </c>
      <c r="C109" s="3">
        <f>SUMIF('Raw Data 01-31-2020'!$A$6:$A$254,'Q1 TB-20'!A109,'Raw Data 01-31-2020'!C$6:C$254)</f>
        <v>0</v>
      </c>
      <c r="D109" s="4"/>
      <c r="E109" s="3">
        <f>SUMIF('Raw Data 01-31-2020'!$A$6:$A$254,'Q1 TB-20'!A109,'Raw Data 01-31-2020'!D$6:D$254)</f>
        <v>50000</v>
      </c>
      <c r="F109" s="3"/>
      <c r="G109" s="3">
        <f t="shared" si="1"/>
        <v>-50000</v>
      </c>
      <c r="H109" s="109" t="s">
        <v>800</v>
      </c>
      <c r="J109" s="19"/>
    </row>
    <row r="110" spans="1:10" x14ac:dyDescent="0.75">
      <c r="A110" s="12">
        <v>2755</v>
      </c>
      <c r="B110" s="13" t="s">
        <v>556</v>
      </c>
      <c r="C110" s="3">
        <f>SUMIF('Raw Data 01-31-2020'!$A$6:$A$254,'Q1 TB-20'!A110,'Raw Data 01-31-2020'!C$6:C$254)</f>
        <v>0</v>
      </c>
      <c r="D110" s="4"/>
      <c r="E110" s="3">
        <f>SUMIF('Raw Data 01-31-2020'!$A$6:$A$254,'Q1 TB-20'!A110,'Raw Data 01-31-2020'!D$6:D$254)</f>
        <v>25000</v>
      </c>
      <c r="F110" s="3"/>
      <c r="G110" s="3">
        <f t="shared" si="1"/>
        <v>-25000</v>
      </c>
      <c r="H110" s="109" t="s">
        <v>800</v>
      </c>
      <c r="J110" s="19"/>
    </row>
    <row r="111" spans="1:10" x14ac:dyDescent="0.75">
      <c r="A111" s="12">
        <v>2760</v>
      </c>
      <c r="B111" s="13" t="s">
        <v>557</v>
      </c>
      <c r="C111" s="3">
        <f>SUMIF('Raw Data 01-31-2020'!$A$6:$A$254,'Q1 TB-20'!A111,'Raw Data 01-31-2020'!C$6:C$254)</f>
        <v>0</v>
      </c>
      <c r="D111" s="4"/>
      <c r="E111" s="3">
        <f>SUMIF('Raw Data 01-31-2020'!$A$6:$A$254,'Q1 TB-20'!A111,'Raw Data 01-31-2020'!D$6:D$254)</f>
        <v>170000</v>
      </c>
      <c r="F111" s="3"/>
      <c r="G111" s="3">
        <f t="shared" si="1"/>
        <v>-170000</v>
      </c>
      <c r="H111" s="109" t="s">
        <v>800</v>
      </c>
      <c r="J111" s="19"/>
    </row>
    <row r="112" spans="1:10" x14ac:dyDescent="0.75">
      <c r="A112" s="12">
        <v>2765</v>
      </c>
      <c r="B112" s="13" t="s">
        <v>558</v>
      </c>
      <c r="C112" s="3">
        <f>SUMIF('Raw Data 01-31-2020'!$A$6:$A$254,'Q1 TB-20'!A112,'Raw Data 01-31-2020'!C$6:C$254)</f>
        <v>0</v>
      </c>
      <c r="D112" s="4"/>
      <c r="E112" s="3">
        <f>SUMIF('Raw Data 01-31-2020'!$A$6:$A$254,'Q1 TB-20'!A112,'Raw Data 01-31-2020'!D$6:D$254)</f>
        <v>50000</v>
      </c>
      <c r="F112" s="3"/>
      <c r="G112" s="3">
        <f t="shared" si="1"/>
        <v>-50000</v>
      </c>
      <c r="H112" s="109" t="s">
        <v>800</v>
      </c>
      <c r="J112" s="19"/>
    </row>
    <row r="113" spans="1:10" x14ac:dyDescent="0.75">
      <c r="A113" s="12">
        <v>2770</v>
      </c>
      <c r="B113" s="13" t="s">
        <v>559</v>
      </c>
      <c r="C113" s="3">
        <f>SUMIF('Raw Data 01-31-2020'!$A$6:$A$254,'Q1 TB-20'!A113,'Raw Data 01-31-2020'!C$6:C$254)</f>
        <v>0</v>
      </c>
      <c r="D113" s="4"/>
      <c r="E113" s="3">
        <f>SUMIF('Raw Data 01-31-2020'!$A$6:$A$254,'Q1 TB-20'!A113,'Raw Data 01-31-2020'!D$6:D$254)</f>
        <v>2500</v>
      </c>
      <c r="F113" s="3"/>
      <c r="G113" s="3">
        <f t="shared" si="1"/>
        <v>-2500</v>
      </c>
      <c r="H113" s="109" t="s">
        <v>800</v>
      </c>
      <c r="J113" s="19"/>
    </row>
    <row r="114" spans="1:10" x14ac:dyDescent="0.75">
      <c r="A114" s="12">
        <v>2775</v>
      </c>
      <c r="B114" s="13" t="s">
        <v>560</v>
      </c>
      <c r="C114" s="3">
        <f>SUMIF('Raw Data 01-31-2020'!$A$6:$A$254,'Q1 TB-20'!A114,'Raw Data 01-31-2020'!C$6:C$254)</f>
        <v>0</v>
      </c>
      <c r="D114" s="4"/>
      <c r="E114" s="3">
        <f>SUMIF('Raw Data 01-31-2020'!$A$6:$A$254,'Q1 TB-20'!A114,'Raw Data 01-31-2020'!D$6:D$254)</f>
        <v>50000</v>
      </c>
      <c r="F114" s="3"/>
      <c r="G114" s="3">
        <f t="shared" si="1"/>
        <v>-50000</v>
      </c>
      <c r="H114" s="109" t="s">
        <v>800</v>
      </c>
      <c r="J114" s="19"/>
    </row>
    <row r="115" spans="1:10" x14ac:dyDescent="0.75">
      <c r="A115" s="12">
        <v>2780</v>
      </c>
      <c r="B115" s="13" t="s">
        <v>561</v>
      </c>
      <c r="C115" s="3">
        <f>SUMIF('Raw Data 01-31-2020'!$A$6:$A$254,'Q1 TB-20'!A115,'Raw Data 01-31-2020'!C$6:C$254)</f>
        <v>0</v>
      </c>
      <c r="D115" s="4"/>
      <c r="E115" s="3">
        <f>SUMIF('Raw Data 01-31-2020'!$A$6:$A$254,'Q1 TB-20'!A115,'Raw Data 01-31-2020'!D$6:D$254)</f>
        <v>25000</v>
      </c>
      <c r="F115" s="3"/>
      <c r="G115" s="3">
        <f t="shared" si="1"/>
        <v>-25000</v>
      </c>
      <c r="H115" s="109" t="s">
        <v>800</v>
      </c>
      <c r="J115" s="19"/>
    </row>
    <row r="116" spans="1:10" x14ac:dyDescent="0.75">
      <c r="A116" s="12" t="s">
        <v>941</v>
      </c>
      <c r="B116" s="13" t="s">
        <v>942</v>
      </c>
      <c r="C116" s="3">
        <f>SUMIF('Raw Data 01-31-2020'!$A$6:$A$254,'Q1 TB-20'!A116,'Raw Data 01-31-2020'!C$6:C$254)</f>
        <v>306906</v>
      </c>
      <c r="D116" s="4"/>
      <c r="E116" s="3">
        <f>SUMIF('Raw Data 01-31-2020'!$A$6:$A$254,'Q1 TB-20'!A116,'Raw Data 01-31-2020'!D$6:D$254)</f>
        <v>0</v>
      </c>
      <c r="F116" s="3"/>
      <c r="G116" s="3">
        <f t="shared" si="1"/>
        <v>306906</v>
      </c>
      <c r="H116" s="109" t="s">
        <v>800</v>
      </c>
      <c r="J116" s="19"/>
    </row>
    <row r="117" spans="1:10" x14ac:dyDescent="0.75">
      <c r="A117" s="12">
        <v>3000</v>
      </c>
      <c r="B117" s="13" t="s">
        <v>563</v>
      </c>
      <c r="C117" s="3">
        <f>SUMIF('Raw Data 01-31-2020'!$A$6:$A$254,'Q1 TB-20'!A117,'Raw Data 01-31-2020'!C$6:C$254)</f>
        <v>0</v>
      </c>
      <c r="D117" s="4"/>
      <c r="E117" s="3">
        <f>SUMIF('Raw Data 01-31-2020'!$A$6:$A$254,'Q1 TB-20'!A117,'Raw Data 01-31-2020'!D$6:D$254)</f>
        <v>46290.14</v>
      </c>
      <c r="F117" s="3"/>
      <c r="G117" s="3">
        <f t="shared" si="1"/>
        <v>-46290.14</v>
      </c>
      <c r="H117" s="109" t="s">
        <v>183</v>
      </c>
      <c r="J117" s="19"/>
    </row>
    <row r="118" spans="1:10" x14ac:dyDescent="0.75">
      <c r="A118" s="12">
        <v>3050</v>
      </c>
      <c r="B118" s="13" t="s">
        <v>569</v>
      </c>
      <c r="C118" s="3">
        <f>SUMIF('Raw Data 01-31-2020'!$A$6:$A$254,'Q1 TB-20'!A118,'Raw Data 01-31-2020'!C$6:C$254)</f>
        <v>0</v>
      </c>
      <c r="D118" s="4"/>
      <c r="E118" s="3">
        <f>SUMIF('Raw Data 01-31-2020'!$A$6:$A$254,'Q1 TB-20'!A118,'Raw Data 01-31-2020'!D$6:D$254)</f>
        <v>125013</v>
      </c>
      <c r="F118" s="3"/>
      <c r="G118" s="3">
        <f t="shared" si="1"/>
        <v>-125013</v>
      </c>
      <c r="H118" s="109" t="s">
        <v>802</v>
      </c>
      <c r="J118" s="19"/>
    </row>
    <row r="119" spans="1:10" x14ac:dyDescent="0.75">
      <c r="A119" s="12">
        <v>3100</v>
      </c>
      <c r="B119" s="13" t="s">
        <v>567</v>
      </c>
      <c r="C119" s="3">
        <f>SUMIF('Raw Data 01-31-2020'!$A$6:$A$254,'Q1 TB-20'!A119,'Raw Data 01-31-2020'!C$6:C$254)</f>
        <v>0</v>
      </c>
      <c r="D119" s="4"/>
      <c r="E119" s="3">
        <f>SUMIF('Raw Data 01-31-2020'!$A$6:$A$254,'Q1 TB-20'!A119,'Raw Data 01-31-2020'!D$6:D$254)</f>
        <v>7871075.5599999996</v>
      </c>
      <c r="F119" s="3"/>
      <c r="G119" s="3">
        <f t="shared" si="1"/>
        <v>-7871075.5599999996</v>
      </c>
      <c r="H119" s="109" t="s">
        <v>184</v>
      </c>
      <c r="J119" s="19"/>
    </row>
    <row r="120" spans="1:10" s="89" customFormat="1" x14ac:dyDescent="0.75">
      <c r="A120" s="12" t="s">
        <v>1003</v>
      </c>
      <c r="B120" s="13" t="s">
        <v>1004</v>
      </c>
      <c r="C120" s="3">
        <f>SUMIF('Raw Data 01-31-2020'!$A$6:$A$254,'Q1 TB-20'!A120,'Raw Data 01-31-2020'!C$6:C$254)</f>
        <v>0</v>
      </c>
      <c r="D120" s="4"/>
      <c r="E120" s="3">
        <f>SUMIF('Raw Data 01-31-2020'!$A$6:$A$254,'Q1 TB-20'!A120,'Raw Data 01-31-2020'!D$6:D$254)</f>
        <v>0</v>
      </c>
      <c r="F120" s="3"/>
      <c r="G120" s="3">
        <f t="shared" ref="G120" si="3">C120-E120</f>
        <v>0</v>
      </c>
      <c r="H120" s="109" t="s">
        <v>184</v>
      </c>
      <c r="J120" s="19"/>
    </row>
    <row r="121" spans="1:10" x14ac:dyDescent="0.75">
      <c r="A121" s="12">
        <v>3200</v>
      </c>
      <c r="B121" s="13" t="s">
        <v>562</v>
      </c>
      <c r="C121" s="3">
        <f>SUMIF('Raw Data 01-31-2020'!$A$6:$A$254,'Q1 TB-20'!A121,'Raw Data 01-31-2020'!C$6:C$254)</f>
        <v>0</v>
      </c>
      <c r="D121" s="4"/>
      <c r="E121" s="3">
        <f>SUMIF('Raw Data 01-31-2020'!$A$6:$A$254,'Q1 TB-20'!A121,'Raw Data 01-31-2020'!D$6:D$254)</f>
        <v>0</v>
      </c>
      <c r="F121" s="3"/>
      <c r="G121" s="3">
        <f t="shared" si="1"/>
        <v>0</v>
      </c>
      <c r="H121" s="109" t="s">
        <v>184</v>
      </c>
      <c r="J121" s="19"/>
    </row>
    <row r="122" spans="1:10" x14ac:dyDescent="0.75">
      <c r="A122" s="12">
        <v>3300</v>
      </c>
      <c r="B122" s="13" t="s">
        <v>564</v>
      </c>
      <c r="C122" s="3">
        <f>SUMIF('Raw Data 01-31-2020'!$A$6:$A$254,'Q1 TB-20'!A122,'Raw Data 01-31-2020'!C$6:C$254)</f>
        <v>0</v>
      </c>
      <c r="D122" s="4"/>
      <c r="E122" s="3">
        <f>SUMIF('Raw Data 01-31-2020'!$A$6:$A$254,'Q1 TB-20'!A122,'Raw Data 01-31-2020'!D$6:D$254)</f>
        <v>0</v>
      </c>
      <c r="F122" s="3"/>
      <c r="G122" s="3">
        <f t="shared" si="1"/>
        <v>0</v>
      </c>
      <c r="H122" s="109" t="s">
        <v>184</v>
      </c>
      <c r="J122" s="19"/>
    </row>
    <row r="123" spans="1:10" x14ac:dyDescent="0.75">
      <c r="A123" s="12">
        <v>3400</v>
      </c>
      <c r="B123" s="13" t="s">
        <v>565</v>
      </c>
      <c r="C123" s="3">
        <f>SUMIF('Raw Data 01-31-2020'!$A$6:$A$254,'Q1 TB-20'!A123,'Raw Data 01-31-2020'!C$6:C$254)</f>
        <v>0</v>
      </c>
      <c r="D123" s="4"/>
      <c r="E123" s="3">
        <f>SUMIF('Raw Data 01-31-2020'!$A$6:$A$254,'Q1 TB-20'!A123,'Raw Data 01-31-2020'!D$6:D$254)</f>
        <v>0</v>
      </c>
      <c r="F123" s="3"/>
      <c r="G123" s="3">
        <f t="shared" si="1"/>
        <v>0</v>
      </c>
      <c r="H123" s="109" t="s">
        <v>184</v>
      </c>
      <c r="J123" s="19"/>
    </row>
    <row r="124" spans="1:10" x14ac:dyDescent="0.75">
      <c r="A124" s="12">
        <v>3500</v>
      </c>
      <c r="B124" s="13" t="s">
        <v>566</v>
      </c>
      <c r="C124" s="3">
        <f>SUMIF('Raw Data 01-31-2020'!$A$6:$A$254,'Q1 TB-20'!A124,'Raw Data 01-31-2020'!C$6:C$254)</f>
        <v>0</v>
      </c>
      <c r="D124" s="4"/>
      <c r="E124" s="3">
        <f>SUMIF('Raw Data 01-31-2020'!$A$6:$A$254,'Q1 TB-20'!A124,'Raw Data 01-31-2020'!D$6:D$254)</f>
        <v>0</v>
      </c>
      <c r="F124" s="3"/>
      <c r="G124" s="3">
        <f t="shared" si="1"/>
        <v>0</v>
      </c>
      <c r="H124" s="109" t="s">
        <v>184</v>
      </c>
      <c r="J124" s="19"/>
    </row>
    <row r="125" spans="1:10" x14ac:dyDescent="0.75">
      <c r="A125" s="12" t="s">
        <v>382</v>
      </c>
      <c r="B125" s="13" t="s">
        <v>933</v>
      </c>
      <c r="C125" s="3">
        <f>SUMIF('Raw Data 01-31-2020'!$A$6:$A$254,'Q1 TB-20'!A125,'Raw Data 01-31-2020'!C$6:C$254)</f>
        <v>84000</v>
      </c>
      <c r="D125" s="4"/>
      <c r="E125" s="3">
        <f>SUMIF('Raw Data 01-31-2020'!$A$6:$A$254,'Q1 TB-20'!A125,'Raw Data 01-31-2020'!D$6:D$254)</f>
        <v>0</v>
      </c>
      <c r="F125" s="3"/>
      <c r="G125" s="3">
        <f t="shared" si="1"/>
        <v>84000</v>
      </c>
      <c r="H125" s="109" t="s">
        <v>934</v>
      </c>
      <c r="J125" s="19"/>
    </row>
    <row r="126" spans="1:10" x14ac:dyDescent="0.75">
      <c r="A126" s="12">
        <v>3800</v>
      </c>
      <c r="B126" s="13" t="s">
        <v>568</v>
      </c>
      <c r="C126" s="3">
        <f>SUMIF('Raw Data 01-31-2020'!$A$6:$A$254,'Q1 TB-20'!A126,'Raw Data 01-31-2020'!C$6:C$254)</f>
        <v>0</v>
      </c>
      <c r="D126" s="4"/>
      <c r="E126" s="3">
        <f>SUMIF('Raw Data 01-31-2020'!$A$6:$A$254,'Q1 TB-20'!A126,'Raw Data 01-31-2020'!D$6:D$254)</f>
        <v>0</v>
      </c>
      <c r="F126" s="3"/>
      <c r="G126" s="3">
        <f t="shared" si="1"/>
        <v>0</v>
      </c>
      <c r="H126" s="109" t="s">
        <v>185</v>
      </c>
      <c r="J126" s="19"/>
    </row>
    <row r="127" spans="1:10" x14ac:dyDescent="0.75">
      <c r="A127" s="12">
        <v>3900</v>
      </c>
      <c r="B127" s="13" t="s">
        <v>400</v>
      </c>
      <c r="C127" s="3">
        <f>SUMIF('Raw Data 01-31-2020'!$A$6:$A$254,'Q1 TB-20'!A127,'Raw Data 01-31-2020'!C$6:C$254)</f>
        <v>9754286.0700000003</v>
      </c>
      <c r="D127" s="4"/>
      <c r="E127" s="3">
        <f>SUMIF('Raw Data 01-31-2020'!$A$6:$A$254,'Q1 TB-20'!A127,'Raw Data 01-31-2020'!D$6:D$254)</f>
        <v>0</v>
      </c>
      <c r="F127" s="3"/>
      <c r="G127" s="3">
        <f t="shared" si="1"/>
        <v>9754286.0700000003</v>
      </c>
      <c r="H127" s="109" t="s">
        <v>185</v>
      </c>
      <c r="J127" s="19"/>
    </row>
    <row r="128" spans="1:10" x14ac:dyDescent="0.75">
      <c r="A128" s="12">
        <v>4100</v>
      </c>
      <c r="B128" s="13" t="s">
        <v>576</v>
      </c>
      <c r="C128" s="3">
        <f>SUMIF('Raw Data 01-31-2020'!$A$6:$A$254,'Q1 TB-20'!A128,'Raw Data 01-31-2020'!C$6:C$254)</f>
        <v>0</v>
      </c>
      <c r="D128" s="4"/>
      <c r="E128" s="3">
        <f>SUMIF('Raw Data 01-31-2020'!$A$6:$A$254,'Q1 TB-20'!A128,'Raw Data 01-31-2020'!D$6:D$254)</f>
        <v>220688.5</v>
      </c>
      <c r="F128" s="3"/>
      <c r="G128" s="3">
        <f t="shared" si="1"/>
        <v>-220688.5</v>
      </c>
      <c r="H128" s="109" t="s">
        <v>437</v>
      </c>
      <c r="J128" s="19"/>
    </row>
    <row r="129" spans="1:10" x14ac:dyDescent="0.75">
      <c r="A129" s="12">
        <v>4110</v>
      </c>
      <c r="B129" s="13" t="s">
        <v>577</v>
      </c>
      <c r="C129" s="3">
        <f>SUMIF('Raw Data 01-31-2020'!$A$6:$A$254,'Q1 TB-20'!A129,'Raw Data 01-31-2020'!C$6:C$254)</f>
        <v>0</v>
      </c>
      <c r="D129" s="4"/>
      <c r="E129" s="3">
        <f>SUMIF('Raw Data 01-31-2020'!$A$6:$A$254,'Q1 TB-20'!A129,'Raw Data 01-31-2020'!D$6:D$254)</f>
        <v>0</v>
      </c>
      <c r="F129" s="3"/>
      <c r="G129" s="3">
        <f t="shared" si="1"/>
        <v>0</v>
      </c>
      <c r="H129" s="109" t="s">
        <v>437</v>
      </c>
      <c r="J129" s="19"/>
    </row>
    <row r="130" spans="1:10" x14ac:dyDescent="0.75">
      <c r="A130" s="12">
        <v>4200</v>
      </c>
      <c r="B130" s="13" t="s">
        <v>573</v>
      </c>
      <c r="C130" s="3">
        <f>SUMIF('Raw Data 01-31-2020'!$A$6:$A$254,'Q1 TB-20'!A130,'Raw Data 01-31-2020'!C$6:C$254)</f>
        <v>0</v>
      </c>
      <c r="D130" s="4"/>
      <c r="E130" s="3">
        <f>SUMIF('Raw Data 01-31-2020'!$A$6:$A$254,'Q1 TB-20'!A130,'Raw Data 01-31-2020'!D$6:D$254)</f>
        <v>0</v>
      </c>
      <c r="F130" s="3"/>
      <c r="G130" s="3">
        <f t="shared" si="1"/>
        <v>0</v>
      </c>
      <c r="H130" s="109" t="s">
        <v>437</v>
      </c>
      <c r="J130" s="19"/>
    </row>
    <row r="131" spans="1:10" x14ac:dyDescent="0.75">
      <c r="A131" s="12">
        <v>4300</v>
      </c>
      <c r="B131" s="13" t="s">
        <v>571</v>
      </c>
      <c r="C131" s="3">
        <f>SUMIF('Raw Data 01-31-2020'!$A$6:$A$254,'Q1 TB-20'!A131,'Raw Data 01-31-2020'!C$6:C$254)</f>
        <v>0</v>
      </c>
      <c r="D131" s="4"/>
      <c r="E131" s="3">
        <f>SUMIF('Raw Data 01-31-2020'!$A$6:$A$254,'Q1 TB-20'!A131,'Raw Data 01-31-2020'!D$6:D$254)</f>
        <v>0</v>
      </c>
      <c r="F131" s="3"/>
      <c r="G131" s="3">
        <f t="shared" si="1"/>
        <v>0</v>
      </c>
      <c r="H131" s="109" t="s">
        <v>437</v>
      </c>
      <c r="J131" s="19"/>
    </row>
    <row r="132" spans="1:10" x14ac:dyDescent="0.75">
      <c r="A132" s="12">
        <v>4400</v>
      </c>
      <c r="B132" s="13" t="s">
        <v>570</v>
      </c>
      <c r="C132" s="3">
        <f>SUMIF('Raw Data 01-31-2020'!$A$6:$A$254,'Q1 TB-20'!A132,'Raw Data 01-31-2020'!C$6:C$254)</f>
        <v>0</v>
      </c>
      <c r="D132" s="4"/>
      <c r="E132" s="3">
        <f>SUMIF('Raw Data 01-31-2020'!$A$6:$A$254,'Q1 TB-20'!A132,'Raw Data 01-31-2020'!D$6:D$254)</f>
        <v>0</v>
      </c>
      <c r="F132" s="3"/>
      <c r="G132" s="3">
        <f t="shared" si="1"/>
        <v>0</v>
      </c>
      <c r="H132" s="109" t="s">
        <v>437</v>
      </c>
      <c r="J132" s="19"/>
    </row>
    <row r="133" spans="1:10" x14ac:dyDescent="0.75">
      <c r="A133" s="12">
        <v>4420</v>
      </c>
      <c r="B133" s="13" t="s">
        <v>574</v>
      </c>
      <c r="C133" s="3">
        <f>SUMIF('Raw Data 01-31-2020'!$A$6:$A$254,'Q1 TB-20'!A133,'Raw Data 01-31-2020'!C$6:C$254)</f>
        <v>0</v>
      </c>
      <c r="D133" s="4"/>
      <c r="E133" s="3">
        <f>SUMIF('Raw Data 01-31-2020'!$A$6:$A$254,'Q1 TB-20'!A133,'Raw Data 01-31-2020'!D$6:D$254)</f>
        <v>0</v>
      </c>
      <c r="F133" s="3"/>
      <c r="G133" s="3">
        <f t="shared" si="1"/>
        <v>0</v>
      </c>
      <c r="H133" s="109" t="s">
        <v>437</v>
      </c>
      <c r="J133" s="19"/>
    </row>
    <row r="134" spans="1:10" x14ac:dyDescent="0.75">
      <c r="A134" s="12">
        <v>4440</v>
      </c>
      <c r="B134" s="13" t="s">
        <v>575</v>
      </c>
      <c r="C134" s="3">
        <f>SUMIF('Raw Data 01-31-2020'!$A$6:$A$254,'Q1 TB-20'!A134,'Raw Data 01-31-2020'!C$6:C$254)</f>
        <v>0</v>
      </c>
      <c r="D134" s="4"/>
      <c r="E134" s="3">
        <f>SUMIF('Raw Data 01-31-2020'!$A$6:$A$254,'Q1 TB-20'!A134,'Raw Data 01-31-2020'!D$6:D$254)</f>
        <v>0</v>
      </c>
      <c r="F134" s="3"/>
      <c r="G134" s="3">
        <f t="shared" si="1"/>
        <v>0</v>
      </c>
      <c r="H134" s="109" t="s">
        <v>437</v>
      </c>
      <c r="J134" s="19"/>
    </row>
    <row r="135" spans="1:10" x14ac:dyDescent="0.75">
      <c r="A135" s="12">
        <v>4500</v>
      </c>
      <c r="B135" s="13" t="s">
        <v>578</v>
      </c>
      <c r="C135" s="3">
        <f>SUMIF('Raw Data 01-31-2020'!$A$6:$A$254,'Q1 TB-20'!A135,'Raw Data 01-31-2020'!C$6:C$254)</f>
        <v>0</v>
      </c>
      <c r="D135" s="4"/>
      <c r="E135" s="3">
        <f>SUMIF('Raw Data 01-31-2020'!$A$6:$A$254,'Q1 TB-20'!A135,'Raw Data 01-31-2020'!D$6:D$254)</f>
        <v>5232.91</v>
      </c>
      <c r="F135" s="3"/>
      <c r="G135" s="3">
        <f t="shared" si="1"/>
        <v>-5232.91</v>
      </c>
      <c r="H135" s="109" t="s">
        <v>437</v>
      </c>
      <c r="J135" s="19"/>
    </row>
    <row r="136" spans="1:10" x14ac:dyDescent="0.75">
      <c r="A136" s="12">
        <v>4550</v>
      </c>
      <c r="B136" s="13" t="s">
        <v>579</v>
      </c>
      <c r="C136" s="3">
        <f>SUMIF('Raw Data 01-31-2020'!$A$6:$A$254,'Q1 TB-20'!A136,'Raw Data 01-31-2020'!C$6:C$254)</f>
        <v>0</v>
      </c>
      <c r="D136" s="4"/>
      <c r="E136" s="3">
        <f>SUMIF('Raw Data 01-31-2020'!$A$6:$A$254,'Q1 TB-20'!A136,'Raw Data 01-31-2020'!D$6:D$254)</f>
        <v>0</v>
      </c>
      <c r="F136" s="3"/>
      <c r="G136" s="3">
        <f t="shared" si="1"/>
        <v>0</v>
      </c>
      <c r="H136" s="109" t="s">
        <v>437</v>
      </c>
      <c r="J136" s="19"/>
    </row>
    <row r="137" spans="1:10" x14ac:dyDescent="0.75">
      <c r="A137" s="12">
        <v>4900</v>
      </c>
      <c r="B137" s="13" t="s">
        <v>572</v>
      </c>
      <c r="C137" s="3">
        <f>SUMIF('Raw Data 01-31-2020'!$A$6:$A$254,'Q1 TB-20'!A137,'Raw Data 01-31-2020'!C$6:C$254)</f>
        <v>0</v>
      </c>
      <c r="D137" s="4"/>
      <c r="E137" s="3">
        <f>SUMIF('Raw Data 01-31-2020'!$A$6:$A$254,'Q1 TB-20'!A137,'Raw Data 01-31-2020'!D$6:D$254)</f>
        <v>0</v>
      </c>
      <c r="F137" s="3"/>
      <c r="G137" s="3">
        <f t="shared" si="1"/>
        <v>0</v>
      </c>
      <c r="H137" s="109" t="s">
        <v>801</v>
      </c>
      <c r="J137" s="19"/>
    </row>
    <row r="138" spans="1:10" x14ac:dyDescent="0.75">
      <c r="A138" s="12">
        <v>4950</v>
      </c>
      <c r="B138" s="13" t="s">
        <v>580</v>
      </c>
      <c r="C138" s="3">
        <f>SUMIF('Raw Data 01-31-2020'!$A$6:$A$254,'Q1 TB-20'!A138,'Raw Data 01-31-2020'!C$6:C$254)</f>
        <v>0</v>
      </c>
      <c r="D138" s="4"/>
      <c r="E138" s="3">
        <f>SUMIF('Raw Data 01-31-2020'!$A$6:$A$254,'Q1 TB-20'!A138,'Raw Data 01-31-2020'!D$6:D$254)</f>
        <v>0</v>
      </c>
      <c r="F138" s="3"/>
      <c r="G138" s="3">
        <f t="shared" si="1"/>
        <v>0</v>
      </c>
      <c r="H138" s="109" t="s">
        <v>437</v>
      </c>
      <c r="J138" s="19"/>
    </row>
    <row r="139" spans="1:10" x14ac:dyDescent="0.75">
      <c r="A139" s="12">
        <v>4980</v>
      </c>
      <c r="B139" s="13" t="s">
        <v>581</v>
      </c>
      <c r="C139" s="3">
        <f>SUMIF('Raw Data 01-31-2020'!$A$6:$A$254,'Q1 TB-20'!A139,'Raw Data 01-31-2020'!C$6:C$254)</f>
        <v>0</v>
      </c>
      <c r="D139" s="4"/>
      <c r="E139" s="3">
        <f>SUMIF('Raw Data 01-31-2020'!$A$6:$A$254,'Q1 TB-20'!A139,'Raw Data 01-31-2020'!D$6:D$254)</f>
        <v>0</v>
      </c>
      <c r="F139" s="3"/>
      <c r="G139" s="3">
        <f t="shared" si="1"/>
        <v>0</v>
      </c>
      <c r="H139" s="109" t="s">
        <v>437</v>
      </c>
      <c r="J139" s="19"/>
    </row>
    <row r="140" spans="1:10" x14ac:dyDescent="0.75">
      <c r="A140" s="12">
        <v>5000</v>
      </c>
      <c r="B140" s="13" t="s">
        <v>582</v>
      </c>
      <c r="C140" s="3">
        <f>SUMIF('Raw Data 01-31-2020'!$A$6:$A$254,'Q1 TB-20'!A140,'Raw Data 01-31-2020'!C$6:C$254)</f>
        <v>0</v>
      </c>
      <c r="D140" s="4"/>
      <c r="E140" s="3">
        <f>SUMIF('Raw Data 01-31-2020'!$A$6:$A$254,'Q1 TB-20'!A140,'Raw Data 01-31-2020'!D$6:D$254)</f>
        <v>0</v>
      </c>
      <c r="F140" s="3"/>
      <c r="G140" s="3">
        <f t="shared" si="1"/>
        <v>0</v>
      </c>
      <c r="H140" s="109" t="s">
        <v>438</v>
      </c>
      <c r="J140" s="19"/>
    </row>
    <row r="141" spans="1:10" x14ac:dyDescent="0.75">
      <c r="A141" s="12">
        <v>5010</v>
      </c>
      <c r="B141" s="13" t="s">
        <v>583</v>
      </c>
      <c r="C141" s="3">
        <f>SUMIF('Raw Data 01-31-2020'!$A$6:$A$254,'Q1 TB-20'!A141,'Raw Data 01-31-2020'!C$6:C$254)</f>
        <v>7773</v>
      </c>
      <c r="D141" s="4"/>
      <c r="E141" s="3">
        <f>SUMIF('Raw Data 01-31-2020'!$A$6:$A$254,'Q1 TB-20'!A141,'Raw Data 01-31-2020'!D$6:D$254)</f>
        <v>0</v>
      </c>
      <c r="F141" s="3"/>
      <c r="G141" s="3">
        <f t="shared" si="1"/>
        <v>7773</v>
      </c>
      <c r="H141" s="109" t="s">
        <v>438</v>
      </c>
      <c r="J141" s="19"/>
    </row>
    <row r="142" spans="1:10" x14ac:dyDescent="0.75">
      <c r="A142" s="12">
        <v>5020</v>
      </c>
      <c r="B142" s="13" t="s">
        <v>584</v>
      </c>
      <c r="C142" s="3">
        <f>SUMIF('Raw Data 01-31-2020'!$A$6:$A$254,'Q1 TB-20'!A142,'Raw Data 01-31-2020'!C$6:C$254)</f>
        <v>25000</v>
      </c>
      <c r="D142" s="4"/>
      <c r="E142" s="3">
        <f>SUMIF('Raw Data 01-31-2020'!$A$6:$A$254,'Q1 TB-20'!A142,'Raw Data 01-31-2020'!D$6:D$254)</f>
        <v>0</v>
      </c>
      <c r="F142" s="3"/>
      <c r="G142" s="3">
        <f t="shared" ref="G142:G205" si="4">C142-E142</f>
        <v>25000</v>
      </c>
      <c r="H142" s="109" t="s">
        <v>438</v>
      </c>
      <c r="J142" s="19"/>
    </row>
    <row r="143" spans="1:10" x14ac:dyDescent="0.75">
      <c r="A143" s="12">
        <v>5030</v>
      </c>
      <c r="B143" s="13" t="s">
        <v>585</v>
      </c>
      <c r="C143" s="3">
        <f>SUMIF('Raw Data 01-31-2020'!$A$6:$A$254,'Q1 TB-20'!A143,'Raw Data 01-31-2020'!C$6:C$254)</f>
        <v>7533.6</v>
      </c>
      <c r="D143" s="4"/>
      <c r="E143" s="3">
        <f>SUMIF('Raw Data 01-31-2020'!$A$6:$A$254,'Q1 TB-20'!A143,'Raw Data 01-31-2020'!D$6:D$254)</f>
        <v>0</v>
      </c>
      <c r="F143" s="3"/>
      <c r="G143" s="3">
        <f t="shared" si="4"/>
        <v>7533.6</v>
      </c>
      <c r="H143" s="109" t="s">
        <v>438</v>
      </c>
      <c r="J143" s="19"/>
    </row>
    <row r="144" spans="1:10" x14ac:dyDescent="0.75">
      <c r="A144" s="12">
        <v>5040</v>
      </c>
      <c r="B144" s="13" t="s">
        <v>586</v>
      </c>
      <c r="C144" s="3">
        <f>SUMIF('Raw Data 01-31-2020'!$A$6:$A$254,'Q1 TB-20'!A144,'Raw Data 01-31-2020'!C$6:C$254)</f>
        <v>0</v>
      </c>
      <c r="D144" s="4"/>
      <c r="E144" s="3">
        <f>SUMIF('Raw Data 01-31-2020'!$A$6:$A$254,'Q1 TB-20'!A144,'Raw Data 01-31-2020'!D$6:D$254)</f>
        <v>0</v>
      </c>
      <c r="F144" s="3"/>
      <c r="G144" s="3">
        <f t="shared" si="4"/>
        <v>0</v>
      </c>
      <c r="H144" s="109" t="s">
        <v>438</v>
      </c>
      <c r="J144" s="19"/>
    </row>
    <row r="145" spans="1:10" x14ac:dyDescent="0.75">
      <c r="A145" s="12">
        <v>5050</v>
      </c>
      <c r="B145" s="13" t="s">
        <v>587</v>
      </c>
      <c r="C145" s="3">
        <f>SUMIF('Raw Data 01-31-2020'!$A$6:$A$254,'Q1 TB-20'!A145,'Raw Data 01-31-2020'!C$6:C$254)</f>
        <v>15155.54</v>
      </c>
      <c r="D145" s="4"/>
      <c r="E145" s="3">
        <f>SUMIF('Raw Data 01-31-2020'!$A$6:$A$254,'Q1 TB-20'!A145,'Raw Data 01-31-2020'!D$6:D$254)</f>
        <v>0</v>
      </c>
      <c r="F145" s="3"/>
      <c r="G145" s="3">
        <f t="shared" si="4"/>
        <v>15155.54</v>
      </c>
      <c r="H145" s="109" t="s">
        <v>438</v>
      </c>
      <c r="J145" s="19"/>
    </row>
    <row r="146" spans="1:10" x14ac:dyDescent="0.75">
      <c r="A146" s="12">
        <v>5060</v>
      </c>
      <c r="B146" s="13" t="s">
        <v>588</v>
      </c>
      <c r="C146" s="3">
        <f>SUMIF('Raw Data 01-31-2020'!$A$6:$A$254,'Q1 TB-20'!A146,'Raw Data 01-31-2020'!C$6:C$254)</f>
        <v>0</v>
      </c>
      <c r="D146" s="4"/>
      <c r="E146" s="3">
        <f>SUMIF('Raw Data 01-31-2020'!$A$6:$A$254,'Q1 TB-20'!A146,'Raw Data 01-31-2020'!D$6:D$254)</f>
        <v>0</v>
      </c>
      <c r="F146" s="3"/>
      <c r="G146" s="3">
        <f t="shared" si="4"/>
        <v>0</v>
      </c>
      <c r="H146" s="109" t="s">
        <v>438</v>
      </c>
      <c r="J146" s="19"/>
    </row>
    <row r="147" spans="1:10" x14ac:dyDescent="0.75">
      <c r="A147" s="12">
        <v>5070</v>
      </c>
      <c r="B147" s="13" t="s">
        <v>589</v>
      </c>
      <c r="C147" s="3">
        <f>SUMIF('Raw Data 01-31-2020'!$A$6:$A$254,'Q1 TB-20'!A147,'Raw Data 01-31-2020'!C$6:C$254)</f>
        <v>0</v>
      </c>
      <c r="D147" s="4"/>
      <c r="E147" s="3">
        <f>SUMIF('Raw Data 01-31-2020'!$A$6:$A$254,'Q1 TB-20'!A147,'Raw Data 01-31-2020'!D$6:D$254)</f>
        <v>0</v>
      </c>
      <c r="F147" s="3"/>
      <c r="G147" s="3">
        <f t="shared" si="4"/>
        <v>0</v>
      </c>
      <c r="H147" s="109" t="s">
        <v>438</v>
      </c>
      <c r="J147" s="19"/>
    </row>
    <row r="148" spans="1:10" x14ac:dyDescent="0.75">
      <c r="A148" s="12">
        <v>5080</v>
      </c>
      <c r="B148" s="13" t="s">
        <v>597</v>
      </c>
      <c r="C148" s="3">
        <f>SUMIF('Raw Data 01-31-2020'!$A$6:$A$254,'Q1 TB-20'!A148,'Raw Data 01-31-2020'!C$6:C$254)</f>
        <v>0</v>
      </c>
      <c r="D148" s="4"/>
      <c r="E148" s="3">
        <f>SUMIF('Raw Data 01-31-2020'!$A$6:$A$254,'Q1 TB-20'!A148,'Raw Data 01-31-2020'!D$6:D$254)</f>
        <v>0</v>
      </c>
      <c r="F148" s="3"/>
      <c r="G148" s="3">
        <f t="shared" si="4"/>
        <v>0</v>
      </c>
      <c r="H148" s="109" t="s">
        <v>438</v>
      </c>
      <c r="J148" s="19"/>
    </row>
    <row r="149" spans="1:10" x14ac:dyDescent="0.75">
      <c r="A149" s="12">
        <v>5085</v>
      </c>
      <c r="B149" s="13" t="s">
        <v>598</v>
      </c>
      <c r="C149" s="3">
        <f>SUMIF('Raw Data 01-31-2020'!$A$6:$A$254,'Q1 TB-20'!A149,'Raw Data 01-31-2020'!C$6:C$254)</f>
        <v>0</v>
      </c>
      <c r="D149" s="4"/>
      <c r="E149" s="3">
        <f>SUMIF('Raw Data 01-31-2020'!$A$6:$A$254,'Q1 TB-20'!A149,'Raw Data 01-31-2020'!D$6:D$254)</f>
        <v>0</v>
      </c>
      <c r="F149" s="3"/>
      <c r="G149" s="3">
        <f t="shared" si="4"/>
        <v>0</v>
      </c>
      <c r="H149" s="109" t="s">
        <v>438</v>
      </c>
      <c r="J149" s="19"/>
    </row>
    <row r="150" spans="1:10" x14ac:dyDescent="0.75">
      <c r="A150" s="12">
        <v>6010</v>
      </c>
      <c r="B150" s="13" t="s">
        <v>590</v>
      </c>
      <c r="C150" s="3">
        <f>SUMIF('Raw Data 01-31-2020'!$A$6:$A$254,'Q1 TB-20'!A150,'Raw Data 01-31-2020'!C$6:C$254)</f>
        <v>0</v>
      </c>
      <c r="D150" s="4"/>
      <c r="E150" s="3">
        <f>SUMIF('Raw Data 01-31-2020'!$A$6:$A$254,'Q1 TB-20'!A150,'Raw Data 01-31-2020'!D$6:D$254)</f>
        <v>0</v>
      </c>
      <c r="F150" s="3"/>
      <c r="G150" s="3">
        <f t="shared" si="4"/>
        <v>0</v>
      </c>
      <c r="H150" s="109" t="s">
        <v>439</v>
      </c>
      <c r="J150" s="19"/>
    </row>
    <row r="151" spans="1:10" x14ac:dyDescent="0.75">
      <c r="A151" s="12">
        <v>6015</v>
      </c>
      <c r="B151" s="13" t="s">
        <v>591</v>
      </c>
      <c r="C151" s="3">
        <f>SUMIF('Raw Data 01-31-2020'!$A$6:$A$254,'Q1 TB-20'!A151,'Raw Data 01-31-2020'!C$6:C$254)</f>
        <v>0</v>
      </c>
      <c r="D151" s="4"/>
      <c r="E151" s="3">
        <f>SUMIF('Raw Data 01-31-2020'!$A$6:$A$254,'Q1 TB-20'!A151,'Raw Data 01-31-2020'!D$6:D$254)</f>
        <v>0</v>
      </c>
      <c r="F151" s="3"/>
      <c r="G151" s="3">
        <f t="shared" si="4"/>
        <v>0</v>
      </c>
      <c r="H151" s="109" t="s">
        <v>439</v>
      </c>
      <c r="J151" s="19"/>
    </row>
    <row r="152" spans="1:10" x14ac:dyDescent="0.75">
      <c r="A152" s="12">
        <v>6020</v>
      </c>
      <c r="B152" s="13" t="s">
        <v>592</v>
      </c>
      <c r="C152" s="3">
        <f>SUMIF('Raw Data 01-31-2020'!$A$6:$A$254,'Q1 TB-20'!A152,'Raw Data 01-31-2020'!C$6:C$254)</f>
        <v>0</v>
      </c>
      <c r="D152" s="4"/>
      <c r="E152" s="3">
        <f>SUMIF('Raw Data 01-31-2020'!$A$6:$A$254,'Q1 TB-20'!A152,'Raw Data 01-31-2020'!D$6:D$254)</f>
        <v>0</v>
      </c>
      <c r="F152" s="3"/>
      <c r="G152" s="3">
        <f t="shared" si="4"/>
        <v>0</v>
      </c>
      <c r="H152" s="109" t="s">
        <v>439</v>
      </c>
      <c r="J152" s="19"/>
    </row>
    <row r="153" spans="1:10" x14ac:dyDescent="0.75">
      <c r="A153" s="12">
        <v>6025</v>
      </c>
      <c r="B153" s="13" t="s">
        <v>593</v>
      </c>
      <c r="C153" s="3">
        <f>SUMIF('Raw Data 01-31-2020'!$A$6:$A$254,'Q1 TB-20'!A153,'Raw Data 01-31-2020'!C$6:C$254)</f>
        <v>158</v>
      </c>
      <c r="D153" s="4"/>
      <c r="E153" s="3">
        <f>SUMIF('Raw Data 01-31-2020'!$A$6:$A$254,'Q1 TB-20'!A153,'Raw Data 01-31-2020'!D$6:D$254)</f>
        <v>0</v>
      </c>
      <c r="F153" s="3"/>
      <c r="G153" s="3">
        <f t="shared" si="4"/>
        <v>158</v>
      </c>
      <c r="H153" s="109" t="s">
        <v>439</v>
      </c>
      <c r="J153" s="19"/>
    </row>
    <row r="154" spans="1:10" x14ac:dyDescent="0.75">
      <c r="A154" s="12">
        <v>6030</v>
      </c>
      <c r="B154" s="13" t="s">
        <v>594</v>
      </c>
      <c r="C154" s="3">
        <f>SUMIF('Raw Data 01-31-2020'!$A$6:$A$254,'Q1 TB-20'!A154,'Raw Data 01-31-2020'!C$6:C$254)</f>
        <v>542.45000000000005</v>
      </c>
      <c r="D154" s="4"/>
      <c r="E154" s="3">
        <f>SUMIF('Raw Data 01-31-2020'!$A$6:$A$254,'Q1 TB-20'!A154,'Raw Data 01-31-2020'!D$6:D$254)</f>
        <v>0</v>
      </c>
      <c r="F154" s="3"/>
      <c r="G154" s="3">
        <f t="shared" si="4"/>
        <v>542.45000000000005</v>
      </c>
      <c r="H154" s="109" t="s">
        <v>439</v>
      </c>
      <c r="J154" s="19"/>
    </row>
    <row r="155" spans="1:10" x14ac:dyDescent="0.75">
      <c r="A155" s="12">
        <v>6035</v>
      </c>
      <c r="B155" s="13" t="s">
        <v>595</v>
      </c>
      <c r="C155" s="3">
        <f>SUMIF('Raw Data 01-31-2020'!$A$6:$A$254,'Q1 TB-20'!A155,'Raw Data 01-31-2020'!C$6:C$254)</f>
        <v>0</v>
      </c>
      <c r="D155" s="4"/>
      <c r="E155" s="3">
        <f>SUMIF('Raw Data 01-31-2020'!$A$6:$A$254,'Q1 TB-20'!A155,'Raw Data 01-31-2020'!D$6:D$254)</f>
        <v>0</v>
      </c>
      <c r="F155" s="3"/>
      <c r="G155" s="3">
        <f t="shared" si="4"/>
        <v>0</v>
      </c>
      <c r="H155" s="109" t="s">
        <v>439</v>
      </c>
      <c r="J155" s="19"/>
    </row>
    <row r="156" spans="1:10" x14ac:dyDescent="0.75">
      <c r="A156" s="12">
        <v>6040</v>
      </c>
      <c r="B156" s="13" t="s">
        <v>596</v>
      </c>
      <c r="C156" s="3">
        <f>SUMIF('Raw Data 01-31-2020'!$A$6:$A$254,'Q1 TB-20'!A156,'Raw Data 01-31-2020'!C$6:C$254)</f>
        <v>0</v>
      </c>
      <c r="D156" s="4"/>
      <c r="E156" s="3">
        <f>SUMIF('Raw Data 01-31-2020'!$A$6:$A$254,'Q1 TB-20'!A156,'Raw Data 01-31-2020'!D$6:D$254)</f>
        <v>0</v>
      </c>
      <c r="F156" s="3"/>
      <c r="G156" s="3">
        <f t="shared" si="4"/>
        <v>0</v>
      </c>
      <c r="H156" s="109" t="s">
        <v>439</v>
      </c>
      <c r="J156" s="19"/>
    </row>
    <row r="157" spans="1:10" x14ac:dyDescent="0.75">
      <c r="A157" s="12">
        <v>6055</v>
      </c>
      <c r="B157" s="13" t="s">
        <v>599</v>
      </c>
      <c r="C157" s="3">
        <f>SUMIF('Raw Data 01-31-2020'!$A$6:$A$254,'Q1 TB-20'!A157,'Raw Data 01-31-2020'!C$6:C$254)</f>
        <v>0</v>
      </c>
      <c r="D157" s="4"/>
      <c r="E157" s="3">
        <f>SUMIF('Raw Data 01-31-2020'!$A$6:$A$254,'Q1 TB-20'!A157,'Raw Data 01-31-2020'!D$6:D$254)</f>
        <v>0</v>
      </c>
      <c r="F157" s="3"/>
      <c r="G157" s="3">
        <f t="shared" si="4"/>
        <v>0</v>
      </c>
      <c r="H157" s="109" t="s">
        <v>439</v>
      </c>
      <c r="J157" s="19"/>
    </row>
    <row r="158" spans="1:10" x14ac:dyDescent="0.75">
      <c r="A158" s="12">
        <v>6060</v>
      </c>
      <c r="B158" s="13" t="s">
        <v>600</v>
      </c>
      <c r="C158" s="3">
        <f>SUMIF('Raw Data 01-31-2020'!$A$6:$A$254,'Q1 TB-20'!A158,'Raw Data 01-31-2020'!C$6:C$254)</f>
        <v>0</v>
      </c>
      <c r="D158" s="4"/>
      <c r="E158" s="3">
        <f>SUMIF('Raw Data 01-31-2020'!$A$6:$A$254,'Q1 TB-20'!A158,'Raw Data 01-31-2020'!D$6:D$254)</f>
        <v>0</v>
      </c>
      <c r="F158" s="3"/>
      <c r="G158" s="3">
        <f t="shared" si="4"/>
        <v>0</v>
      </c>
      <c r="H158" s="109" t="s">
        <v>439</v>
      </c>
      <c r="J158" s="19"/>
    </row>
    <row r="159" spans="1:10" x14ac:dyDescent="0.75">
      <c r="A159" s="12">
        <v>6065</v>
      </c>
      <c r="B159" s="13" t="s">
        <v>601</v>
      </c>
      <c r="C159" s="3">
        <f>SUMIF('Raw Data 01-31-2020'!$A$6:$A$254,'Q1 TB-20'!A159,'Raw Data 01-31-2020'!C$6:C$254)</f>
        <v>0</v>
      </c>
      <c r="D159" s="4"/>
      <c r="E159" s="3">
        <f>SUMIF('Raw Data 01-31-2020'!$A$6:$A$254,'Q1 TB-20'!A159,'Raw Data 01-31-2020'!D$6:D$254)</f>
        <v>0</v>
      </c>
      <c r="F159" s="3"/>
      <c r="G159" s="3">
        <f t="shared" si="4"/>
        <v>0</v>
      </c>
      <c r="H159" s="109" t="s">
        <v>439</v>
      </c>
      <c r="J159" s="19"/>
    </row>
    <row r="160" spans="1:10" x14ac:dyDescent="0.75">
      <c r="A160" s="12">
        <v>6070</v>
      </c>
      <c r="B160" s="13" t="s">
        <v>602</v>
      </c>
      <c r="C160" s="3">
        <f>SUMIF('Raw Data 01-31-2020'!$A$6:$A$254,'Q1 TB-20'!A160,'Raw Data 01-31-2020'!C$6:C$254)</f>
        <v>0</v>
      </c>
      <c r="D160" s="4"/>
      <c r="E160" s="3">
        <f>SUMIF('Raw Data 01-31-2020'!$A$6:$A$254,'Q1 TB-20'!A160,'Raw Data 01-31-2020'!D$6:D$254)</f>
        <v>0</v>
      </c>
      <c r="F160" s="3"/>
      <c r="G160" s="3">
        <f t="shared" si="4"/>
        <v>0</v>
      </c>
      <c r="H160" s="109" t="s">
        <v>439</v>
      </c>
      <c r="J160" s="19"/>
    </row>
    <row r="161" spans="1:10" x14ac:dyDescent="0.75">
      <c r="A161" s="12">
        <v>6075</v>
      </c>
      <c r="B161" s="13" t="s">
        <v>603</v>
      </c>
      <c r="C161" s="3">
        <f>SUMIF('Raw Data 01-31-2020'!$A$6:$A$254,'Q1 TB-20'!A161,'Raw Data 01-31-2020'!C$6:C$254)</f>
        <v>17074.86</v>
      </c>
      <c r="D161" s="4"/>
      <c r="E161" s="3">
        <f>SUMIF('Raw Data 01-31-2020'!$A$6:$A$254,'Q1 TB-20'!A161,'Raw Data 01-31-2020'!D$6:D$254)</f>
        <v>0</v>
      </c>
      <c r="F161" s="3"/>
      <c r="G161" s="3">
        <f t="shared" si="4"/>
        <v>17074.86</v>
      </c>
      <c r="H161" s="109" t="s">
        <v>439</v>
      </c>
      <c r="J161" s="19"/>
    </row>
    <row r="162" spans="1:10" x14ac:dyDescent="0.75">
      <c r="A162" s="12">
        <v>6080</v>
      </c>
      <c r="B162" s="13" t="s">
        <v>604</v>
      </c>
      <c r="C162" s="3">
        <f>SUMIF('Raw Data 01-31-2020'!$A$6:$A$254,'Q1 TB-20'!A162,'Raw Data 01-31-2020'!C$6:C$254)</f>
        <v>0</v>
      </c>
      <c r="D162" s="4"/>
      <c r="E162" s="3">
        <f>SUMIF('Raw Data 01-31-2020'!$A$6:$A$254,'Q1 TB-20'!A162,'Raw Data 01-31-2020'!D$6:D$254)</f>
        <v>0</v>
      </c>
      <c r="F162" s="3"/>
      <c r="G162" s="3">
        <f t="shared" si="4"/>
        <v>0</v>
      </c>
      <c r="H162" s="109" t="s">
        <v>439</v>
      </c>
      <c r="J162" s="19"/>
    </row>
    <row r="163" spans="1:10" x14ac:dyDescent="0.75">
      <c r="A163" s="12">
        <v>6085</v>
      </c>
      <c r="B163" s="13" t="s">
        <v>605</v>
      </c>
      <c r="C163" s="3">
        <f>SUMIF('Raw Data 01-31-2020'!$A$6:$A$254,'Q1 TB-20'!A163,'Raw Data 01-31-2020'!C$6:C$254)</f>
        <v>582</v>
      </c>
      <c r="D163" s="4"/>
      <c r="E163" s="3">
        <f>SUMIF('Raw Data 01-31-2020'!$A$6:$A$254,'Q1 TB-20'!A163,'Raw Data 01-31-2020'!D$6:D$254)</f>
        <v>0</v>
      </c>
      <c r="F163" s="3"/>
      <c r="G163" s="3">
        <f t="shared" si="4"/>
        <v>582</v>
      </c>
      <c r="H163" s="109" t="s">
        <v>439</v>
      </c>
      <c r="J163" s="19"/>
    </row>
    <row r="164" spans="1:10" x14ac:dyDescent="0.75">
      <c r="A164" s="12">
        <v>6090</v>
      </c>
      <c r="B164" s="13" t="s">
        <v>606</v>
      </c>
      <c r="C164" s="3">
        <f>SUMIF('Raw Data 01-31-2020'!$A$6:$A$254,'Q1 TB-20'!A164,'Raw Data 01-31-2020'!C$6:C$254)</f>
        <v>0</v>
      </c>
      <c r="D164" s="4"/>
      <c r="E164" s="3">
        <f>SUMIF('Raw Data 01-31-2020'!$A$6:$A$254,'Q1 TB-20'!A164,'Raw Data 01-31-2020'!D$6:D$254)</f>
        <v>0</v>
      </c>
      <c r="F164" s="3"/>
      <c r="G164" s="3">
        <f t="shared" si="4"/>
        <v>0</v>
      </c>
      <c r="H164" s="109" t="s">
        <v>439</v>
      </c>
      <c r="J164" s="19"/>
    </row>
    <row r="165" spans="1:10" x14ac:dyDescent="0.75">
      <c r="A165" s="12">
        <v>6095</v>
      </c>
      <c r="B165" s="13" t="s">
        <v>607</v>
      </c>
      <c r="C165" s="3">
        <f>SUMIF('Raw Data 01-31-2020'!$A$6:$A$254,'Q1 TB-20'!A165,'Raw Data 01-31-2020'!C$6:C$254)</f>
        <v>0</v>
      </c>
      <c r="D165" s="4"/>
      <c r="E165" s="3">
        <f>SUMIF('Raw Data 01-31-2020'!$A$6:$A$254,'Q1 TB-20'!A165,'Raw Data 01-31-2020'!D$6:D$254)</f>
        <v>0</v>
      </c>
      <c r="F165" s="3"/>
      <c r="G165" s="3">
        <f t="shared" si="4"/>
        <v>0</v>
      </c>
      <c r="H165" s="109" t="s">
        <v>439</v>
      </c>
      <c r="J165" s="19"/>
    </row>
    <row r="166" spans="1:10" x14ac:dyDescent="0.75">
      <c r="A166" s="12">
        <v>6100</v>
      </c>
      <c r="B166" s="13" t="s">
        <v>608</v>
      </c>
      <c r="C166" s="3">
        <f>SUMIF('Raw Data 01-31-2020'!$A$6:$A$254,'Q1 TB-20'!A166,'Raw Data 01-31-2020'!C$6:C$254)</f>
        <v>312.89</v>
      </c>
      <c r="D166" s="4"/>
      <c r="E166" s="3">
        <f>SUMIF('Raw Data 01-31-2020'!$A$6:$A$254,'Q1 TB-20'!A166,'Raw Data 01-31-2020'!D$6:D$254)</f>
        <v>0</v>
      </c>
      <c r="F166" s="3"/>
      <c r="G166" s="3">
        <f t="shared" si="4"/>
        <v>312.89</v>
      </c>
      <c r="H166" s="109" t="s">
        <v>439</v>
      </c>
      <c r="J166" s="19"/>
    </row>
    <row r="167" spans="1:10" x14ac:dyDescent="0.75">
      <c r="A167" s="12">
        <v>6105</v>
      </c>
      <c r="B167" s="13" t="s">
        <v>609</v>
      </c>
      <c r="C167" s="3">
        <f>SUMIF('Raw Data 01-31-2020'!$A$6:$A$254,'Q1 TB-20'!A167,'Raw Data 01-31-2020'!C$6:C$254)</f>
        <v>1634.95</v>
      </c>
      <c r="D167" s="4"/>
      <c r="E167" s="3">
        <f>SUMIF('Raw Data 01-31-2020'!$A$6:$A$254,'Q1 TB-20'!A167,'Raw Data 01-31-2020'!D$6:D$254)</f>
        <v>0</v>
      </c>
      <c r="F167" s="3"/>
      <c r="G167" s="3">
        <f t="shared" si="4"/>
        <v>1634.95</v>
      </c>
      <c r="H167" s="109" t="s">
        <v>439</v>
      </c>
      <c r="J167" s="19"/>
    </row>
    <row r="168" spans="1:10" x14ac:dyDescent="0.75">
      <c r="A168" s="12">
        <v>6110</v>
      </c>
      <c r="B168" s="13" t="s">
        <v>610</v>
      </c>
      <c r="C168" s="3">
        <f>SUMIF('Raw Data 01-31-2020'!$A$6:$A$254,'Q1 TB-20'!A168,'Raw Data 01-31-2020'!C$6:C$254)</f>
        <v>0</v>
      </c>
      <c r="D168" s="4"/>
      <c r="E168" s="3">
        <f>SUMIF('Raw Data 01-31-2020'!$A$6:$A$254,'Q1 TB-20'!A168,'Raw Data 01-31-2020'!D$6:D$254)</f>
        <v>0</v>
      </c>
      <c r="F168" s="3"/>
      <c r="G168" s="3">
        <f t="shared" si="4"/>
        <v>0</v>
      </c>
      <c r="H168" s="109" t="s">
        <v>439</v>
      </c>
      <c r="J168" s="19"/>
    </row>
    <row r="169" spans="1:10" x14ac:dyDescent="0.75">
      <c r="A169" s="12">
        <v>6115</v>
      </c>
      <c r="B169" s="13" t="s">
        <v>611</v>
      </c>
      <c r="C169" s="3">
        <f>SUMIF('Raw Data 01-31-2020'!$A$6:$A$254,'Q1 TB-20'!A169,'Raw Data 01-31-2020'!C$6:C$254)</f>
        <v>0</v>
      </c>
      <c r="D169" s="4"/>
      <c r="E169" s="3">
        <f>SUMIF('Raw Data 01-31-2020'!$A$6:$A$254,'Q1 TB-20'!A169,'Raw Data 01-31-2020'!D$6:D$254)</f>
        <v>0</v>
      </c>
      <c r="F169" s="3"/>
      <c r="G169" s="3">
        <f t="shared" si="4"/>
        <v>0</v>
      </c>
      <c r="H169" s="109" t="s">
        <v>439</v>
      </c>
      <c r="J169" s="19"/>
    </row>
    <row r="170" spans="1:10" x14ac:dyDescent="0.75">
      <c r="A170" s="12">
        <v>6120</v>
      </c>
      <c r="B170" s="13" t="s">
        <v>612</v>
      </c>
      <c r="C170" s="3">
        <f>SUMIF('Raw Data 01-31-2020'!$A$6:$A$254,'Q1 TB-20'!A170,'Raw Data 01-31-2020'!C$6:C$254)</f>
        <v>1098.92</v>
      </c>
      <c r="D170" s="4"/>
      <c r="E170" s="3">
        <f>SUMIF('Raw Data 01-31-2020'!$A$6:$A$254,'Q1 TB-20'!A170,'Raw Data 01-31-2020'!D$6:D$254)</f>
        <v>0</v>
      </c>
      <c r="F170" s="3"/>
      <c r="G170" s="3">
        <f t="shared" si="4"/>
        <v>1098.92</v>
      </c>
      <c r="H170" s="109" t="s">
        <v>439</v>
      </c>
      <c r="J170" s="19"/>
    </row>
    <row r="171" spans="1:10" x14ac:dyDescent="0.75">
      <c r="A171" s="12">
        <v>6125</v>
      </c>
      <c r="B171" s="13" t="s">
        <v>613</v>
      </c>
      <c r="C171" s="3">
        <f>SUMIF('Raw Data 01-31-2020'!$A$6:$A$254,'Q1 TB-20'!A171,'Raw Data 01-31-2020'!C$6:C$254)</f>
        <v>0</v>
      </c>
      <c r="D171" s="4"/>
      <c r="E171" s="3">
        <f>SUMIF('Raw Data 01-31-2020'!$A$6:$A$254,'Q1 TB-20'!A171,'Raw Data 01-31-2020'!D$6:D$254)</f>
        <v>0</v>
      </c>
      <c r="F171" s="3"/>
      <c r="G171" s="3">
        <f t="shared" si="4"/>
        <v>0</v>
      </c>
      <c r="H171" s="109" t="s">
        <v>439</v>
      </c>
      <c r="J171" s="19"/>
    </row>
    <row r="172" spans="1:10" x14ac:dyDescent="0.75">
      <c r="A172" s="12">
        <v>6130</v>
      </c>
      <c r="B172" s="13" t="s">
        <v>614</v>
      </c>
      <c r="C172" s="3">
        <f>SUMIF('Raw Data 01-31-2020'!$A$6:$A$254,'Q1 TB-20'!A172,'Raw Data 01-31-2020'!C$6:C$254)</f>
        <v>0</v>
      </c>
      <c r="D172" s="4"/>
      <c r="E172" s="3">
        <f>SUMIF('Raw Data 01-31-2020'!$A$6:$A$254,'Q1 TB-20'!A172,'Raw Data 01-31-2020'!D$6:D$254)</f>
        <v>0</v>
      </c>
      <c r="F172" s="3"/>
      <c r="G172" s="3">
        <f t="shared" si="4"/>
        <v>0</v>
      </c>
      <c r="H172" s="109" t="s">
        <v>439</v>
      </c>
      <c r="J172" s="19"/>
    </row>
    <row r="173" spans="1:10" x14ac:dyDescent="0.75">
      <c r="A173" s="12">
        <v>6135</v>
      </c>
      <c r="B173" s="13" t="s">
        <v>615</v>
      </c>
      <c r="C173" s="3">
        <f>SUMIF('Raw Data 01-31-2020'!$A$6:$A$254,'Q1 TB-20'!A173,'Raw Data 01-31-2020'!C$6:C$254)</f>
        <v>4632.78</v>
      </c>
      <c r="D173" s="4"/>
      <c r="E173" s="3">
        <f>SUMIF('Raw Data 01-31-2020'!$A$6:$A$254,'Q1 TB-20'!A173,'Raw Data 01-31-2020'!D$6:D$254)</f>
        <v>0</v>
      </c>
      <c r="F173" s="3"/>
      <c r="G173" s="3">
        <f t="shared" si="4"/>
        <v>4632.78</v>
      </c>
      <c r="H173" s="109" t="s">
        <v>439</v>
      </c>
      <c r="J173" s="19"/>
    </row>
    <row r="174" spans="1:10" x14ac:dyDescent="0.75">
      <c r="A174" s="12">
        <v>6140</v>
      </c>
      <c r="B174" s="13" t="s">
        <v>616</v>
      </c>
      <c r="C174" s="3">
        <f>SUMIF('Raw Data 01-31-2020'!$A$6:$A$254,'Q1 TB-20'!A174,'Raw Data 01-31-2020'!C$6:C$254)</f>
        <v>0</v>
      </c>
      <c r="D174" s="4"/>
      <c r="E174" s="3">
        <f>SUMIF('Raw Data 01-31-2020'!$A$6:$A$254,'Q1 TB-20'!A174,'Raw Data 01-31-2020'!D$6:D$254)</f>
        <v>0</v>
      </c>
      <c r="F174" s="3"/>
      <c r="G174" s="3">
        <f t="shared" si="4"/>
        <v>0</v>
      </c>
      <c r="H174" s="109" t="s">
        <v>439</v>
      </c>
      <c r="J174" s="19"/>
    </row>
    <row r="175" spans="1:10" x14ac:dyDescent="0.75">
      <c r="A175" s="12">
        <v>6145</v>
      </c>
      <c r="B175" s="13" t="s">
        <v>617</v>
      </c>
      <c r="C175" s="3">
        <f>SUMIF('Raw Data 01-31-2020'!$A$6:$A$254,'Q1 TB-20'!A175,'Raw Data 01-31-2020'!C$6:C$254)</f>
        <v>0</v>
      </c>
      <c r="D175" s="4"/>
      <c r="E175" s="3">
        <f>SUMIF('Raw Data 01-31-2020'!$A$6:$A$254,'Q1 TB-20'!A175,'Raw Data 01-31-2020'!D$6:D$254)</f>
        <v>0</v>
      </c>
      <c r="F175" s="3"/>
      <c r="G175" s="3">
        <f t="shared" si="4"/>
        <v>0</v>
      </c>
      <c r="H175" s="109" t="s">
        <v>439</v>
      </c>
      <c r="J175" s="19"/>
    </row>
    <row r="176" spans="1:10" x14ac:dyDescent="0.75">
      <c r="A176" s="12">
        <v>6150</v>
      </c>
      <c r="B176" s="13" t="s">
        <v>618</v>
      </c>
      <c r="C176" s="3">
        <f>SUMIF('Raw Data 01-31-2020'!$A$6:$A$254,'Q1 TB-20'!A176,'Raw Data 01-31-2020'!C$6:C$254)</f>
        <v>4055</v>
      </c>
      <c r="D176" s="4"/>
      <c r="E176" s="3">
        <f>SUMIF('Raw Data 01-31-2020'!$A$6:$A$254,'Q1 TB-20'!A176,'Raw Data 01-31-2020'!D$6:D$254)</f>
        <v>0</v>
      </c>
      <c r="F176" s="3"/>
      <c r="G176" s="3">
        <f t="shared" si="4"/>
        <v>4055</v>
      </c>
      <c r="H176" s="109" t="s">
        <v>439</v>
      </c>
      <c r="J176" s="19"/>
    </row>
    <row r="177" spans="1:10" x14ac:dyDescent="0.75">
      <c r="A177" s="12">
        <v>6155</v>
      </c>
      <c r="B177" s="13" t="s">
        <v>619</v>
      </c>
      <c r="C177" s="3">
        <f>SUMIF('Raw Data 01-31-2020'!$A$6:$A$254,'Q1 TB-20'!A177,'Raw Data 01-31-2020'!C$6:C$254)</f>
        <v>4228.1499999999996</v>
      </c>
      <c r="D177" s="4"/>
      <c r="E177" s="3">
        <f>SUMIF('Raw Data 01-31-2020'!$A$6:$A$254,'Q1 TB-20'!A177,'Raw Data 01-31-2020'!D$6:D$254)</f>
        <v>0</v>
      </c>
      <c r="F177" s="3"/>
      <c r="G177" s="3">
        <f t="shared" si="4"/>
        <v>4228.1499999999996</v>
      </c>
      <c r="H177" s="109" t="s">
        <v>439</v>
      </c>
      <c r="J177" s="19"/>
    </row>
    <row r="178" spans="1:10" x14ac:dyDescent="0.75">
      <c r="A178" s="12">
        <v>6200</v>
      </c>
      <c r="B178" s="13" t="s">
        <v>625</v>
      </c>
      <c r="C178" s="3">
        <f>SUMIF('Raw Data 01-31-2020'!$A$6:$A$254,'Q1 TB-20'!A178,'Raw Data 01-31-2020'!C$6:C$254)</f>
        <v>0</v>
      </c>
      <c r="D178" s="4"/>
      <c r="E178" s="3">
        <f>SUMIF('Raw Data 01-31-2020'!$A$6:$A$254,'Q1 TB-20'!A178,'Raw Data 01-31-2020'!D$6:D$254)</f>
        <v>0</v>
      </c>
      <c r="F178" s="3"/>
      <c r="G178" s="3">
        <f t="shared" si="4"/>
        <v>0</v>
      </c>
      <c r="H178" s="109" t="s">
        <v>439</v>
      </c>
      <c r="J178" s="19"/>
    </row>
    <row r="179" spans="1:10" x14ac:dyDescent="0.75">
      <c r="A179" s="12">
        <v>6205</v>
      </c>
      <c r="B179" s="13" t="s">
        <v>626</v>
      </c>
      <c r="C179" s="3">
        <f>SUMIF('Raw Data 01-31-2020'!$A$6:$A$254,'Q1 TB-20'!A179,'Raw Data 01-31-2020'!C$6:C$254)</f>
        <v>0</v>
      </c>
      <c r="D179" s="4"/>
      <c r="E179" s="3">
        <f>SUMIF('Raw Data 01-31-2020'!$A$6:$A$254,'Q1 TB-20'!A179,'Raw Data 01-31-2020'!D$6:D$254)</f>
        <v>0</v>
      </c>
      <c r="F179" s="3"/>
      <c r="G179" s="3">
        <f t="shared" si="4"/>
        <v>0</v>
      </c>
      <c r="H179" s="109" t="s">
        <v>439</v>
      </c>
      <c r="J179" s="19"/>
    </row>
    <row r="180" spans="1:10" x14ac:dyDescent="0.75">
      <c r="A180" s="12">
        <v>6210</v>
      </c>
      <c r="B180" s="13" t="s">
        <v>627</v>
      </c>
      <c r="C180" s="3">
        <f>SUMIF('Raw Data 01-31-2020'!$A$6:$A$254,'Q1 TB-20'!A180,'Raw Data 01-31-2020'!C$6:C$254)</f>
        <v>16</v>
      </c>
      <c r="D180" s="4"/>
      <c r="E180" s="3">
        <f>SUMIF('Raw Data 01-31-2020'!$A$6:$A$254,'Q1 TB-20'!A180,'Raw Data 01-31-2020'!D$6:D$254)</f>
        <v>0</v>
      </c>
      <c r="F180" s="3"/>
      <c r="G180" s="3">
        <f t="shared" si="4"/>
        <v>16</v>
      </c>
      <c r="H180" s="109" t="s">
        <v>439</v>
      </c>
      <c r="J180" s="19"/>
    </row>
    <row r="181" spans="1:10" x14ac:dyDescent="0.75">
      <c r="A181" s="12">
        <v>6215</v>
      </c>
      <c r="B181" s="13" t="s">
        <v>628</v>
      </c>
      <c r="C181" s="3">
        <f>SUMIF('Raw Data 01-31-2020'!$A$6:$A$254,'Q1 TB-20'!A181,'Raw Data 01-31-2020'!C$6:C$254)</f>
        <v>0</v>
      </c>
      <c r="D181" s="4"/>
      <c r="E181" s="3">
        <f>SUMIF('Raw Data 01-31-2020'!$A$6:$A$254,'Q1 TB-20'!A181,'Raw Data 01-31-2020'!D$6:D$254)</f>
        <v>0</v>
      </c>
      <c r="F181" s="3"/>
      <c r="G181" s="3">
        <f t="shared" si="4"/>
        <v>0</v>
      </c>
      <c r="H181" s="109" t="s">
        <v>439</v>
      </c>
      <c r="J181" s="19"/>
    </row>
    <row r="182" spans="1:10" x14ac:dyDescent="0.75">
      <c r="A182" s="12">
        <v>6220</v>
      </c>
      <c r="B182" s="13" t="s">
        <v>629</v>
      </c>
      <c r="C182" s="3">
        <f>SUMIF('Raw Data 01-31-2020'!$A$6:$A$254,'Q1 TB-20'!A182,'Raw Data 01-31-2020'!C$6:C$254)</f>
        <v>1090.8900000000001</v>
      </c>
      <c r="D182" s="4"/>
      <c r="E182" s="3">
        <f>SUMIF('Raw Data 01-31-2020'!$A$6:$A$254,'Q1 TB-20'!A182,'Raw Data 01-31-2020'!D$6:D$254)</f>
        <v>0</v>
      </c>
      <c r="F182" s="3"/>
      <c r="G182" s="3">
        <f t="shared" si="4"/>
        <v>1090.8900000000001</v>
      </c>
      <c r="H182" s="109" t="s">
        <v>439</v>
      </c>
      <c r="J182" s="19"/>
    </row>
    <row r="183" spans="1:10" x14ac:dyDescent="0.75">
      <c r="A183" s="12">
        <v>6225</v>
      </c>
      <c r="B183" s="13" t="s">
        <v>630</v>
      </c>
      <c r="C183" s="3">
        <f>SUMIF('Raw Data 01-31-2020'!$A$6:$A$254,'Q1 TB-20'!A183,'Raw Data 01-31-2020'!C$6:C$254)</f>
        <v>0</v>
      </c>
      <c r="D183" s="4"/>
      <c r="E183" s="3">
        <f>SUMIF('Raw Data 01-31-2020'!$A$6:$A$254,'Q1 TB-20'!A183,'Raw Data 01-31-2020'!D$6:D$254)</f>
        <v>0</v>
      </c>
      <c r="F183" s="3"/>
      <c r="G183" s="3">
        <f t="shared" si="4"/>
        <v>0</v>
      </c>
      <c r="H183" s="109" t="s">
        <v>439</v>
      </c>
      <c r="J183" s="19"/>
    </row>
    <row r="184" spans="1:10" x14ac:dyDescent="0.75">
      <c r="A184" s="12">
        <v>6230</v>
      </c>
      <c r="B184" s="13" t="s">
        <v>631</v>
      </c>
      <c r="C184" s="3">
        <f>SUMIF('Raw Data 01-31-2020'!$A$6:$A$254,'Q1 TB-20'!A184,'Raw Data 01-31-2020'!C$6:C$254)</f>
        <v>0</v>
      </c>
      <c r="D184" s="4"/>
      <c r="E184" s="3">
        <f>SUMIF('Raw Data 01-31-2020'!$A$6:$A$254,'Q1 TB-20'!A184,'Raw Data 01-31-2020'!D$6:D$254)</f>
        <v>0</v>
      </c>
      <c r="F184" s="3"/>
      <c r="G184" s="3">
        <f t="shared" si="4"/>
        <v>0</v>
      </c>
      <c r="H184" s="109" t="s">
        <v>439</v>
      </c>
      <c r="J184" s="19"/>
    </row>
    <row r="185" spans="1:10" x14ac:dyDescent="0.75">
      <c r="A185" s="12">
        <v>6235</v>
      </c>
      <c r="B185" s="13" t="s">
        <v>632</v>
      </c>
      <c r="C185" s="3">
        <f>SUMIF('Raw Data 01-31-2020'!$A$6:$A$254,'Q1 TB-20'!A185,'Raw Data 01-31-2020'!C$6:C$254)</f>
        <v>0</v>
      </c>
      <c r="D185" s="4"/>
      <c r="E185" s="3">
        <f>SUMIF('Raw Data 01-31-2020'!$A$6:$A$254,'Q1 TB-20'!A185,'Raw Data 01-31-2020'!D$6:D$254)</f>
        <v>0</v>
      </c>
      <c r="F185" s="3"/>
      <c r="G185" s="3">
        <f t="shared" si="4"/>
        <v>0</v>
      </c>
      <c r="H185" s="109" t="s">
        <v>439</v>
      </c>
      <c r="J185" s="19"/>
    </row>
    <row r="186" spans="1:10" x14ac:dyDescent="0.75">
      <c r="A186" s="12">
        <v>6240</v>
      </c>
      <c r="B186" s="13" t="s">
        <v>633</v>
      </c>
      <c r="C186" s="3">
        <f>SUMIF('Raw Data 01-31-2020'!$A$6:$A$254,'Q1 TB-20'!A186,'Raw Data 01-31-2020'!C$6:C$254)</f>
        <v>0</v>
      </c>
      <c r="D186" s="4"/>
      <c r="E186" s="3">
        <f>SUMIF('Raw Data 01-31-2020'!$A$6:$A$254,'Q1 TB-20'!A186,'Raw Data 01-31-2020'!D$6:D$254)</f>
        <v>0</v>
      </c>
      <c r="F186" s="3"/>
      <c r="G186" s="3">
        <f t="shared" si="4"/>
        <v>0</v>
      </c>
      <c r="H186" s="109" t="s">
        <v>439</v>
      </c>
      <c r="J186" s="19"/>
    </row>
    <row r="187" spans="1:10" x14ac:dyDescent="0.75">
      <c r="A187" s="12">
        <v>6245</v>
      </c>
      <c r="B187" s="13" t="s">
        <v>634</v>
      </c>
      <c r="C187" s="3">
        <f>SUMIF('Raw Data 01-31-2020'!$A$6:$A$254,'Q1 TB-20'!A187,'Raw Data 01-31-2020'!C$6:C$254)</f>
        <v>155.29</v>
      </c>
      <c r="D187" s="4"/>
      <c r="E187" s="3">
        <f>SUMIF('Raw Data 01-31-2020'!$A$6:$A$254,'Q1 TB-20'!A187,'Raw Data 01-31-2020'!D$6:D$254)</f>
        <v>0</v>
      </c>
      <c r="F187" s="3"/>
      <c r="G187" s="3">
        <f t="shared" si="4"/>
        <v>155.29</v>
      </c>
      <c r="H187" s="109" t="s">
        <v>439</v>
      </c>
      <c r="J187" s="19"/>
    </row>
    <row r="188" spans="1:10" x14ac:dyDescent="0.75">
      <c r="A188" s="12">
        <v>6250</v>
      </c>
      <c r="B188" s="13" t="s">
        <v>635</v>
      </c>
      <c r="C188" s="3">
        <f>SUMIF('Raw Data 01-31-2020'!$A$6:$A$254,'Q1 TB-20'!A188,'Raw Data 01-31-2020'!C$6:C$254)</f>
        <v>0</v>
      </c>
      <c r="D188" s="4"/>
      <c r="E188" s="3">
        <f>SUMIF('Raw Data 01-31-2020'!$A$6:$A$254,'Q1 TB-20'!A188,'Raw Data 01-31-2020'!D$6:D$254)</f>
        <v>0</v>
      </c>
      <c r="F188" s="3"/>
      <c r="G188" s="3">
        <f t="shared" si="4"/>
        <v>0</v>
      </c>
      <c r="H188" s="109" t="s">
        <v>439</v>
      </c>
      <c r="J188" s="19"/>
    </row>
    <row r="189" spans="1:10" x14ac:dyDescent="0.75">
      <c r="A189" s="14">
        <v>6255</v>
      </c>
      <c r="B189" s="13" t="s">
        <v>636</v>
      </c>
      <c r="C189" s="3">
        <f>SUMIF('Raw Data 01-31-2020'!$A$6:$A$254,'Q1 TB-20'!A189,'Raw Data 01-31-2020'!C$6:C$254)</f>
        <v>0</v>
      </c>
      <c r="D189" s="4"/>
      <c r="E189" s="3">
        <f>SUMIF('Raw Data 01-31-2020'!$A$6:$A$254,'Q1 TB-20'!A189,'Raw Data 01-31-2020'!D$6:D$254)</f>
        <v>0</v>
      </c>
      <c r="F189" s="3"/>
      <c r="G189" s="3">
        <f t="shared" si="4"/>
        <v>0</v>
      </c>
      <c r="H189" s="109" t="s">
        <v>439</v>
      </c>
      <c r="J189" s="19"/>
    </row>
    <row r="190" spans="1:10" x14ac:dyDescent="0.75">
      <c r="A190" s="14">
        <v>6260</v>
      </c>
      <c r="B190" s="13" t="s">
        <v>637</v>
      </c>
      <c r="C190" s="3">
        <f>SUMIF('Raw Data 01-31-2020'!$A$6:$A$254,'Q1 TB-20'!A190,'Raw Data 01-31-2020'!C$6:C$254)</f>
        <v>0</v>
      </c>
      <c r="D190" s="4"/>
      <c r="E190" s="3">
        <f>SUMIF('Raw Data 01-31-2020'!$A$6:$A$254,'Q1 TB-20'!A190,'Raw Data 01-31-2020'!D$6:D$254)</f>
        <v>0</v>
      </c>
      <c r="F190" s="3"/>
      <c r="G190" s="3">
        <f t="shared" si="4"/>
        <v>0</v>
      </c>
      <c r="H190" s="109" t="s">
        <v>439</v>
      </c>
      <c r="J190" s="19"/>
    </row>
    <row r="191" spans="1:10" x14ac:dyDescent="0.75">
      <c r="A191" s="14">
        <v>6265</v>
      </c>
      <c r="B191" s="13" t="s">
        <v>638</v>
      </c>
      <c r="C191" s="3">
        <f>SUMIF('Raw Data 01-31-2020'!$A$6:$A$254,'Q1 TB-20'!A191,'Raw Data 01-31-2020'!C$6:C$254)</f>
        <v>0</v>
      </c>
      <c r="D191" s="4"/>
      <c r="E191" s="3">
        <f>SUMIF('Raw Data 01-31-2020'!$A$6:$A$254,'Q1 TB-20'!A191,'Raw Data 01-31-2020'!D$6:D$254)</f>
        <v>0</v>
      </c>
      <c r="F191" s="3"/>
      <c r="G191" s="3">
        <f t="shared" si="4"/>
        <v>0</v>
      </c>
      <c r="H191" s="109" t="s">
        <v>439</v>
      </c>
      <c r="J191" s="19"/>
    </row>
    <row r="192" spans="1:10" x14ac:dyDescent="0.75">
      <c r="A192" s="14">
        <v>6270</v>
      </c>
      <c r="B192" s="13" t="s">
        <v>639</v>
      </c>
      <c r="C192" s="3">
        <f>SUMIF('Raw Data 01-31-2020'!$A$6:$A$254,'Q1 TB-20'!A192,'Raw Data 01-31-2020'!C$6:C$254)</f>
        <v>38360</v>
      </c>
      <c r="D192" s="4"/>
      <c r="E192" s="3">
        <f>SUMIF('Raw Data 01-31-2020'!$A$6:$A$254,'Q1 TB-20'!A192,'Raw Data 01-31-2020'!D$6:D$254)</f>
        <v>0</v>
      </c>
      <c r="F192" s="3"/>
      <c r="G192" s="3">
        <f t="shared" si="4"/>
        <v>38360</v>
      </c>
      <c r="H192" s="109" t="s">
        <v>439</v>
      </c>
      <c r="J192" s="19"/>
    </row>
    <row r="193" spans="1:10" s="6" customFormat="1" x14ac:dyDescent="0.75">
      <c r="A193" s="12">
        <v>6275</v>
      </c>
      <c r="B193" s="13" t="s">
        <v>640</v>
      </c>
      <c r="C193" s="3">
        <f>SUMIF('Raw Data 01-31-2020'!$A$6:$A$254,'Q1 TB-20'!A193,'Raw Data 01-31-2020'!C$6:C$254)</f>
        <v>48518.46</v>
      </c>
      <c r="D193" s="4"/>
      <c r="E193" s="3">
        <f>SUMIF('Raw Data 01-31-2020'!$A$6:$A$254,'Q1 TB-20'!A193,'Raw Data 01-31-2020'!D$6:D$254)</f>
        <v>0</v>
      </c>
      <c r="F193" s="3"/>
      <c r="G193" s="3">
        <f t="shared" si="4"/>
        <v>48518.46</v>
      </c>
      <c r="H193" s="109" t="s">
        <v>439</v>
      </c>
      <c r="I193" s="85"/>
      <c r="J193" s="19"/>
    </row>
    <row r="194" spans="1:10" x14ac:dyDescent="0.75">
      <c r="A194" s="14">
        <v>6280</v>
      </c>
      <c r="B194" s="13" t="s">
        <v>641</v>
      </c>
      <c r="C194" s="3">
        <f>SUMIF('Raw Data 01-31-2020'!$A$6:$A$254,'Q1 TB-20'!A194,'Raw Data 01-31-2020'!C$6:C$254)</f>
        <v>12640</v>
      </c>
      <c r="D194" s="4"/>
      <c r="E194" s="3">
        <f>SUMIF('Raw Data 01-31-2020'!$A$6:$A$254,'Q1 TB-20'!A194,'Raw Data 01-31-2020'!D$6:D$254)</f>
        <v>0</v>
      </c>
      <c r="F194" s="3"/>
      <c r="G194" s="3">
        <f t="shared" si="4"/>
        <v>12640</v>
      </c>
      <c r="H194" s="109" t="s">
        <v>439</v>
      </c>
      <c r="J194" s="19"/>
    </row>
    <row r="195" spans="1:10" x14ac:dyDescent="0.75">
      <c r="A195" s="12">
        <v>6285</v>
      </c>
      <c r="B195" s="13" t="s">
        <v>642</v>
      </c>
      <c r="C195" s="3">
        <f>SUMIF('Raw Data 01-31-2020'!$A$6:$A$254,'Q1 TB-20'!A195,'Raw Data 01-31-2020'!C$6:C$254)</f>
        <v>0</v>
      </c>
      <c r="D195" s="4"/>
      <c r="E195" s="3">
        <f>SUMIF('Raw Data 01-31-2020'!$A$6:$A$254,'Q1 TB-20'!A195,'Raw Data 01-31-2020'!D$6:D$254)</f>
        <v>0</v>
      </c>
      <c r="F195" s="3"/>
      <c r="G195" s="3">
        <f t="shared" si="4"/>
        <v>0</v>
      </c>
      <c r="H195" s="109" t="s">
        <v>439</v>
      </c>
      <c r="J195" s="19"/>
    </row>
    <row r="196" spans="1:10" x14ac:dyDescent="0.75">
      <c r="A196" s="14">
        <v>6290</v>
      </c>
      <c r="B196" s="13" t="s">
        <v>643</v>
      </c>
      <c r="C196" s="3">
        <f>SUMIF('Raw Data 01-31-2020'!$A$6:$A$254,'Q1 TB-20'!A196,'Raw Data 01-31-2020'!C$6:C$254)</f>
        <v>0</v>
      </c>
      <c r="D196" s="4"/>
      <c r="E196" s="3">
        <f>SUMIF('Raw Data 01-31-2020'!$A$6:$A$254,'Q1 TB-20'!A196,'Raw Data 01-31-2020'!D$6:D$254)</f>
        <v>0</v>
      </c>
      <c r="F196" s="3"/>
      <c r="G196" s="3">
        <f t="shared" si="4"/>
        <v>0</v>
      </c>
      <c r="H196" s="109" t="s">
        <v>439</v>
      </c>
      <c r="J196" s="19"/>
    </row>
    <row r="197" spans="1:10" x14ac:dyDescent="0.75">
      <c r="A197" s="14">
        <v>6295</v>
      </c>
      <c r="B197" s="13" t="s">
        <v>644</v>
      </c>
      <c r="C197" s="3">
        <f>SUMIF('Raw Data 01-31-2020'!$A$6:$A$254,'Q1 TB-20'!A197,'Raw Data 01-31-2020'!C$6:C$254)</f>
        <v>0</v>
      </c>
      <c r="D197" s="4"/>
      <c r="E197" s="3">
        <f>SUMIF('Raw Data 01-31-2020'!$A$6:$A$254,'Q1 TB-20'!A197,'Raw Data 01-31-2020'!D$6:D$254)</f>
        <v>0</v>
      </c>
      <c r="F197" s="3"/>
      <c r="G197" s="3">
        <f t="shared" si="4"/>
        <v>0</v>
      </c>
      <c r="H197" s="109" t="s">
        <v>439</v>
      </c>
      <c r="I197" s="6"/>
      <c r="J197" s="19"/>
    </row>
    <row r="198" spans="1:10" x14ac:dyDescent="0.75">
      <c r="A198" s="14">
        <v>6300</v>
      </c>
      <c r="B198" s="13" t="s">
        <v>645</v>
      </c>
      <c r="C198" s="3">
        <f>SUMIF('Raw Data 01-31-2020'!$A$6:$A$254,'Q1 TB-20'!A198,'Raw Data 01-31-2020'!C$6:C$254)</f>
        <v>545.05999999999995</v>
      </c>
      <c r="D198" s="4"/>
      <c r="E198" s="3">
        <f>SUMIF('Raw Data 01-31-2020'!$A$6:$A$254,'Q1 TB-20'!A198,'Raw Data 01-31-2020'!D$6:D$254)</f>
        <v>0</v>
      </c>
      <c r="F198" s="3"/>
      <c r="G198" s="3">
        <f t="shared" si="4"/>
        <v>545.05999999999995</v>
      </c>
      <c r="H198" s="109" t="s">
        <v>439</v>
      </c>
      <c r="J198" s="19"/>
    </row>
    <row r="199" spans="1:10" x14ac:dyDescent="0.75">
      <c r="A199" s="14">
        <v>6305</v>
      </c>
      <c r="B199" s="13" t="s">
        <v>646</v>
      </c>
      <c r="C199" s="3">
        <f>SUMIF('Raw Data 01-31-2020'!$A$6:$A$254,'Q1 TB-20'!A199,'Raw Data 01-31-2020'!C$6:C$254)</f>
        <v>0</v>
      </c>
      <c r="D199" s="4"/>
      <c r="E199" s="3">
        <f>SUMIF('Raw Data 01-31-2020'!$A$6:$A$254,'Q1 TB-20'!A199,'Raw Data 01-31-2020'!D$6:D$254)</f>
        <v>0</v>
      </c>
      <c r="F199" s="3"/>
      <c r="G199" s="3">
        <f t="shared" si="4"/>
        <v>0</v>
      </c>
      <c r="H199" s="109" t="s">
        <v>439</v>
      </c>
      <c r="J199" s="19"/>
    </row>
    <row r="200" spans="1:10" x14ac:dyDescent="0.75">
      <c r="A200" s="12">
        <v>6310</v>
      </c>
      <c r="B200" s="13" t="s">
        <v>647</v>
      </c>
      <c r="C200" s="3">
        <f>SUMIF('Raw Data 01-31-2020'!$A$6:$A$254,'Q1 TB-20'!A200,'Raw Data 01-31-2020'!C$6:C$254)</f>
        <v>0</v>
      </c>
      <c r="D200" s="4"/>
      <c r="E200" s="3">
        <f>SUMIF('Raw Data 01-31-2020'!$A$6:$A$254,'Q1 TB-20'!A200,'Raw Data 01-31-2020'!D$6:D$254)</f>
        <v>0</v>
      </c>
      <c r="F200" s="3"/>
      <c r="G200" s="3">
        <f t="shared" si="4"/>
        <v>0</v>
      </c>
      <c r="H200" s="109" t="s">
        <v>439</v>
      </c>
      <c r="J200" s="19"/>
    </row>
    <row r="201" spans="1:10" x14ac:dyDescent="0.75">
      <c r="A201" s="14">
        <v>6315</v>
      </c>
      <c r="B201" s="13" t="s">
        <v>648</v>
      </c>
      <c r="C201" s="3">
        <f>SUMIF('Raw Data 01-31-2020'!$A$6:$A$254,'Q1 TB-20'!A201,'Raw Data 01-31-2020'!C$6:C$254)</f>
        <v>7480.29</v>
      </c>
      <c r="D201" s="4"/>
      <c r="E201" s="3">
        <f>SUMIF('Raw Data 01-31-2020'!$A$6:$A$254,'Q1 TB-20'!A201,'Raw Data 01-31-2020'!D$6:D$254)</f>
        <v>0</v>
      </c>
      <c r="F201" s="3"/>
      <c r="G201" s="3">
        <f t="shared" si="4"/>
        <v>7480.29</v>
      </c>
      <c r="H201" s="109" t="s">
        <v>439</v>
      </c>
      <c r="J201" s="19"/>
    </row>
    <row r="202" spans="1:10" x14ac:dyDescent="0.75">
      <c r="A202" s="12">
        <v>6320</v>
      </c>
      <c r="B202" s="13" t="s">
        <v>649</v>
      </c>
      <c r="C202" s="3">
        <f>SUMIF('Raw Data 01-31-2020'!$A$6:$A$254,'Q1 TB-20'!A202,'Raw Data 01-31-2020'!C$6:C$254)</f>
        <v>0</v>
      </c>
      <c r="D202" s="4"/>
      <c r="E202" s="3">
        <f>SUMIF('Raw Data 01-31-2020'!$A$6:$A$254,'Q1 TB-20'!A202,'Raw Data 01-31-2020'!D$6:D$254)</f>
        <v>0</v>
      </c>
      <c r="F202" s="3"/>
      <c r="G202" s="3">
        <f t="shared" si="4"/>
        <v>0</v>
      </c>
      <c r="H202" s="109" t="s">
        <v>439</v>
      </c>
      <c r="J202" s="19"/>
    </row>
    <row r="203" spans="1:10" x14ac:dyDescent="0.75">
      <c r="A203" s="12">
        <v>6325</v>
      </c>
      <c r="B203" s="13" t="s">
        <v>650</v>
      </c>
      <c r="C203" s="3">
        <f>SUMIF('Raw Data 01-31-2020'!$A$6:$A$254,'Q1 TB-20'!A203,'Raw Data 01-31-2020'!C$6:C$254)</f>
        <v>0</v>
      </c>
      <c r="D203" s="4"/>
      <c r="E203" s="3">
        <f>SUMIF('Raw Data 01-31-2020'!$A$6:$A$254,'Q1 TB-20'!A203,'Raw Data 01-31-2020'!D$6:D$254)</f>
        <v>0</v>
      </c>
      <c r="F203" s="3"/>
      <c r="G203" s="3">
        <f t="shared" si="4"/>
        <v>0</v>
      </c>
      <c r="H203" s="109" t="s">
        <v>439</v>
      </c>
      <c r="J203" s="19"/>
    </row>
    <row r="204" spans="1:10" x14ac:dyDescent="0.75">
      <c r="A204" s="12">
        <v>6330</v>
      </c>
      <c r="B204" s="13" t="s">
        <v>651</v>
      </c>
      <c r="C204" s="3">
        <f>SUMIF('Raw Data 01-31-2020'!$A$6:$A$254,'Q1 TB-20'!A204,'Raw Data 01-31-2020'!C$6:C$254)</f>
        <v>0</v>
      </c>
      <c r="D204" s="4"/>
      <c r="E204" s="3">
        <f>SUMIF('Raw Data 01-31-2020'!$A$6:$A$254,'Q1 TB-20'!A204,'Raw Data 01-31-2020'!D$6:D$254)</f>
        <v>0</v>
      </c>
      <c r="F204" s="3"/>
      <c r="G204" s="3">
        <f t="shared" si="4"/>
        <v>0</v>
      </c>
      <c r="H204" s="109" t="s">
        <v>439</v>
      </c>
      <c r="J204" s="19"/>
    </row>
    <row r="205" spans="1:10" x14ac:dyDescent="0.75">
      <c r="A205" s="14">
        <v>6335</v>
      </c>
      <c r="B205" s="18" t="s">
        <v>652</v>
      </c>
      <c r="C205" s="3">
        <f>SUMIF('Raw Data 01-31-2020'!$A$6:$A$254,'Q1 TB-20'!A205,'Raw Data 01-31-2020'!C$6:C$254)</f>
        <v>0</v>
      </c>
      <c r="D205" s="4"/>
      <c r="E205" s="3">
        <f>SUMIF('Raw Data 01-31-2020'!$A$6:$A$254,'Q1 TB-20'!A205,'Raw Data 01-31-2020'!D$6:D$254)</f>
        <v>0</v>
      </c>
      <c r="F205" s="3"/>
      <c r="G205" s="3">
        <f t="shared" si="4"/>
        <v>0</v>
      </c>
      <c r="H205" s="109" t="s">
        <v>439</v>
      </c>
      <c r="J205" s="19"/>
    </row>
    <row r="206" spans="1:10" x14ac:dyDescent="0.75">
      <c r="A206" s="14">
        <v>6340</v>
      </c>
      <c r="B206" s="18" t="s">
        <v>653</v>
      </c>
      <c r="C206" s="3">
        <f>SUMIF('Raw Data 01-31-2020'!$A$6:$A$254,'Q1 TB-20'!A206,'Raw Data 01-31-2020'!C$6:C$254)</f>
        <v>0</v>
      </c>
      <c r="D206" s="4"/>
      <c r="E206" s="3">
        <f>SUMIF('Raw Data 01-31-2020'!$A$6:$A$254,'Q1 TB-20'!A206,'Raw Data 01-31-2020'!D$6:D$254)</f>
        <v>0</v>
      </c>
      <c r="F206" s="5"/>
      <c r="G206" s="3">
        <f>C206-E206</f>
        <v>0</v>
      </c>
      <c r="H206" s="109" t="s">
        <v>439</v>
      </c>
      <c r="J206" s="19"/>
    </row>
    <row r="207" spans="1:10" x14ac:dyDescent="0.75">
      <c r="A207" s="14">
        <v>6345</v>
      </c>
      <c r="B207" s="18" t="s">
        <v>654</v>
      </c>
      <c r="C207" s="3">
        <f>SUMIF('Raw Data 01-31-2020'!$A$6:$A$254,'Q1 TB-20'!A207,'Raw Data 01-31-2020'!C$6:C$254)</f>
        <v>0</v>
      </c>
      <c r="D207" s="4"/>
      <c r="E207" s="3">
        <f>SUMIF('Raw Data 01-31-2020'!$A$6:$A$254,'Q1 TB-20'!A207,'Raw Data 01-31-2020'!D$6:D$254)</f>
        <v>0</v>
      </c>
      <c r="F207" s="5"/>
      <c r="G207" s="3">
        <f>C207-E207</f>
        <v>0</v>
      </c>
      <c r="H207" s="109" t="s">
        <v>439</v>
      </c>
      <c r="J207" s="19"/>
    </row>
    <row r="208" spans="1:10" x14ac:dyDescent="0.75">
      <c r="A208" s="14">
        <v>6350</v>
      </c>
      <c r="B208" s="18" t="s">
        <v>655</v>
      </c>
      <c r="C208" s="3">
        <f>SUMIF('Raw Data 01-31-2020'!$A$6:$A$254,'Q1 TB-20'!A208,'Raw Data 01-31-2020'!C$6:C$254)</f>
        <v>552.63</v>
      </c>
      <c r="D208" s="4"/>
      <c r="E208" s="3">
        <f>SUMIF('Raw Data 01-31-2020'!$A$6:$A$254,'Q1 TB-20'!A208,'Raw Data 01-31-2020'!D$6:D$254)</f>
        <v>0</v>
      </c>
      <c r="F208" s="5"/>
      <c r="G208" s="3">
        <f>C208-E208</f>
        <v>552.63</v>
      </c>
      <c r="H208" s="109" t="s">
        <v>439</v>
      </c>
      <c r="J208" s="19"/>
    </row>
    <row r="209" spans="1:8" x14ac:dyDescent="0.75">
      <c r="A209" s="14">
        <v>6355</v>
      </c>
      <c r="B209" s="18" t="s">
        <v>656</v>
      </c>
      <c r="C209" s="3">
        <f>SUMIF('Raw Data 01-31-2020'!$A$6:$A$254,'Q1 TB-20'!A209,'Raw Data 01-31-2020'!C$6:C$254)</f>
        <v>0</v>
      </c>
      <c r="D209" s="4"/>
      <c r="E209" s="3">
        <f>SUMIF('Raw Data 01-31-2020'!$A$6:$A$254,'Q1 TB-20'!A209,'Raw Data 01-31-2020'!D$6:D$254)</f>
        <v>0</v>
      </c>
      <c r="F209" s="5"/>
      <c r="G209" s="3">
        <f t="shared" ref="G209:G254" si="5">C209-E209</f>
        <v>0</v>
      </c>
      <c r="H209" s="109" t="s">
        <v>439</v>
      </c>
    </row>
    <row r="210" spans="1:8" x14ac:dyDescent="0.75">
      <c r="A210" s="14">
        <v>6400</v>
      </c>
      <c r="B210" s="18" t="s">
        <v>657</v>
      </c>
      <c r="C210" s="3">
        <f>SUMIF('Raw Data 01-31-2020'!$A$6:$A$254,'Q1 TB-20'!A210,'Raw Data 01-31-2020'!C$6:C$254)</f>
        <v>31092</v>
      </c>
      <c r="D210" s="4"/>
      <c r="E210" s="3">
        <f>SUMIF('Raw Data 01-31-2020'!$A$6:$A$254,'Q1 TB-20'!A210,'Raw Data 01-31-2020'!D$6:D$254)</f>
        <v>0</v>
      </c>
      <c r="F210" s="5"/>
      <c r="G210" s="3">
        <f t="shared" si="5"/>
        <v>31092</v>
      </c>
      <c r="H210" s="109" t="s">
        <v>439</v>
      </c>
    </row>
    <row r="211" spans="1:8" x14ac:dyDescent="0.75">
      <c r="A211" s="14">
        <v>6405</v>
      </c>
      <c r="B211" s="18" t="s">
        <v>658</v>
      </c>
      <c r="C211" s="3">
        <f>SUMIF('Raw Data 01-31-2020'!$A$6:$A$254,'Q1 TB-20'!A211,'Raw Data 01-31-2020'!C$6:C$254)</f>
        <v>0</v>
      </c>
      <c r="D211" s="4"/>
      <c r="E211" s="3">
        <f>SUMIF('Raw Data 01-31-2020'!$A$6:$A$254,'Q1 TB-20'!A211,'Raw Data 01-31-2020'!D$6:D$254)</f>
        <v>0</v>
      </c>
      <c r="F211" s="5"/>
      <c r="G211" s="3">
        <f t="shared" si="5"/>
        <v>0</v>
      </c>
      <c r="H211" s="109" t="s">
        <v>439</v>
      </c>
    </row>
    <row r="212" spans="1:8" x14ac:dyDescent="0.75">
      <c r="A212" s="14">
        <v>6410</v>
      </c>
      <c r="B212" s="18" t="s">
        <v>659</v>
      </c>
      <c r="C212" s="3">
        <f>SUMIF('Raw Data 01-31-2020'!$A$6:$A$254,'Q1 TB-20'!A212,'Raw Data 01-31-2020'!C$6:C$254)</f>
        <v>0</v>
      </c>
      <c r="D212" s="4"/>
      <c r="E212" s="3">
        <f>SUMIF('Raw Data 01-31-2020'!$A$6:$A$254,'Q1 TB-20'!A212,'Raw Data 01-31-2020'!D$6:D$254)</f>
        <v>0</v>
      </c>
      <c r="F212" s="5"/>
      <c r="G212" s="3">
        <f t="shared" si="5"/>
        <v>0</v>
      </c>
      <c r="H212" s="109" t="s">
        <v>439</v>
      </c>
    </row>
    <row r="213" spans="1:8" x14ac:dyDescent="0.75">
      <c r="A213" s="14">
        <v>6415</v>
      </c>
      <c r="B213" s="18" t="s">
        <v>660</v>
      </c>
      <c r="C213" s="3">
        <f>SUMIF('Raw Data 01-31-2020'!$A$6:$A$254,'Q1 TB-20'!A213,'Raw Data 01-31-2020'!C$6:C$254)</f>
        <v>0</v>
      </c>
      <c r="D213" s="4"/>
      <c r="E213" s="3">
        <f>SUMIF('Raw Data 01-31-2020'!$A$6:$A$254,'Q1 TB-20'!A213,'Raw Data 01-31-2020'!D$6:D$254)</f>
        <v>0</v>
      </c>
      <c r="F213" s="5"/>
      <c r="G213" s="3">
        <f t="shared" si="5"/>
        <v>0</v>
      </c>
      <c r="H213" s="109" t="s">
        <v>439</v>
      </c>
    </row>
    <row r="214" spans="1:8" x14ac:dyDescent="0.75">
      <c r="A214" s="14">
        <v>6420</v>
      </c>
      <c r="B214" s="18" t="s">
        <v>661</v>
      </c>
      <c r="C214" s="3">
        <f>SUMIF('Raw Data 01-31-2020'!$A$6:$A$254,'Q1 TB-20'!A214,'Raw Data 01-31-2020'!C$6:C$254)</f>
        <v>0</v>
      </c>
      <c r="D214" s="4"/>
      <c r="E214" s="3">
        <f>SUMIF('Raw Data 01-31-2020'!$A$6:$A$254,'Q1 TB-20'!A214,'Raw Data 01-31-2020'!D$6:D$254)</f>
        <v>7773</v>
      </c>
      <c r="F214" s="5"/>
      <c r="G214" s="3">
        <f t="shared" si="5"/>
        <v>-7773</v>
      </c>
      <c r="H214" s="109" t="s">
        <v>439</v>
      </c>
    </row>
    <row r="215" spans="1:8" x14ac:dyDescent="0.75">
      <c r="A215" s="14">
        <v>6425</v>
      </c>
      <c r="B215" s="18" t="s">
        <v>662</v>
      </c>
      <c r="C215" s="3">
        <f>SUMIF('Raw Data 01-31-2020'!$A$6:$A$254,'Q1 TB-20'!A215,'Raw Data 01-31-2020'!C$6:C$254)</f>
        <v>0</v>
      </c>
      <c r="D215" s="4"/>
      <c r="E215" s="3">
        <f>SUMIF('Raw Data 01-31-2020'!$A$6:$A$254,'Q1 TB-20'!A215,'Raw Data 01-31-2020'!D$6:D$254)</f>
        <v>0</v>
      </c>
      <c r="F215" s="5"/>
      <c r="G215" s="3">
        <f t="shared" si="5"/>
        <v>0</v>
      </c>
      <c r="H215" s="109" t="s">
        <v>439</v>
      </c>
    </row>
    <row r="216" spans="1:8" x14ac:dyDescent="0.75">
      <c r="A216" s="14">
        <v>6430</v>
      </c>
      <c r="B216" s="18" t="s">
        <v>663</v>
      </c>
      <c r="C216" s="3">
        <f>SUMIF('Raw Data 01-31-2020'!$A$6:$A$254,'Q1 TB-20'!A216,'Raw Data 01-31-2020'!C$6:C$254)</f>
        <v>38000.730000000003</v>
      </c>
      <c r="D216" s="4"/>
      <c r="E216" s="3">
        <f>SUMIF('Raw Data 01-31-2020'!$A$6:$A$254,'Q1 TB-20'!A216,'Raw Data 01-31-2020'!D$6:D$254)</f>
        <v>0</v>
      </c>
      <c r="F216" s="5"/>
      <c r="G216" s="3">
        <f t="shared" si="5"/>
        <v>38000.730000000003</v>
      </c>
      <c r="H216" s="109" t="s">
        <v>439</v>
      </c>
    </row>
    <row r="217" spans="1:8" x14ac:dyDescent="0.75">
      <c r="A217" s="14">
        <v>6435</v>
      </c>
      <c r="B217" s="18" t="s">
        <v>664</v>
      </c>
      <c r="C217" s="3">
        <f>SUMIF('Raw Data 01-31-2020'!$A$6:$A$254,'Q1 TB-20'!A217,'Raw Data 01-31-2020'!C$6:C$254)</f>
        <v>1788</v>
      </c>
      <c r="D217" s="4"/>
      <c r="E217" s="3">
        <f>SUMIF('Raw Data 01-31-2020'!$A$6:$A$254,'Q1 TB-20'!A217,'Raw Data 01-31-2020'!D$6:D$254)</f>
        <v>0</v>
      </c>
      <c r="F217" s="5"/>
      <c r="G217" s="3">
        <f t="shared" si="5"/>
        <v>1788</v>
      </c>
      <c r="H217" s="109" t="s">
        <v>439</v>
      </c>
    </row>
    <row r="218" spans="1:8" x14ac:dyDescent="0.75">
      <c r="A218" s="14">
        <v>6440</v>
      </c>
      <c r="B218" s="18" t="s">
        <v>665</v>
      </c>
      <c r="C218" s="3">
        <f>SUMIF('Raw Data 01-31-2020'!$A$6:$A$254,'Q1 TB-20'!A218,'Raw Data 01-31-2020'!C$6:C$254)</f>
        <v>138868.1</v>
      </c>
      <c r="D218" s="4"/>
      <c r="E218" s="3">
        <f>SUMIF('Raw Data 01-31-2020'!$A$6:$A$254,'Q1 TB-20'!A218,'Raw Data 01-31-2020'!D$6:D$254)</f>
        <v>0</v>
      </c>
      <c r="F218" s="5"/>
      <c r="G218" s="3">
        <f t="shared" si="5"/>
        <v>138868.1</v>
      </c>
      <c r="H218" s="109" t="s">
        <v>439</v>
      </c>
    </row>
    <row r="219" spans="1:8" x14ac:dyDescent="0.75">
      <c r="A219" s="14">
        <v>6445</v>
      </c>
      <c r="B219" s="18" t="s">
        <v>666</v>
      </c>
      <c r="C219" s="3">
        <f>SUMIF('Raw Data 01-31-2020'!$A$6:$A$254,'Q1 TB-20'!A219,'Raw Data 01-31-2020'!C$6:C$254)</f>
        <v>8527.52</v>
      </c>
      <c r="D219" s="4"/>
      <c r="E219" s="3">
        <f>SUMIF('Raw Data 01-31-2020'!$A$6:$A$254,'Q1 TB-20'!A219,'Raw Data 01-31-2020'!D$6:D$254)</f>
        <v>0</v>
      </c>
      <c r="F219" s="5"/>
      <c r="G219" s="3">
        <f t="shared" si="5"/>
        <v>8527.52</v>
      </c>
      <c r="H219" s="109" t="s">
        <v>439</v>
      </c>
    </row>
    <row r="220" spans="1:8" x14ac:dyDescent="0.75">
      <c r="A220" s="14">
        <v>6450</v>
      </c>
      <c r="B220" s="18" t="s">
        <v>667</v>
      </c>
      <c r="C220" s="3">
        <f>SUMIF('Raw Data 01-31-2020'!$A$6:$A$254,'Q1 TB-20'!A220,'Raw Data 01-31-2020'!C$6:C$254)</f>
        <v>0</v>
      </c>
      <c r="D220" s="4"/>
      <c r="E220" s="3">
        <f>SUMIF('Raw Data 01-31-2020'!$A$6:$A$254,'Q1 TB-20'!A220,'Raw Data 01-31-2020'!D$6:D$254)</f>
        <v>0</v>
      </c>
      <c r="F220" s="5"/>
      <c r="G220" s="3">
        <f t="shared" si="5"/>
        <v>0</v>
      </c>
      <c r="H220" s="109" t="s">
        <v>439</v>
      </c>
    </row>
    <row r="221" spans="1:8" x14ac:dyDescent="0.75">
      <c r="A221" s="14">
        <v>6455</v>
      </c>
      <c r="B221" s="18" t="s">
        <v>668</v>
      </c>
      <c r="C221" s="3">
        <f>SUMIF('Raw Data 01-31-2020'!$A$6:$A$254,'Q1 TB-20'!A221,'Raw Data 01-31-2020'!C$6:C$254)</f>
        <v>0</v>
      </c>
      <c r="D221" s="4"/>
      <c r="E221" s="3">
        <f>SUMIF('Raw Data 01-31-2020'!$A$6:$A$254,'Q1 TB-20'!A221,'Raw Data 01-31-2020'!D$6:D$254)</f>
        <v>0</v>
      </c>
      <c r="F221" s="5"/>
      <c r="G221" s="3">
        <f t="shared" si="5"/>
        <v>0</v>
      </c>
      <c r="H221" s="109" t="s">
        <v>439</v>
      </c>
    </row>
    <row r="222" spans="1:8" x14ac:dyDescent="0.75">
      <c r="A222" s="14">
        <v>6460</v>
      </c>
      <c r="B222" s="18" t="s">
        <v>669</v>
      </c>
      <c r="C222" s="3">
        <f>SUMIF('Raw Data 01-31-2020'!$A$6:$A$254,'Q1 TB-20'!A222,'Raw Data 01-31-2020'!C$6:C$254)</f>
        <v>0</v>
      </c>
      <c r="D222" s="4"/>
      <c r="E222" s="3">
        <f>SUMIF('Raw Data 01-31-2020'!$A$6:$A$254,'Q1 TB-20'!A222,'Raw Data 01-31-2020'!D$6:D$254)</f>
        <v>0</v>
      </c>
      <c r="F222" s="5"/>
      <c r="G222" s="3">
        <f t="shared" si="5"/>
        <v>0</v>
      </c>
      <c r="H222" s="109" t="s">
        <v>439</v>
      </c>
    </row>
    <row r="223" spans="1:8" x14ac:dyDescent="0.75">
      <c r="A223" s="14">
        <v>6500</v>
      </c>
      <c r="B223" s="18" t="s">
        <v>670</v>
      </c>
      <c r="C223" s="3">
        <f>SUMIF('Raw Data 01-31-2020'!$A$6:$A$254,'Q1 TB-20'!A223,'Raw Data 01-31-2020'!C$6:C$254)</f>
        <v>0</v>
      </c>
      <c r="D223" s="4"/>
      <c r="E223" s="3">
        <f>SUMIF('Raw Data 01-31-2020'!$A$6:$A$254,'Q1 TB-20'!A223,'Raw Data 01-31-2020'!D$6:D$254)</f>
        <v>0</v>
      </c>
      <c r="F223" s="5"/>
      <c r="G223" s="3">
        <f t="shared" si="5"/>
        <v>0</v>
      </c>
      <c r="H223" s="109" t="s">
        <v>439</v>
      </c>
    </row>
    <row r="224" spans="1:8" x14ac:dyDescent="0.75">
      <c r="A224" s="14">
        <v>6505</v>
      </c>
      <c r="B224" s="18" t="s">
        <v>671</v>
      </c>
      <c r="C224" s="3">
        <f>SUMIF('Raw Data 01-31-2020'!$A$6:$A$254,'Q1 TB-20'!A224,'Raw Data 01-31-2020'!C$6:C$254)</f>
        <v>0</v>
      </c>
      <c r="D224" s="4"/>
      <c r="E224" s="3">
        <f>SUMIF('Raw Data 01-31-2020'!$A$6:$A$254,'Q1 TB-20'!A224,'Raw Data 01-31-2020'!D$6:D$254)</f>
        <v>0</v>
      </c>
      <c r="F224" s="5"/>
      <c r="G224" s="3">
        <f t="shared" si="5"/>
        <v>0</v>
      </c>
      <c r="H224" s="109" t="s">
        <v>439</v>
      </c>
    </row>
    <row r="225" spans="1:8" x14ac:dyDescent="0.75">
      <c r="A225" s="14">
        <v>6510</v>
      </c>
      <c r="B225" s="18" t="s">
        <v>672</v>
      </c>
      <c r="C225" s="3">
        <f>SUMIF('Raw Data 01-31-2020'!$A$6:$A$254,'Q1 TB-20'!A225,'Raw Data 01-31-2020'!C$6:C$254)</f>
        <v>3809.85</v>
      </c>
      <c r="D225" s="4"/>
      <c r="E225" s="3">
        <f>SUMIF('Raw Data 01-31-2020'!$A$6:$A$254,'Q1 TB-20'!A225,'Raw Data 01-31-2020'!D$6:D$254)</f>
        <v>0</v>
      </c>
      <c r="F225" s="5"/>
      <c r="G225" s="3">
        <f t="shared" si="5"/>
        <v>3809.85</v>
      </c>
      <c r="H225" s="109" t="s">
        <v>439</v>
      </c>
    </row>
    <row r="226" spans="1:8" x14ac:dyDescent="0.75">
      <c r="A226" s="14">
        <v>6515</v>
      </c>
      <c r="B226" s="18" t="s">
        <v>673</v>
      </c>
      <c r="C226" s="3">
        <f>SUMIF('Raw Data 01-31-2020'!$A$6:$A$254,'Q1 TB-20'!A226,'Raw Data 01-31-2020'!C$6:C$254)</f>
        <v>0</v>
      </c>
      <c r="D226" s="4"/>
      <c r="E226" s="3">
        <f>SUMIF('Raw Data 01-31-2020'!$A$6:$A$254,'Q1 TB-20'!A226,'Raw Data 01-31-2020'!D$6:D$254)</f>
        <v>0</v>
      </c>
      <c r="F226" s="5"/>
      <c r="G226" s="3">
        <f t="shared" si="5"/>
        <v>0</v>
      </c>
      <c r="H226" s="109" t="s">
        <v>439</v>
      </c>
    </row>
    <row r="227" spans="1:8" x14ac:dyDescent="0.75">
      <c r="A227" s="14">
        <v>6520</v>
      </c>
      <c r="B227" s="18" t="s">
        <v>674</v>
      </c>
      <c r="C227" s="3">
        <f>SUMIF('Raw Data 01-31-2020'!$A$6:$A$254,'Q1 TB-20'!A227,'Raw Data 01-31-2020'!C$6:C$254)</f>
        <v>0</v>
      </c>
      <c r="D227" s="4"/>
      <c r="E227" s="3">
        <f>SUMIF('Raw Data 01-31-2020'!$A$6:$A$254,'Q1 TB-20'!A227,'Raw Data 01-31-2020'!D$6:D$254)</f>
        <v>0</v>
      </c>
      <c r="F227" s="5"/>
      <c r="G227" s="3">
        <f t="shared" si="5"/>
        <v>0</v>
      </c>
      <c r="H227" s="109" t="s">
        <v>439</v>
      </c>
    </row>
    <row r="228" spans="1:8" x14ac:dyDescent="0.75">
      <c r="A228" s="14">
        <v>6525</v>
      </c>
      <c r="B228" s="18" t="s">
        <v>675</v>
      </c>
      <c r="C228" s="3">
        <f>SUMIF('Raw Data 01-31-2020'!$A$6:$A$254,'Q1 TB-20'!A228,'Raw Data 01-31-2020'!C$6:C$254)</f>
        <v>0</v>
      </c>
      <c r="D228" s="4"/>
      <c r="E228" s="3">
        <f>SUMIF('Raw Data 01-31-2020'!$A$6:$A$254,'Q1 TB-20'!A228,'Raw Data 01-31-2020'!D$6:D$254)</f>
        <v>0</v>
      </c>
      <c r="F228" s="5"/>
      <c r="G228" s="3">
        <f t="shared" si="5"/>
        <v>0</v>
      </c>
      <c r="H228" s="109" t="s">
        <v>439</v>
      </c>
    </row>
    <row r="229" spans="1:8" x14ac:dyDescent="0.75">
      <c r="A229" s="14">
        <v>6530</v>
      </c>
      <c r="B229" s="18" t="s">
        <v>676</v>
      </c>
      <c r="C229" s="3">
        <f>SUMIF('Raw Data 01-31-2020'!$A$6:$A$254,'Q1 TB-20'!A229,'Raw Data 01-31-2020'!C$6:C$254)</f>
        <v>0</v>
      </c>
      <c r="D229" s="4"/>
      <c r="E229" s="3">
        <f>SUMIF('Raw Data 01-31-2020'!$A$6:$A$254,'Q1 TB-20'!A229,'Raw Data 01-31-2020'!D$6:D$254)</f>
        <v>0</v>
      </c>
      <c r="F229" s="5"/>
      <c r="G229" s="3">
        <f t="shared" si="5"/>
        <v>0</v>
      </c>
      <c r="H229" s="109" t="s">
        <v>439</v>
      </c>
    </row>
    <row r="230" spans="1:8" x14ac:dyDescent="0.75">
      <c r="A230" s="14">
        <v>6535</v>
      </c>
      <c r="B230" s="18" t="s">
        <v>677</v>
      </c>
      <c r="C230" s="3">
        <f>SUMIF('Raw Data 01-31-2020'!$A$6:$A$254,'Q1 TB-20'!A230,'Raw Data 01-31-2020'!C$6:C$254)</f>
        <v>0</v>
      </c>
      <c r="D230" s="4"/>
      <c r="E230" s="3">
        <f>SUMIF('Raw Data 01-31-2020'!$A$6:$A$254,'Q1 TB-20'!A230,'Raw Data 01-31-2020'!D$6:D$254)</f>
        <v>0</v>
      </c>
      <c r="F230" s="5"/>
      <c r="G230" s="3">
        <f t="shared" si="5"/>
        <v>0</v>
      </c>
      <c r="H230" s="109" t="s">
        <v>439</v>
      </c>
    </row>
    <row r="231" spans="1:8" x14ac:dyDescent="0.75">
      <c r="A231" s="14">
        <v>6540</v>
      </c>
      <c r="B231" s="18" t="s">
        <v>678</v>
      </c>
      <c r="C231" s="3">
        <f>SUMIF('Raw Data 01-31-2020'!$A$6:$A$254,'Q1 TB-20'!A231,'Raw Data 01-31-2020'!C$6:C$254)</f>
        <v>0</v>
      </c>
      <c r="D231" s="4"/>
      <c r="E231" s="3">
        <f>SUMIF('Raw Data 01-31-2020'!$A$6:$A$254,'Q1 TB-20'!A231,'Raw Data 01-31-2020'!D$6:D$254)</f>
        <v>0</v>
      </c>
      <c r="F231" s="5"/>
      <c r="G231" s="3">
        <f t="shared" si="5"/>
        <v>0</v>
      </c>
      <c r="H231" s="109" t="s">
        <v>439</v>
      </c>
    </row>
    <row r="232" spans="1:8" x14ac:dyDescent="0.75">
      <c r="A232" s="14">
        <v>6545</v>
      </c>
      <c r="B232" s="18" t="s">
        <v>679</v>
      </c>
      <c r="C232" s="3">
        <f>SUMIF('Raw Data 01-31-2020'!$A$6:$A$254,'Q1 TB-20'!A232,'Raw Data 01-31-2020'!C$6:C$254)</f>
        <v>0</v>
      </c>
      <c r="D232" s="4"/>
      <c r="E232" s="3">
        <f>SUMIF('Raw Data 01-31-2020'!$A$6:$A$254,'Q1 TB-20'!A232,'Raw Data 01-31-2020'!D$6:D$254)</f>
        <v>0</v>
      </c>
      <c r="F232" s="5"/>
      <c r="G232" s="3">
        <f t="shared" si="5"/>
        <v>0</v>
      </c>
      <c r="H232" s="109" t="s">
        <v>439</v>
      </c>
    </row>
    <row r="233" spans="1:8" x14ac:dyDescent="0.75">
      <c r="A233" s="14">
        <v>6550</v>
      </c>
      <c r="B233" s="18" t="s">
        <v>680</v>
      </c>
      <c r="C233" s="3">
        <f>SUMIF('Raw Data 01-31-2020'!$A$6:$A$254,'Q1 TB-20'!A233,'Raw Data 01-31-2020'!C$6:C$254)</f>
        <v>4149.88</v>
      </c>
      <c r="D233" s="4"/>
      <c r="E233" s="3">
        <f>SUMIF('Raw Data 01-31-2020'!$A$6:$A$254,'Q1 TB-20'!A233,'Raw Data 01-31-2020'!D$6:D$254)</f>
        <v>0</v>
      </c>
      <c r="F233" s="5"/>
      <c r="G233" s="3">
        <f t="shared" si="5"/>
        <v>4149.88</v>
      </c>
      <c r="H233" s="109" t="s">
        <v>439</v>
      </c>
    </row>
    <row r="234" spans="1:8" x14ac:dyDescent="0.75">
      <c r="A234" s="14">
        <v>6555</v>
      </c>
      <c r="B234" s="18" t="s">
        <v>681</v>
      </c>
      <c r="C234" s="3">
        <f>SUMIF('Raw Data 01-31-2020'!$A$6:$A$254,'Q1 TB-20'!A234,'Raw Data 01-31-2020'!C$6:C$254)</f>
        <v>1783.04</v>
      </c>
      <c r="D234" s="4"/>
      <c r="E234" s="3">
        <f>SUMIF('Raw Data 01-31-2020'!$A$6:$A$254,'Q1 TB-20'!A234,'Raw Data 01-31-2020'!D$6:D$254)</f>
        <v>0</v>
      </c>
      <c r="F234" s="5"/>
      <c r="G234" s="3">
        <f t="shared" si="5"/>
        <v>1783.04</v>
      </c>
      <c r="H234" s="109" t="s">
        <v>439</v>
      </c>
    </row>
    <row r="235" spans="1:8" x14ac:dyDescent="0.75">
      <c r="A235" s="14">
        <v>6560</v>
      </c>
      <c r="B235" s="18" t="s">
        <v>682</v>
      </c>
      <c r="C235" s="3">
        <f>SUMIF('Raw Data 01-31-2020'!$A$6:$A$254,'Q1 TB-20'!A235,'Raw Data 01-31-2020'!C$6:C$254)</f>
        <v>0</v>
      </c>
      <c r="D235" s="4"/>
      <c r="E235" s="3">
        <f>SUMIF('Raw Data 01-31-2020'!$A$6:$A$254,'Q1 TB-20'!A235,'Raw Data 01-31-2020'!D$6:D$254)</f>
        <v>0</v>
      </c>
      <c r="F235" s="5"/>
      <c r="G235" s="3">
        <f t="shared" si="5"/>
        <v>0</v>
      </c>
      <c r="H235" s="109" t="s">
        <v>439</v>
      </c>
    </row>
    <row r="236" spans="1:8" x14ac:dyDescent="0.75">
      <c r="A236" s="14">
        <v>6565</v>
      </c>
      <c r="B236" s="18" t="s">
        <v>683</v>
      </c>
      <c r="C236" s="3">
        <f>SUMIF('Raw Data 01-31-2020'!$A$6:$A$254,'Q1 TB-20'!A236,'Raw Data 01-31-2020'!C$6:C$254)</f>
        <v>0</v>
      </c>
      <c r="D236" s="4"/>
      <c r="E236" s="3">
        <f>SUMIF('Raw Data 01-31-2020'!$A$6:$A$254,'Q1 TB-20'!A236,'Raw Data 01-31-2020'!D$6:D$254)</f>
        <v>0</v>
      </c>
      <c r="F236" s="5"/>
      <c r="G236" s="3">
        <f t="shared" si="5"/>
        <v>0</v>
      </c>
      <c r="H236" s="109" t="s">
        <v>439</v>
      </c>
    </row>
    <row r="237" spans="1:8" x14ac:dyDescent="0.75">
      <c r="A237" s="14">
        <v>6570</v>
      </c>
      <c r="B237" s="18" t="s">
        <v>684</v>
      </c>
      <c r="C237" s="3">
        <f>SUMIF('Raw Data 01-31-2020'!$A$6:$A$254,'Q1 TB-20'!A237,'Raw Data 01-31-2020'!C$6:C$254)</f>
        <v>0</v>
      </c>
      <c r="D237" s="4"/>
      <c r="E237" s="3">
        <f>SUMIF('Raw Data 01-31-2020'!$A$6:$A$254,'Q1 TB-20'!A237,'Raw Data 01-31-2020'!D$6:D$254)</f>
        <v>0</v>
      </c>
      <c r="F237" s="5"/>
      <c r="G237" s="3">
        <f t="shared" si="5"/>
        <v>0</v>
      </c>
      <c r="H237" s="109" t="s">
        <v>439</v>
      </c>
    </row>
    <row r="238" spans="1:8" x14ac:dyDescent="0.75">
      <c r="A238" s="14">
        <v>6575</v>
      </c>
      <c r="B238" s="18" t="s">
        <v>685</v>
      </c>
      <c r="C238" s="3">
        <f>SUMIF('Raw Data 01-31-2020'!$A$6:$A$254,'Q1 TB-20'!A238,'Raw Data 01-31-2020'!C$6:C$254)</f>
        <v>0</v>
      </c>
      <c r="D238" s="4"/>
      <c r="E238" s="3">
        <f>SUMIF('Raw Data 01-31-2020'!$A$6:$A$254,'Q1 TB-20'!A238,'Raw Data 01-31-2020'!D$6:D$254)</f>
        <v>0</v>
      </c>
      <c r="F238" s="5"/>
      <c r="G238" s="3">
        <f t="shared" si="5"/>
        <v>0</v>
      </c>
      <c r="H238" s="109" t="s">
        <v>439</v>
      </c>
    </row>
    <row r="239" spans="1:8" x14ac:dyDescent="0.75">
      <c r="A239" s="14">
        <v>6580</v>
      </c>
      <c r="B239" s="18" t="s">
        <v>686</v>
      </c>
      <c r="C239" s="3">
        <f>SUMIF('Raw Data 01-31-2020'!$A$6:$A$254,'Q1 TB-20'!A239,'Raw Data 01-31-2020'!C$6:C$254)</f>
        <v>0</v>
      </c>
      <c r="D239" s="4"/>
      <c r="E239" s="3">
        <f>SUMIF('Raw Data 01-31-2020'!$A$6:$A$254,'Q1 TB-20'!A239,'Raw Data 01-31-2020'!D$6:D$254)</f>
        <v>0</v>
      </c>
      <c r="F239" s="5"/>
      <c r="G239" s="3">
        <f t="shared" si="5"/>
        <v>0</v>
      </c>
      <c r="H239" s="109" t="s">
        <v>439</v>
      </c>
    </row>
    <row r="240" spans="1:8" x14ac:dyDescent="0.75">
      <c r="A240" s="14">
        <v>6585</v>
      </c>
      <c r="B240" s="18" t="s">
        <v>687</v>
      </c>
      <c r="C240" s="3">
        <f>SUMIF('Raw Data 01-31-2020'!$A$6:$A$254,'Q1 TB-20'!A240,'Raw Data 01-31-2020'!C$6:C$254)</f>
        <v>0</v>
      </c>
      <c r="D240" s="4"/>
      <c r="E240" s="3">
        <f>SUMIF('Raw Data 01-31-2020'!$A$6:$A$254,'Q1 TB-20'!A240,'Raw Data 01-31-2020'!D$6:D$254)</f>
        <v>0</v>
      </c>
      <c r="F240" s="5"/>
      <c r="G240" s="3">
        <f t="shared" si="5"/>
        <v>0</v>
      </c>
      <c r="H240" s="109" t="s">
        <v>439</v>
      </c>
    </row>
    <row r="241" spans="1:8" x14ac:dyDescent="0.75">
      <c r="A241" s="14">
        <v>6590</v>
      </c>
      <c r="B241" s="18" t="s">
        <v>688</v>
      </c>
      <c r="C241" s="3">
        <f>SUMIF('Raw Data 01-31-2020'!$A$6:$A$254,'Q1 TB-20'!A241,'Raw Data 01-31-2020'!C$6:C$254)</f>
        <v>0</v>
      </c>
      <c r="D241" s="4"/>
      <c r="E241" s="3">
        <f>SUMIF('Raw Data 01-31-2020'!$A$6:$A$254,'Q1 TB-20'!A241,'Raw Data 01-31-2020'!D$6:D$254)</f>
        <v>0</v>
      </c>
      <c r="F241" s="5"/>
      <c r="G241" s="3">
        <f t="shared" si="5"/>
        <v>0</v>
      </c>
      <c r="H241" s="109" t="s">
        <v>439</v>
      </c>
    </row>
    <row r="242" spans="1:8" x14ac:dyDescent="0.75">
      <c r="A242" s="14">
        <v>7100</v>
      </c>
      <c r="B242" s="18" t="s">
        <v>689</v>
      </c>
      <c r="C242" s="3">
        <f>SUMIF('Raw Data 01-31-2020'!$A$6:$A$254,'Q1 TB-20'!A242,'Raw Data 01-31-2020'!C$6:C$254)</f>
        <v>0</v>
      </c>
      <c r="D242" s="4"/>
      <c r="E242" s="3">
        <f>SUMIF('Raw Data 01-31-2020'!$A$6:$A$254,'Q1 TB-20'!A242,'Raw Data 01-31-2020'!D$6:D$254)</f>
        <v>37.450000000000003</v>
      </c>
      <c r="F242" s="5"/>
      <c r="G242" s="3">
        <f t="shared" si="5"/>
        <v>-37.450000000000003</v>
      </c>
      <c r="H242" s="109" t="s">
        <v>439</v>
      </c>
    </row>
    <row r="243" spans="1:8" x14ac:dyDescent="0.75">
      <c r="A243" s="14">
        <v>7200</v>
      </c>
      <c r="B243" s="18" t="s">
        <v>690</v>
      </c>
      <c r="C243" s="3">
        <f>SUMIF('Raw Data 01-31-2020'!$A$6:$A$254,'Q1 TB-20'!A243,'Raw Data 01-31-2020'!C$6:C$254)</f>
        <v>0</v>
      </c>
      <c r="D243" s="4"/>
      <c r="E243" s="3">
        <f>SUMIF('Raw Data 01-31-2020'!$A$6:$A$254,'Q1 TB-20'!A243,'Raw Data 01-31-2020'!D$6:D$254)</f>
        <v>0</v>
      </c>
      <c r="F243" s="5"/>
      <c r="G243" s="3">
        <f t="shared" si="5"/>
        <v>0</v>
      </c>
      <c r="H243" s="109" t="s">
        <v>439</v>
      </c>
    </row>
    <row r="244" spans="1:8" x14ac:dyDescent="0.75">
      <c r="A244" s="14">
        <v>7300</v>
      </c>
      <c r="B244" s="18" t="s">
        <v>691</v>
      </c>
      <c r="C244" s="3">
        <f>SUMIF('Raw Data 01-31-2020'!$A$6:$A$254,'Q1 TB-20'!A244,'Raw Data 01-31-2020'!C$6:C$254)</f>
        <v>0</v>
      </c>
      <c r="D244" s="4"/>
      <c r="E244" s="3">
        <f>SUMIF('Raw Data 01-31-2020'!$A$6:$A$254,'Q1 TB-20'!A244,'Raw Data 01-31-2020'!D$6:D$254)</f>
        <v>0</v>
      </c>
      <c r="F244" s="5"/>
      <c r="G244" s="3">
        <f t="shared" si="5"/>
        <v>0</v>
      </c>
      <c r="H244" s="109" t="s">
        <v>439</v>
      </c>
    </row>
    <row r="245" spans="1:8" x14ac:dyDescent="0.75">
      <c r="A245" s="14">
        <v>7310</v>
      </c>
      <c r="B245" s="18" t="s">
        <v>692</v>
      </c>
      <c r="C245" s="3">
        <f>SUMIF('Raw Data 01-31-2020'!$A$6:$A$254,'Q1 TB-20'!A245,'Raw Data 01-31-2020'!C$6:C$254)</f>
        <v>0</v>
      </c>
      <c r="D245" s="4"/>
      <c r="E245" s="3">
        <f>SUMIF('Raw Data 01-31-2020'!$A$6:$A$254,'Q1 TB-20'!A245,'Raw Data 01-31-2020'!D$6:D$254)</f>
        <v>0</v>
      </c>
      <c r="F245" s="5"/>
      <c r="G245" s="3">
        <f t="shared" si="5"/>
        <v>0</v>
      </c>
      <c r="H245" s="109" t="s">
        <v>439</v>
      </c>
    </row>
    <row r="246" spans="1:8" x14ac:dyDescent="0.75">
      <c r="A246" s="14">
        <v>7400</v>
      </c>
      <c r="B246" s="18" t="s">
        <v>693</v>
      </c>
      <c r="C246" s="3">
        <f>SUMIF('Raw Data 01-31-2020'!$A$6:$A$254,'Q1 TB-20'!A246,'Raw Data 01-31-2020'!C$6:C$254)</f>
        <v>0</v>
      </c>
      <c r="D246" s="4"/>
      <c r="E246" s="3">
        <f>SUMIF('Raw Data 01-31-2020'!$A$6:$A$254,'Q1 TB-20'!A246,'Raw Data 01-31-2020'!D$6:D$254)</f>
        <v>0</v>
      </c>
      <c r="F246" s="5"/>
      <c r="G246" s="3">
        <f t="shared" si="5"/>
        <v>0</v>
      </c>
      <c r="H246" s="109" t="s">
        <v>951</v>
      </c>
    </row>
    <row r="247" spans="1:8" x14ac:dyDescent="0.75">
      <c r="A247" s="12">
        <v>7500</v>
      </c>
      <c r="B247" s="13" t="s">
        <v>620</v>
      </c>
      <c r="C247" s="3">
        <f>SUMIF('Raw Data 01-31-2020'!$A$6:$A$254,'Q1 TB-20'!A247,'Raw Data 01-31-2020'!C$6:C$254)</f>
        <v>0</v>
      </c>
      <c r="D247" s="4"/>
      <c r="E247" s="3">
        <f>SUMIF('Raw Data 01-31-2020'!$A$6:$A$254,'Q1 TB-20'!A247,'Raw Data 01-31-2020'!D$6:D$254)</f>
        <v>0</v>
      </c>
      <c r="F247" s="5"/>
      <c r="G247" s="3">
        <f t="shared" si="5"/>
        <v>0</v>
      </c>
      <c r="H247" s="109" t="s">
        <v>441</v>
      </c>
    </row>
    <row r="248" spans="1:8" x14ac:dyDescent="0.75">
      <c r="A248" s="12">
        <v>7510</v>
      </c>
      <c r="B248" s="13" t="s">
        <v>621</v>
      </c>
      <c r="C248" s="3">
        <f>SUMIF('Raw Data 01-31-2020'!$A$6:$A$254,'Q1 TB-20'!A248,'Raw Data 01-31-2020'!C$6:C$254)</f>
        <v>1590.11</v>
      </c>
      <c r="D248" s="4"/>
      <c r="E248" s="3">
        <f>SUMIF('Raw Data 01-31-2020'!$A$6:$A$254,'Q1 TB-20'!A248,'Raw Data 01-31-2020'!D$6:D$254)</f>
        <v>0</v>
      </c>
      <c r="F248" s="5"/>
      <c r="G248" s="3">
        <f t="shared" si="5"/>
        <v>1590.11</v>
      </c>
      <c r="H248" s="109" t="s">
        <v>441</v>
      </c>
    </row>
    <row r="249" spans="1:8" x14ac:dyDescent="0.75">
      <c r="A249" s="12">
        <v>7520</v>
      </c>
      <c r="B249" s="13" t="s">
        <v>622</v>
      </c>
      <c r="C249" s="3">
        <f>SUMIF('Raw Data 01-31-2020'!$A$6:$A$254,'Q1 TB-20'!A249,'Raw Data 01-31-2020'!C$6:C$254)</f>
        <v>3823.43</v>
      </c>
      <c r="D249" s="4"/>
      <c r="E249" s="3">
        <f>SUMIF('Raw Data 01-31-2020'!$A$6:$A$254,'Q1 TB-20'!A249,'Raw Data 01-31-2020'!D$6:D$254)</f>
        <v>0</v>
      </c>
      <c r="F249" s="5"/>
      <c r="G249" s="3">
        <f t="shared" si="5"/>
        <v>3823.43</v>
      </c>
      <c r="H249" s="109" t="s">
        <v>441</v>
      </c>
    </row>
    <row r="250" spans="1:8" x14ac:dyDescent="0.75">
      <c r="A250" s="12">
        <v>7530</v>
      </c>
      <c r="B250" s="13" t="s">
        <v>623</v>
      </c>
      <c r="C250" s="3">
        <f>SUMIF('Raw Data 01-31-2020'!$A$6:$A$254,'Q1 TB-20'!A250,'Raw Data 01-31-2020'!C$6:C$254)</f>
        <v>9345.2199999999993</v>
      </c>
      <c r="D250" s="4"/>
      <c r="E250" s="3">
        <f>SUMIF('Raw Data 01-31-2020'!$A$6:$A$254,'Q1 TB-20'!A250,'Raw Data 01-31-2020'!D$6:D$254)</f>
        <v>0</v>
      </c>
      <c r="F250" s="5"/>
      <c r="G250" s="3">
        <f t="shared" si="5"/>
        <v>9345.2199999999993</v>
      </c>
      <c r="H250" s="109" t="s">
        <v>441</v>
      </c>
    </row>
    <row r="251" spans="1:8" x14ac:dyDescent="0.75">
      <c r="A251" s="12">
        <v>7540</v>
      </c>
      <c r="B251" s="13" t="s">
        <v>624</v>
      </c>
      <c r="C251" s="3">
        <f>SUMIF('Raw Data 01-31-2020'!$A$6:$A$254,'Q1 TB-20'!A251,'Raw Data 01-31-2020'!C$6:C$254)</f>
        <v>21954.639999999999</v>
      </c>
      <c r="D251" s="4"/>
      <c r="E251" s="3">
        <f>SUMIF('Raw Data 01-31-2020'!$A$6:$A$254,'Q1 TB-20'!A251,'Raw Data 01-31-2020'!D$6:D$254)</f>
        <v>0</v>
      </c>
      <c r="F251" s="5"/>
      <c r="G251" s="3">
        <f t="shared" si="5"/>
        <v>21954.639999999999</v>
      </c>
      <c r="H251" s="109" t="s">
        <v>441</v>
      </c>
    </row>
    <row r="252" spans="1:8" x14ac:dyDescent="0.75">
      <c r="A252" s="12" t="s">
        <v>945</v>
      </c>
      <c r="B252" s="13" t="s">
        <v>946</v>
      </c>
      <c r="C252" s="3">
        <f>SUMIF('Raw Data 01-31-2020'!$A$6:$A$254,'Q1 TB-20'!A252,'Raw Data 01-31-2020'!C$6:C$254)</f>
        <v>37933</v>
      </c>
      <c r="D252" s="4"/>
      <c r="E252" s="3">
        <f>SUMIF('Raw Data 01-31-2020'!$A$6:$A$254,'Q1 TB-20'!A252,'Raw Data 01-31-2020'!D$6:D$254)</f>
        <v>0</v>
      </c>
      <c r="F252" s="5"/>
      <c r="G252" s="3">
        <f t="shared" si="5"/>
        <v>37933</v>
      </c>
      <c r="H252" s="109" t="s">
        <v>441</v>
      </c>
    </row>
    <row r="253" spans="1:8" x14ac:dyDescent="0.75">
      <c r="A253" s="14">
        <v>7600</v>
      </c>
      <c r="B253" s="18" t="s">
        <v>694</v>
      </c>
      <c r="C253" s="3">
        <f>SUMIF('Raw Data 01-31-2020'!$A$6:$A$254,'Q1 TB-20'!A253,'Raw Data 01-31-2020'!C$6:C$254)</f>
        <v>0</v>
      </c>
      <c r="D253" s="4"/>
      <c r="E253" s="3">
        <f>SUMIF('Raw Data 01-31-2020'!$A$6:$A$254,'Q1 TB-20'!A253,'Raw Data 01-31-2020'!D$6:D$254)</f>
        <v>0</v>
      </c>
      <c r="F253" s="5"/>
      <c r="G253" s="3">
        <f t="shared" si="5"/>
        <v>0</v>
      </c>
      <c r="H253" s="109" t="s">
        <v>439</v>
      </c>
    </row>
    <row r="254" spans="1:8" x14ac:dyDescent="0.75">
      <c r="A254" s="14">
        <v>7700</v>
      </c>
      <c r="B254" s="18" t="s">
        <v>695</v>
      </c>
      <c r="C254" s="3">
        <f>SUMIF('Raw Data 01-31-2020'!$A$6:$A$254,'Q1 TB-20'!A254,'Raw Data 01-31-2020'!C$6:C$254)</f>
        <v>0</v>
      </c>
      <c r="D254" s="4"/>
      <c r="E254" s="3">
        <f>SUMIF('Raw Data 01-31-2020'!$A$6:$A$254,'Q1 TB-20'!A254,'Raw Data 01-31-2020'!D$6:D$254)</f>
        <v>0</v>
      </c>
      <c r="F254" s="5"/>
      <c r="G254" s="3">
        <f t="shared" si="5"/>
        <v>0</v>
      </c>
      <c r="H254" s="109" t="s">
        <v>439</v>
      </c>
    </row>
    <row r="255" spans="1:8" x14ac:dyDescent="0.75">
      <c r="C255" s="51">
        <f>SUM(C6:C254)</f>
        <v>11884876.809999997</v>
      </c>
      <c r="E255" s="51">
        <f>SUM(E6:E254)</f>
        <v>11884876.809999999</v>
      </c>
      <c r="G255" s="51">
        <f>SUM(G6:G254)</f>
        <v>1.3096723705530167E-10</v>
      </c>
    </row>
  </sheetData>
  <mergeCells count="3">
    <mergeCell ref="B1:D1"/>
    <mergeCell ref="B2:D2"/>
    <mergeCell ref="B3:D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51201" r:id="rId4" name="FILT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51201" r:id="rId4" name="FILTER"/>
      </mc:Fallback>
    </mc:AlternateContent>
    <mc:AlternateContent xmlns:mc="http://schemas.openxmlformats.org/markup-compatibility/2006">
      <mc:Choice Requires="x14">
        <control shapeId="51202" r:id="rId6" name="HEAD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51202" r:id="rId6" name="HEADER"/>
      </mc:Fallback>
    </mc:AlternateContent>
  </control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7807-3073-42C3-BC67-D7F6E48F0249}">
  <sheetPr codeName="Sheet16"/>
  <dimension ref="A1:J255"/>
  <sheetViews>
    <sheetView zoomScaleNormal="100" workbookViewId="0">
      <pane xSplit="2" ySplit="5" topLeftCell="C68" activePane="bottomRight" state="frozenSplit"/>
      <selection pane="topRight" activeCell="C1" sqref="C1"/>
      <selection pane="bottomLeft" activeCell="A3" sqref="A3"/>
      <selection pane="bottomRight" activeCell="H91" sqref="H91"/>
    </sheetView>
  </sheetViews>
  <sheetFormatPr defaultColWidth="9.1328125" defaultRowHeight="14.75" x14ac:dyDescent="0.75"/>
  <cols>
    <col min="1" max="1" width="11.86328125" style="14" customWidth="1"/>
    <col min="2" max="2" width="40.26953125" style="18" customWidth="1"/>
    <col min="3" max="3" width="14.1328125" style="10" customWidth="1"/>
    <col min="4" max="4" width="2.1328125" style="10" customWidth="1"/>
    <col min="5" max="5" width="15.40625" style="10" customWidth="1"/>
    <col min="6" max="6" width="4.26953125" style="10" customWidth="1"/>
    <col min="7" max="7" width="15.40625" style="10" customWidth="1"/>
    <col min="8" max="8" width="17.54296875" style="85" bestFit="1" customWidth="1"/>
    <col min="9" max="16384" width="9.1328125" style="85"/>
  </cols>
  <sheetData>
    <row r="1" spans="1:10" ht="18" x14ac:dyDescent="0.8">
      <c r="B1" s="195" t="s">
        <v>696</v>
      </c>
      <c r="C1" s="197"/>
      <c r="D1" s="197"/>
    </row>
    <row r="2" spans="1:10" ht="18" x14ac:dyDescent="0.8">
      <c r="B2" s="195" t="s">
        <v>697</v>
      </c>
      <c r="C2" s="197"/>
      <c r="D2" s="197"/>
    </row>
    <row r="3" spans="1:10" ht="15.75" x14ac:dyDescent="0.75">
      <c r="B3" s="196" t="str">
        <f>'Raw Data 04-30-2020'!B3:D3</f>
        <v>As of April 30, 2020</v>
      </c>
      <c r="C3" s="196"/>
      <c r="D3" s="196"/>
    </row>
    <row r="4" spans="1:10" ht="15.5" thickBot="1" x14ac:dyDescent="0.9">
      <c r="A4" s="12"/>
      <c r="B4" s="13"/>
      <c r="C4" s="15"/>
      <c r="D4" s="1"/>
      <c r="E4" s="2"/>
      <c r="F4" s="2"/>
      <c r="G4" s="2"/>
    </row>
    <row r="5" spans="1:10" s="9" customFormat="1" ht="16.25" thickTop="1" thickBot="1" x14ac:dyDescent="0.9">
      <c r="A5" s="12" t="s">
        <v>4</v>
      </c>
      <c r="B5" s="17" t="s">
        <v>3</v>
      </c>
      <c r="C5" s="7" t="s">
        <v>0</v>
      </c>
      <c r="D5" s="8"/>
      <c r="E5" s="7" t="s">
        <v>1</v>
      </c>
      <c r="F5" s="15"/>
      <c r="G5" s="15" t="s">
        <v>170</v>
      </c>
      <c r="H5" s="35" t="s">
        <v>799</v>
      </c>
    </row>
    <row r="6" spans="1:10" ht="15.5" thickTop="1" x14ac:dyDescent="0.75">
      <c r="A6" s="12">
        <v>1005</v>
      </c>
      <c r="B6" s="13" t="s">
        <v>457</v>
      </c>
      <c r="C6" s="3">
        <f>SUMIF('Raw Data 04-30-2020'!$A$6:$A$254,'Q2 TB-20'!A6,'Raw Data 04-30-2020'!C$6:C$254)</f>
        <v>0</v>
      </c>
      <c r="D6" s="4"/>
      <c r="E6" s="3">
        <f>SUMIF('Raw Data 04-30-2020'!$A$6:$A$254,'Q2 TB-20'!A6,'Raw Data 04-30-2020'!D$6:D$254)</f>
        <v>0</v>
      </c>
      <c r="F6" s="3"/>
      <c r="G6" s="3">
        <f>C6-E6</f>
        <v>0</v>
      </c>
      <c r="H6" s="109" t="s">
        <v>171</v>
      </c>
      <c r="J6" s="19"/>
    </row>
    <row r="7" spans="1:10" x14ac:dyDescent="0.75">
      <c r="A7" s="12">
        <v>1010</v>
      </c>
      <c r="B7" s="13" t="s">
        <v>458</v>
      </c>
      <c r="C7" s="3">
        <f>SUMIF('Raw Data 04-30-2020'!$A$6:$A$254,'Q2 TB-20'!A7,'Raw Data 04-30-2020'!C$6:C$254)</f>
        <v>25413.97</v>
      </c>
      <c r="D7" s="4"/>
      <c r="E7" s="3">
        <f>SUMIF('Raw Data 04-30-2020'!$A$6:$A$254,'Q2 TB-20'!A7,'Raw Data 04-30-2020'!D$6:D$254)</f>
        <v>0</v>
      </c>
      <c r="F7" s="3"/>
      <c r="G7" s="3">
        <f t="shared" ref="G7:G72" si="0">C7-E7</f>
        <v>25413.97</v>
      </c>
      <c r="H7" s="109" t="s">
        <v>171</v>
      </c>
      <c r="J7" s="19"/>
    </row>
    <row r="8" spans="1:10" x14ac:dyDescent="0.75">
      <c r="A8" s="12">
        <v>1020</v>
      </c>
      <c r="B8" s="13" t="s">
        <v>459</v>
      </c>
      <c r="C8" s="3">
        <f>SUMIF('Raw Data 04-30-2020'!$A$6:$A$254,'Q2 TB-20'!A8,'Raw Data 04-30-2020'!C$6:C$254)</f>
        <v>290723.23</v>
      </c>
      <c r="D8" s="4"/>
      <c r="E8" s="3">
        <f>SUMIF('Raw Data 04-30-2020'!$A$6:$A$254,'Q2 TB-20'!A8,'Raw Data 04-30-2020'!D$6:D$254)</f>
        <v>0</v>
      </c>
      <c r="F8" s="3"/>
      <c r="G8" s="3">
        <f t="shared" si="0"/>
        <v>290723.23</v>
      </c>
      <c r="H8" s="109" t="s">
        <v>171</v>
      </c>
      <c r="J8" s="19"/>
    </row>
    <row r="9" spans="1:10" x14ac:dyDescent="0.75">
      <c r="A9" s="12">
        <v>1200</v>
      </c>
      <c r="B9" s="13" t="s">
        <v>460</v>
      </c>
      <c r="C9" s="3">
        <f>SUMIF('Raw Data 04-30-2020'!$A$6:$A$254,'Q2 TB-20'!A9,'Raw Data 04-30-2020'!C$6:C$254)</f>
        <v>234145.53</v>
      </c>
      <c r="D9" s="4"/>
      <c r="E9" s="3">
        <f>SUMIF('Raw Data 04-30-2020'!$A$6:$A$254,'Q2 TB-20'!A9,'Raw Data 04-30-2020'!D$6:D$254)</f>
        <v>0</v>
      </c>
      <c r="F9" s="3"/>
      <c r="G9" s="3">
        <f t="shared" si="0"/>
        <v>234145.53</v>
      </c>
      <c r="H9" s="109" t="s">
        <v>172</v>
      </c>
      <c r="J9" s="19"/>
    </row>
    <row r="10" spans="1:10" x14ac:dyDescent="0.75">
      <c r="A10" s="12">
        <v>1210</v>
      </c>
      <c r="B10" s="13" t="s">
        <v>461</v>
      </c>
      <c r="C10" s="3">
        <f>SUMIF('Raw Data 04-30-2020'!$A$6:$A$254,'Q2 TB-20'!A10,'Raw Data 04-30-2020'!C$6:C$254)</f>
        <v>0</v>
      </c>
      <c r="D10" s="4"/>
      <c r="E10" s="3">
        <f>SUMIF('Raw Data 04-30-2020'!$A$6:$A$254,'Q2 TB-20'!A10,'Raw Data 04-30-2020'!D$6:D$254)</f>
        <v>0</v>
      </c>
      <c r="F10" s="3"/>
      <c r="G10" s="3">
        <f t="shared" si="0"/>
        <v>0</v>
      </c>
      <c r="H10" s="109" t="s">
        <v>172</v>
      </c>
      <c r="J10" s="19"/>
    </row>
    <row r="11" spans="1:10" x14ac:dyDescent="0.75">
      <c r="A11" s="12">
        <v>1250</v>
      </c>
      <c r="B11" s="13" t="s">
        <v>462</v>
      </c>
      <c r="C11" s="3">
        <f>SUMIF('Raw Data 04-30-2020'!$A$6:$A$254,'Q2 TB-20'!A11,'Raw Data 04-30-2020'!C$6:C$254)</f>
        <v>0</v>
      </c>
      <c r="D11" s="4"/>
      <c r="E11" s="3">
        <f>SUMIF('Raw Data 04-30-2020'!$A$6:$A$254,'Q2 TB-20'!A11,'Raw Data 04-30-2020'!D$6:D$254)</f>
        <v>0</v>
      </c>
      <c r="F11" s="3"/>
      <c r="G11" s="3">
        <f t="shared" si="0"/>
        <v>0</v>
      </c>
      <c r="H11" s="109" t="s">
        <v>172</v>
      </c>
      <c r="J11" s="19"/>
    </row>
    <row r="12" spans="1:10" x14ac:dyDescent="0.75">
      <c r="A12" s="12">
        <v>1280</v>
      </c>
      <c r="B12" s="13" t="s">
        <v>468</v>
      </c>
      <c r="C12" s="3">
        <f>SUMIF('Raw Data 04-30-2020'!$A$6:$A$254,'Q2 TB-20'!A12,'Raw Data 04-30-2020'!C$6:C$254)</f>
        <v>0</v>
      </c>
      <c r="D12" s="4"/>
      <c r="E12" s="3">
        <f>SUMIF('Raw Data 04-30-2020'!$A$6:$A$254,'Q2 TB-20'!A12,'Raw Data 04-30-2020'!D$6:D$254)</f>
        <v>0</v>
      </c>
      <c r="F12" s="3"/>
      <c r="G12" s="3">
        <f t="shared" si="0"/>
        <v>0</v>
      </c>
      <c r="H12" s="109" t="s">
        <v>175</v>
      </c>
      <c r="J12" s="19"/>
    </row>
    <row r="13" spans="1:10" x14ac:dyDescent="0.75">
      <c r="A13" s="12">
        <v>1290</v>
      </c>
      <c r="B13" s="13" t="s">
        <v>469</v>
      </c>
      <c r="C13" s="3">
        <f>SUMIF('Raw Data 04-30-2020'!$A$6:$A$254,'Q2 TB-20'!A13,'Raw Data 04-30-2020'!C$6:C$254)</f>
        <v>0</v>
      </c>
      <c r="D13" s="4"/>
      <c r="E13" s="3">
        <f>SUMIF('Raw Data 04-30-2020'!$A$6:$A$254,'Q2 TB-20'!A13,'Raw Data 04-30-2020'!D$6:D$254)</f>
        <v>0</v>
      </c>
      <c r="F13" s="3"/>
      <c r="G13" s="3">
        <f t="shared" si="0"/>
        <v>0</v>
      </c>
      <c r="H13" s="109" t="s">
        <v>172</v>
      </c>
      <c r="J13" s="19"/>
    </row>
    <row r="14" spans="1:10" x14ac:dyDescent="0.75">
      <c r="A14" s="12">
        <v>1300</v>
      </c>
      <c r="B14" s="13" t="s">
        <v>463</v>
      </c>
      <c r="C14" s="3">
        <f>SUMIF('Raw Data 04-30-2020'!$A$6:$A$254,'Q2 TB-20'!A14,'Raw Data 04-30-2020'!C$6:C$254)</f>
        <v>0</v>
      </c>
      <c r="D14" s="4"/>
      <c r="E14" s="3">
        <f>SUMIF('Raw Data 04-30-2020'!$A$6:$A$254,'Q2 TB-20'!A14,'Raw Data 04-30-2020'!D$6:D$254)</f>
        <v>0</v>
      </c>
      <c r="F14" s="3"/>
      <c r="G14" s="3">
        <f t="shared" si="0"/>
        <v>0</v>
      </c>
      <c r="H14" s="109" t="s">
        <v>174</v>
      </c>
      <c r="J14" s="19"/>
    </row>
    <row r="15" spans="1:10" x14ac:dyDescent="0.75">
      <c r="A15" s="12">
        <v>1310</v>
      </c>
      <c r="B15" s="13" t="s">
        <v>467</v>
      </c>
      <c r="C15" s="3">
        <f>SUMIF('Raw Data 04-30-2020'!$A$6:$A$254,'Q2 TB-20'!A15,'Raw Data 04-30-2020'!C$6:C$254)</f>
        <v>57496.82</v>
      </c>
      <c r="D15" s="4"/>
      <c r="E15" s="3">
        <f>SUMIF('Raw Data 04-30-2020'!$A$6:$A$254,'Q2 TB-20'!A15,'Raw Data 04-30-2020'!D$6:D$254)</f>
        <v>0</v>
      </c>
      <c r="F15" s="3"/>
      <c r="G15" s="3">
        <f t="shared" si="0"/>
        <v>57496.82</v>
      </c>
      <c r="H15" s="109" t="s">
        <v>174</v>
      </c>
      <c r="J15" s="19"/>
    </row>
    <row r="16" spans="1:10" x14ac:dyDescent="0.75">
      <c r="A16" s="12">
        <v>1320</v>
      </c>
      <c r="B16" s="13" t="s">
        <v>466</v>
      </c>
      <c r="C16" s="3">
        <f>SUMIF('Raw Data 04-30-2020'!$A$6:$A$254,'Q2 TB-20'!A16,'Raw Data 04-30-2020'!C$6:C$254)</f>
        <v>0</v>
      </c>
      <c r="D16" s="4"/>
      <c r="E16" s="3">
        <f>SUMIF('Raw Data 04-30-2020'!$A$6:$A$254,'Q2 TB-20'!A16,'Raw Data 04-30-2020'!D$6:D$254)</f>
        <v>0</v>
      </c>
      <c r="F16" s="3"/>
      <c r="G16" s="3">
        <f t="shared" si="0"/>
        <v>0</v>
      </c>
      <c r="H16" s="109" t="s">
        <v>174</v>
      </c>
      <c r="J16" s="19"/>
    </row>
    <row r="17" spans="1:10" x14ac:dyDescent="0.75">
      <c r="A17" s="12">
        <v>1330</v>
      </c>
      <c r="B17" s="13" t="s">
        <v>464</v>
      </c>
      <c r="C17" s="3">
        <f>SUMIF('Raw Data 04-30-2020'!$A$6:$A$254,'Q2 TB-20'!A17,'Raw Data 04-30-2020'!C$6:C$254)</f>
        <v>0</v>
      </c>
      <c r="D17" s="4"/>
      <c r="E17" s="3">
        <f>SUMIF('Raw Data 04-30-2020'!$A$6:$A$254,'Q2 TB-20'!A17,'Raw Data 04-30-2020'!D$6:D$254)</f>
        <v>0</v>
      </c>
      <c r="F17" s="3"/>
      <c r="G17" s="3">
        <f t="shared" si="0"/>
        <v>0</v>
      </c>
      <c r="H17" s="109" t="s">
        <v>174</v>
      </c>
      <c r="J17" s="19"/>
    </row>
    <row r="18" spans="1:10" x14ac:dyDescent="0.75">
      <c r="A18" s="12">
        <v>1340</v>
      </c>
      <c r="B18" s="13" t="s">
        <v>465</v>
      </c>
      <c r="C18" s="3">
        <f>SUMIF('Raw Data 04-30-2020'!$A$6:$A$254,'Q2 TB-20'!A18,'Raw Data 04-30-2020'!C$6:C$254)</f>
        <v>11380.4</v>
      </c>
      <c r="D18" s="4"/>
      <c r="E18" s="3">
        <f>SUMIF('Raw Data 04-30-2020'!$A$6:$A$254,'Q2 TB-20'!A18,'Raw Data 04-30-2020'!D$6:D$254)</f>
        <v>0</v>
      </c>
      <c r="F18" s="3"/>
      <c r="G18" s="3">
        <f t="shared" si="0"/>
        <v>11380.4</v>
      </c>
      <c r="H18" s="109" t="s">
        <v>174</v>
      </c>
      <c r="J18" s="19"/>
    </row>
    <row r="19" spans="1:10" x14ac:dyDescent="0.75">
      <c r="A19" s="12">
        <v>1410</v>
      </c>
      <c r="B19" s="13" t="s">
        <v>470</v>
      </c>
      <c r="C19" s="3">
        <f>SUMIF('Raw Data 04-30-2020'!$A$6:$A$254,'Q2 TB-20'!A19,'Raw Data 04-30-2020'!C$6:C$254)</f>
        <v>50000</v>
      </c>
      <c r="D19" s="4"/>
      <c r="E19" s="3">
        <f>SUMIF('Raw Data 04-30-2020'!$A$6:$A$254,'Q2 TB-20'!A19,'Raw Data 04-30-2020'!D$6:D$254)</f>
        <v>0</v>
      </c>
      <c r="F19" s="3"/>
      <c r="G19" s="3">
        <f t="shared" si="0"/>
        <v>50000</v>
      </c>
      <c r="H19" s="109" t="s">
        <v>175</v>
      </c>
      <c r="J19" s="19"/>
    </row>
    <row r="20" spans="1:10" x14ac:dyDescent="0.75">
      <c r="A20" s="12">
        <v>1420</v>
      </c>
      <c r="B20" s="13" t="s">
        <v>471</v>
      </c>
      <c r="C20" s="3">
        <f>SUMIF('Raw Data 04-30-2020'!$A$6:$A$254,'Q2 TB-20'!A20,'Raw Data 04-30-2020'!C$6:C$254)</f>
        <v>0</v>
      </c>
      <c r="D20" s="4"/>
      <c r="E20" s="3">
        <f>SUMIF('Raw Data 04-30-2020'!$A$6:$A$254,'Q2 TB-20'!A20,'Raw Data 04-30-2020'!D$6:D$254)</f>
        <v>0</v>
      </c>
      <c r="F20" s="3"/>
      <c r="G20" s="3">
        <f t="shared" si="0"/>
        <v>0</v>
      </c>
      <c r="H20" s="109" t="s">
        <v>175</v>
      </c>
      <c r="J20" s="19"/>
    </row>
    <row r="21" spans="1:10" x14ac:dyDescent="0.75">
      <c r="A21" s="12">
        <v>1430</v>
      </c>
      <c r="B21" s="13" t="s">
        <v>472</v>
      </c>
      <c r="C21" s="3">
        <f>SUMIF('Raw Data 04-30-2020'!$A$6:$A$254,'Q2 TB-20'!A21,'Raw Data 04-30-2020'!C$6:C$254)</f>
        <v>0</v>
      </c>
      <c r="D21" s="4"/>
      <c r="E21" s="3">
        <f>SUMIF('Raw Data 04-30-2020'!$A$6:$A$254,'Q2 TB-20'!A21,'Raw Data 04-30-2020'!D$6:D$254)</f>
        <v>0</v>
      </c>
      <c r="F21" s="3"/>
      <c r="G21" s="3">
        <f t="shared" si="0"/>
        <v>0</v>
      </c>
      <c r="H21" s="109" t="s">
        <v>175</v>
      </c>
      <c r="J21" s="19"/>
    </row>
    <row r="22" spans="1:10" x14ac:dyDescent="0.75">
      <c r="A22" s="12">
        <v>1710</v>
      </c>
      <c r="B22" s="13" t="s">
        <v>481</v>
      </c>
      <c r="C22" s="3">
        <f>SUMIF('Raw Data 04-30-2020'!$A$6:$A$254,'Q2 TB-20'!A22,'Raw Data 04-30-2020'!C$6:C$254)</f>
        <v>97384.17</v>
      </c>
      <c r="D22" s="4"/>
      <c r="E22" s="3">
        <f>SUMIF('Raw Data 04-30-2020'!$A$6:$A$254,'Q2 TB-20'!A22,'Raw Data 04-30-2020'!D$6:D$254)</f>
        <v>0</v>
      </c>
      <c r="F22" s="3"/>
      <c r="G22" s="3">
        <f t="shared" si="0"/>
        <v>97384.17</v>
      </c>
      <c r="H22" s="109" t="s">
        <v>173</v>
      </c>
      <c r="J22" s="19"/>
    </row>
    <row r="23" spans="1:10" x14ac:dyDescent="0.75">
      <c r="A23" s="12">
        <v>1715</v>
      </c>
      <c r="B23" s="13" t="s">
        <v>483</v>
      </c>
      <c r="C23" s="3">
        <f>SUMIF('Raw Data 04-30-2020'!$A$6:$A$254,'Q2 TB-20'!A23,'Raw Data 04-30-2020'!C$6:C$254)</f>
        <v>0</v>
      </c>
      <c r="D23" s="4"/>
      <c r="E23" s="3">
        <f>SUMIF('Raw Data 04-30-2020'!$A$6:$A$254,'Q2 TB-20'!A23,'Raw Data 04-30-2020'!D$6:D$254)</f>
        <v>0</v>
      </c>
      <c r="F23" s="3"/>
      <c r="G23" s="3">
        <f t="shared" si="0"/>
        <v>0</v>
      </c>
      <c r="H23" s="109" t="s">
        <v>173</v>
      </c>
      <c r="J23" s="19"/>
    </row>
    <row r="24" spans="1:10" x14ac:dyDescent="0.75">
      <c r="A24" s="12">
        <v>1720</v>
      </c>
      <c r="B24" s="13" t="s">
        <v>484</v>
      </c>
      <c r="C24" s="3">
        <f>SUMIF('Raw Data 04-30-2020'!$A$6:$A$254,'Q2 TB-20'!A24,'Raw Data 04-30-2020'!C$6:C$254)</f>
        <v>3937.6</v>
      </c>
      <c r="D24" s="4"/>
      <c r="E24" s="3">
        <f>SUMIF('Raw Data 04-30-2020'!$A$6:$A$254,'Q2 TB-20'!A24,'Raw Data 04-30-2020'!D$6:D$254)</f>
        <v>0</v>
      </c>
      <c r="F24" s="3"/>
      <c r="G24" s="3">
        <f t="shared" si="0"/>
        <v>3937.6</v>
      </c>
      <c r="H24" s="109" t="s">
        <v>173</v>
      </c>
      <c r="J24" s="19"/>
    </row>
    <row r="25" spans="1:10" x14ac:dyDescent="0.75">
      <c r="A25" s="12">
        <v>1725</v>
      </c>
      <c r="B25" s="13" t="s">
        <v>485</v>
      </c>
      <c r="C25" s="3">
        <f>SUMIF('Raw Data 04-30-2020'!$A$6:$A$254,'Q2 TB-20'!A25,'Raw Data 04-30-2020'!C$6:C$254)</f>
        <v>2446.33</v>
      </c>
      <c r="D25" s="4"/>
      <c r="E25" s="3">
        <f>SUMIF('Raw Data 04-30-2020'!$A$6:$A$254,'Q2 TB-20'!A25,'Raw Data 04-30-2020'!D$6:D$254)</f>
        <v>0</v>
      </c>
      <c r="F25" s="3"/>
      <c r="G25" s="3">
        <f t="shared" si="0"/>
        <v>2446.33</v>
      </c>
      <c r="H25" s="109" t="s">
        <v>173</v>
      </c>
      <c r="J25" s="19"/>
    </row>
    <row r="26" spans="1:10" x14ac:dyDescent="0.75">
      <c r="A26" s="12">
        <v>1735</v>
      </c>
      <c r="B26" s="13" t="s">
        <v>487</v>
      </c>
      <c r="C26" s="3">
        <f>SUMIF('Raw Data 04-30-2020'!$A$6:$A$254,'Q2 TB-20'!A26,'Raw Data 04-30-2020'!C$6:C$254)</f>
        <v>4977.6499999999996</v>
      </c>
      <c r="D26" s="4"/>
      <c r="E26" s="3">
        <f>SUMIF('Raw Data 04-30-2020'!$A$6:$A$254,'Q2 TB-20'!A26,'Raw Data 04-30-2020'!D$6:D$254)</f>
        <v>0</v>
      </c>
      <c r="F26" s="3"/>
      <c r="G26" s="3">
        <f t="shared" si="0"/>
        <v>4977.6499999999996</v>
      </c>
      <c r="H26" s="109" t="s">
        <v>173</v>
      </c>
      <c r="J26" s="19"/>
    </row>
    <row r="27" spans="1:10" x14ac:dyDescent="0.75">
      <c r="A27" s="12">
        <v>1740</v>
      </c>
      <c r="B27" s="13" t="s">
        <v>488</v>
      </c>
      <c r="C27" s="3">
        <f>SUMIF('Raw Data 04-30-2020'!$A$6:$A$254,'Q2 TB-20'!A27,'Raw Data 04-30-2020'!C$6:C$254)</f>
        <v>0</v>
      </c>
      <c r="D27" s="4"/>
      <c r="E27" s="3">
        <f>SUMIF('Raw Data 04-30-2020'!$A$6:$A$254,'Q2 TB-20'!A27,'Raw Data 04-30-2020'!D$6:D$254)</f>
        <v>0</v>
      </c>
      <c r="F27" s="3"/>
      <c r="G27" s="3">
        <f t="shared" si="0"/>
        <v>0</v>
      </c>
      <c r="H27" s="109" t="s">
        <v>173</v>
      </c>
      <c r="J27" s="19"/>
    </row>
    <row r="28" spans="1:10" x14ac:dyDescent="0.75">
      <c r="A28" s="12">
        <v>1745</v>
      </c>
      <c r="B28" s="13" t="s">
        <v>489</v>
      </c>
      <c r="C28" s="3">
        <f>SUMIF('Raw Data 04-30-2020'!$A$6:$A$254,'Q2 TB-20'!A28,'Raw Data 04-30-2020'!C$6:C$254)</f>
        <v>315246.63</v>
      </c>
      <c r="D28" s="4"/>
      <c r="E28" s="3">
        <f>SUMIF('Raw Data 04-30-2020'!$A$6:$A$254,'Q2 TB-20'!A28,'Raw Data 04-30-2020'!D$6:D$254)</f>
        <v>0</v>
      </c>
      <c r="F28" s="3"/>
      <c r="G28" s="3">
        <f t="shared" si="0"/>
        <v>315246.63</v>
      </c>
      <c r="H28" s="109" t="s">
        <v>173</v>
      </c>
      <c r="J28" s="19"/>
    </row>
    <row r="29" spans="1:10" x14ac:dyDescent="0.75">
      <c r="A29" s="12">
        <v>1750</v>
      </c>
      <c r="B29" s="13" t="s">
        <v>490</v>
      </c>
      <c r="C29" s="3">
        <f>SUMIF('Raw Data 04-30-2020'!$A$6:$A$254,'Q2 TB-20'!A29,'Raw Data 04-30-2020'!C$6:C$254)</f>
        <v>10394.01</v>
      </c>
      <c r="D29" s="4"/>
      <c r="E29" s="3">
        <f>SUMIF('Raw Data 04-30-2020'!$A$6:$A$254,'Q2 TB-20'!A29,'Raw Data 04-30-2020'!D$6:D$254)</f>
        <v>0</v>
      </c>
      <c r="F29" s="3"/>
      <c r="G29" s="3">
        <f t="shared" si="0"/>
        <v>10394.01</v>
      </c>
      <c r="H29" s="109" t="s">
        <v>173</v>
      </c>
      <c r="J29" s="19"/>
    </row>
    <row r="30" spans="1:10" x14ac:dyDescent="0.75">
      <c r="A30" s="12">
        <v>1755</v>
      </c>
      <c r="B30" s="13" t="s">
        <v>491</v>
      </c>
      <c r="C30" s="3">
        <f>SUMIF('Raw Data 04-30-2020'!$A$6:$A$254,'Q2 TB-20'!A30,'Raw Data 04-30-2020'!C$6:C$254)</f>
        <v>787.91</v>
      </c>
      <c r="D30" s="4"/>
      <c r="E30" s="3">
        <f>SUMIF('Raw Data 04-30-2020'!$A$6:$A$254,'Q2 TB-20'!A30,'Raw Data 04-30-2020'!D$6:D$254)</f>
        <v>0</v>
      </c>
      <c r="F30" s="3"/>
      <c r="G30" s="3">
        <f t="shared" si="0"/>
        <v>787.91</v>
      </c>
      <c r="H30" s="109" t="s">
        <v>173</v>
      </c>
      <c r="J30" s="19"/>
    </row>
    <row r="31" spans="1:10" x14ac:dyDescent="0.75">
      <c r="A31" s="12">
        <v>1760</v>
      </c>
      <c r="B31" s="13" t="s">
        <v>492</v>
      </c>
      <c r="C31" s="3">
        <f>SUMIF('Raw Data 04-30-2020'!$A$6:$A$254,'Q2 TB-20'!A31,'Raw Data 04-30-2020'!C$6:C$254)</f>
        <v>20105.95</v>
      </c>
      <c r="D31" s="4"/>
      <c r="E31" s="3">
        <f>SUMIF('Raw Data 04-30-2020'!$A$6:$A$254,'Q2 TB-20'!A31,'Raw Data 04-30-2020'!D$6:D$254)</f>
        <v>0</v>
      </c>
      <c r="F31" s="3"/>
      <c r="G31" s="3">
        <f t="shared" si="0"/>
        <v>20105.95</v>
      </c>
      <c r="H31" s="109" t="s">
        <v>173</v>
      </c>
      <c r="J31" s="19"/>
    </row>
    <row r="32" spans="1:10" x14ac:dyDescent="0.75">
      <c r="A32" s="12">
        <v>1765</v>
      </c>
      <c r="B32" s="13" t="s">
        <v>493</v>
      </c>
      <c r="C32" s="3">
        <f>SUMIF('Raw Data 04-30-2020'!$A$6:$A$254,'Q2 TB-20'!A32,'Raw Data 04-30-2020'!C$6:C$254)</f>
        <v>1015.31</v>
      </c>
      <c r="D32" s="4"/>
      <c r="E32" s="3">
        <f>SUMIF('Raw Data 04-30-2020'!$A$6:$A$254,'Q2 TB-20'!A32,'Raw Data 04-30-2020'!D$6:D$254)</f>
        <v>0</v>
      </c>
      <c r="F32" s="3"/>
      <c r="G32" s="3">
        <f t="shared" si="0"/>
        <v>1015.31</v>
      </c>
      <c r="H32" s="109" t="s">
        <v>173</v>
      </c>
      <c r="J32" s="19"/>
    </row>
    <row r="33" spans="1:10" x14ac:dyDescent="0.75">
      <c r="A33" s="12">
        <v>1781</v>
      </c>
      <c r="B33" s="13" t="s">
        <v>482</v>
      </c>
      <c r="C33" s="3">
        <f>SUMIF('Raw Data 04-30-2020'!$A$6:$A$254,'Q2 TB-20'!A33,'Raw Data 04-30-2020'!C$6:C$254)</f>
        <v>0</v>
      </c>
      <c r="D33" s="4"/>
      <c r="E33" s="3">
        <f>SUMIF('Raw Data 04-30-2020'!$A$6:$A$254,'Q2 TB-20'!A33,'Raw Data 04-30-2020'!D$6:D$254)</f>
        <v>52763.35</v>
      </c>
      <c r="F33" s="3"/>
      <c r="G33" s="3">
        <f t="shared" si="0"/>
        <v>-52763.35</v>
      </c>
      <c r="H33" s="109" t="s">
        <v>173</v>
      </c>
      <c r="J33" s="19"/>
    </row>
    <row r="34" spans="1:10" x14ac:dyDescent="0.75">
      <c r="A34" s="12">
        <v>1782</v>
      </c>
      <c r="B34" s="13" t="s">
        <v>473</v>
      </c>
      <c r="C34" s="3">
        <f>SUMIF('Raw Data 04-30-2020'!$A$6:$A$254,'Q2 TB-20'!A34,'Raw Data 04-30-2020'!C$6:C$254)</f>
        <v>0</v>
      </c>
      <c r="D34" s="4"/>
      <c r="E34" s="3">
        <f>SUMIF('Raw Data 04-30-2020'!$A$6:$A$254,'Q2 TB-20'!A34,'Raw Data 04-30-2020'!D$6:D$254)</f>
        <v>0</v>
      </c>
      <c r="F34" s="3"/>
      <c r="G34" s="3">
        <f t="shared" si="0"/>
        <v>0</v>
      </c>
      <c r="H34" s="109" t="s">
        <v>173</v>
      </c>
      <c r="J34" s="19"/>
    </row>
    <row r="35" spans="1:10" x14ac:dyDescent="0.75">
      <c r="A35" s="12">
        <v>1783</v>
      </c>
      <c r="B35" s="13" t="s">
        <v>474</v>
      </c>
      <c r="C35" s="3">
        <f>SUMIF('Raw Data 04-30-2020'!$A$6:$A$254,'Q2 TB-20'!A35,'Raw Data 04-30-2020'!C$6:C$254)</f>
        <v>0</v>
      </c>
      <c r="D35" s="4"/>
      <c r="E35" s="3">
        <f>SUMIF('Raw Data 04-30-2020'!$A$6:$A$254,'Q2 TB-20'!A35,'Raw Data 04-30-2020'!D$6:D$254)</f>
        <v>1640.65</v>
      </c>
      <c r="F35" s="3"/>
      <c r="G35" s="3">
        <f t="shared" si="0"/>
        <v>-1640.65</v>
      </c>
      <c r="H35" s="109" t="s">
        <v>173</v>
      </c>
      <c r="J35" s="19"/>
    </row>
    <row r="36" spans="1:10" x14ac:dyDescent="0.75">
      <c r="A36" s="12">
        <v>1784</v>
      </c>
      <c r="B36" s="13" t="s">
        <v>486</v>
      </c>
      <c r="C36" s="3">
        <f>SUMIF('Raw Data 04-30-2020'!$A$6:$A$254,'Q2 TB-20'!A36,'Raw Data 04-30-2020'!C$6:C$254)</f>
        <v>0</v>
      </c>
      <c r="D36" s="4"/>
      <c r="E36" s="3">
        <f>SUMIF('Raw Data 04-30-2020'!$A$6:$A$254,'Q2 TB-20'!A36,'Raw Data 04-30-2020'!D$6:D$254)</f>
        <v>681.42</v>
      </c>
      <c r="F36" s="3"/>
      <c r="G36" s="3">
        <f t="shared" si="0"/>
        <v>-681.42</v>
      </c>
      <c r="H36" s="109" t="s">
        <v>173</v>
      </c>
      <c r="J36" s="19"/>
    </row>
    <row r="37" spans="1:10" x14ac:dyDescent="0.75">
      <c r="A37" s="12">
        <v>1785</v>
      </c>
      <c r="B37" s="13" t="s">
        <v>476</v>
      </c>
      <c r="C37" s="3">
        <f>SUMIF('Raw Data 04-30-2020'!$A$6:$A$254,'Q2 TB-20'!A37,'Raw Data 04-30-2020'!C$6:C$254)</f>
        <v>0</v>
      </c>
      <c r="D37" s="4"/>
      <c r="E37" s="3">
        <f>SUMIF('Raw Data 04-30-2020'!$A$6:$A$254,'Q2 TB-20'!A37,'Raw Data 04-30-2020'!D$6:D$254)</f>
        <v>4514.0200000000004</v>
      </c>
      <c r="F37" s="3"/>
      <c r="G37" s="3">
        <f t="shared" si="0"/>
        <v>-4514.0200000000004</v>
      </c>
      <c r="H37" s="109" t="s">
        <v>173</v>
      </c>
      <c r="J37" s="19"/>
    </row>
    <row r="38" spans="1:10" x14ac:dyDescent="0.75">
      <c r="A38" s="12">
        <v>1786</v>
      </c>
      <c r="B38" s="13" t="s">
        <v>475</v>
      </c>
      <c r="C38" s="3">
        <f>SUMIF('Raw Data 04-30-2020'!$A$6:$A$254,'Q2 TB-20'!A38,'Raw Data 04-30-2020'!C$6:C$254)</f>
        <v>0</v>
      </c>
      <c r="D38" s="4"/>
      <c r="E38" s="3">
        <f>SUMIF('Raw Data 04-30-2020'!$A$6:$A$254,'Q2 TB-20'!A38,'Raw Data 04-30-2020'!D$6:D$254)</f>
        <v>0</v>
      </c>
      <c r="F38" s="3"/>
      <c r="G38" s="3">
        <f t="shared" si="0"/>
        <v>0</v>
      </c>
      <c r="H38" s="109" t="s">
        <v>173</v>
      </c>
      <c r="J38" s="19"/>
    </row>
    <row r="39" spans="1:10" x14ac:dyDescent="0.75">
      <c r="A39" s="12">
        <v>1787</v>
      </c>
      <c r="B39" s="13" t="s">
        <v>477</v>
      </c>
      <c r="C39" s="3">
        <f>SUMIF('Raw Data 04-30-2020'!$A$6:$A$254,'Q2 TB-20'!A39,'Raw Data 04-30-2020'!C$6:C$254)</f>
        <v>0</v>
      </c>
      <c r="D39" s="4"/>
      <c r="E39" s="3">
        <f>SUMIF('Raw Data 04-30-2020'!$A$6:$A$254,'Q2 TB-20'!A39,'Raw Data 04-30-2020'!D$6:D$254)</f>
        <v>203181.64</v>
      </c>
      <c r="F39" s="3"/>
      <c r="G39" s="3">
        <f t="shared" si="0"/>
        <v>-203181.64</v>
      </c>
      <c r="H39" s="109" t="s">
        <v>173</v>
      </c>
      <c r="J39" s="19"/>
    </row>
    <row r="40" spans="1:10" x14ac:dyDescent="0.75">
      <c r="A40" s="12" t="s">
        <v>863</v>
      </c>
      <c r="B40" s="13" t="s">
        <v>864</v>
      </c>
      <c r="C40" s="3">
        <f>SUMIF('Raw Data 04-30-2020'!$A$6:$A$254,'Q2 TB-20'!A40,'Raw Data 04-30-2020'!C$6:C$254)</f>
        <v>0</v>
      </c>
      <c r="D40" s="4"/>
      <c r="E40" s="3">
        <f>SUMIF('Raw Data 04-30-2020'!$A$6:$A$254,'Q2 TB-20'!A40,'Raw Data 04-30-2020'!D$6:D$254)</f>
        <v>10394.01</v>
      </c>
      <c r="F40" s="3"/>
      <c r="G40" s="3">
        <f t="shared" si="0"/>
        <v>-10394.01</v>
      </c>
      <c r="H40" s="109" t="s">
        <v>173</v>
      </c>
      <c r="J40" s="19"/>
    </row>
    <row r="41" spans="1:10" x14ac:dyDescent="0.75">
      <c r="A41" s="12">
        <v>1789</v>
      </c>
      <c r="B41" s="13" t="s">
        <v>478</v>
      </c>
      <c r="C41" s="3">
        <f>SUMIF('Raw Data 04-30-2020'!$A$6:$A$254,'Q2 TB-20'!A41,'Raw Data 04-30-2020'!C$6:C$254)</f>
        <v>0</v>
      </c>
      <c r="D41" s="4"/>
      <c r="E41" s="3">
        <f>SUMIF('Raw Data 04-30-2020'!$A$6:$A$254,'Q2 TB-20'!A41,'Raw Data 04-30-2020'!D$6:D$254)</f>
        <v>787.91</v>
      </c>
      <c r="F41" s="3"/>
      <c r="G41" s="3">
        <f t="shared" si="0"/>
        <v>-787.91</v>
      </c>
      <c r="H41" s="109" t="s">
        <v>173</v>
      </c>
      <c r="J41" s="19"/>
    </row>
    <row r="42" spans="1:10" x14ac:dyDescent="0.75">
      <c r="A42" s="12">
        <v>1790</v>
      </c>
      <c r="B42" s="13" t="s">
        <v>479</v>
      </c>
      <c r="C42" s="3">
        <f>SUMIF('Raw Data 04-30-2020'!$A$6:$A$254,'Q2 TB-20'!A42,'Raw Data 04-30-2020'!C$6:C$254)</f>
        <v>0</v>
      </c>
      <c r="D42" s="4"/>
      <c r="E42" s="3">
        <f>SUMIF('Raw Data 04-30-2020'!$A$6:$A$254,'Q2 TB-20'!A42,'Raw Data 04-30-2020'!D$6:D$254)</f>
        <v>1015.31</v>
      </c>
      <c r="F42" s="3"/>
      <c r="G42" s="3">
        <f t="shared" si="0"/>
        <v>-1015.31</v>
      </c>
      <c r="H42" s="109" t="s">
        <v>173</v>
      </c>
      <c r="J42" s="19"/>
    </row>
    <row r="43" spans="1:10" x14ac:dyDescent="0.75">
      <c r="A43" s="12">
        <v>1791</v>
      </c>
      <c r="B43" s="13" t="s">
        <v>480</v>
      </c>
      <c r="C43" s="3">
        <f>SUMIF('Raw Data 04-30-2020'!$A$6:$A$254,'Q2 TB-20'!A43,'Raw Data 04-30-2020'!C$6:C$254)</f>
        <v>0</v>
      </c>
      <c r="D43" s="4"/>
      <c r="E43" s="3">
        <f>SUMIF('Raw Data 04-30-2020'!$A$6:$A$254,'Q2 TB-20'!A43,'Raw Data 04-30-2020'!D$6:D$254)</f>
        <v>20105.95</v>
      </c>
      <c r="F43" s="3"/>
      <c r="G43" s="3">
        <f t="shared" si="0"/>
        <v>-20105.95</v>
      </c>
      <c r="H43" s="109" t="s">
        <v>173</v>
      </c>
      <c r="J43" s="19"/>
    </row>
    <row r="44" spans="1:10" x14ac:dyDescent="0.75">
      <c r="A44" s="12" t="s">
        <v>67</v>
      </c>
      <c r="B44" s="13" t="s">
        <v>921</v>
      </c>
      <c r="C44" s="3">
        <f>SUMIF('Raw Data 04-30-2020'!$A$6:$A$254,'Q2 TB-20'!A44,'Raw Data 04-30-2020'!C$6:C$254)</f>
        <v>50911</v>
      </c>
      <c r="D44" s="4"/>
      <c r="E44" s="3">
        <f>SUMIF('Raw Data 04-30-2020'!$A$6:$A$254,'Q2 TB-20'!A44,'Raw Data 04-30-2020'!D$6:D$254)</f>
        <v>0</v>
      </c>
      <c r="F44" s="3"/>
      <c r="G44" s="3">
        <f t="shared" si="0"/>
        <v>50911</v>
      </c>
      <c r="H44" s="109" t="s">
        <v>922</v>
      </c>
      <c r="J44" s="19"/>
    </row>
    <row r="45" spans="1:10" x14ac:dyDescent="0.75">
      <c r="A45" s="12">
        <v>1820</v>
      </c>
      <c r="B45" s="13" t="s">
        <v>495</v>
      </c>
      <c r="C45" s="3">
        <f>SUMIF('Raw Data 04-30-2020'!$A$6:$A$254,'Q2 TB-20'!A45,'Raw Data 04-30-2020'!C$6:C$254)</f>
        <v>0</v>
      </c>
      <c r="D45" s="4"/>
      <c r="E45" s="3">
        <f>SUMIF('Raw Data 04-30-2020'!$A$6:$A$254,'Q2 TB-20'!A45,'Raw Data 04-30-2020'!D$6:D$254)</f>
        <v>0</v>
      </c>
      <c r="F45" s="3"/>
      <c r="G45" s="3">
        <f t="shared" si="0"/>
        <v>0</v>
      </c>
      <c r="H45" s="109" t="s">
        <v>444</v>
      </c>
      <c r="J45" s="19"/>
    </row>
    <row r="46" spans="1:10" x14ac:dyDescent="0.75">
      <c r="A46" s="12">
        <v>1830</v>
      </c>
      <c r="B46" s="13" t="s">
        <v>496</v>
      </c>
      <c r="C46" s="3">
        <f>SUMIF('Raw Data 04-30-2020'!$A$6:$A$254,'Q2 TB-20'!A46,'Raw Data 04-30-2020'!C$6:C$254)</f>
        <v>0</v>
      </c>
      <c r="D46" s="4"/>
      <c r="E46" s="3">
        <f>SUMIF('Raw Data 04-30-2020'!$A$6:$A$254,'Q2 TB-20'!A46,'Raw Data 04-30-2020'!D$6:D$254)</f>
        <v>0</v>
      </c>
      <c r="F46" s="3"/>
      <c r="G46" s="3">
        <f t="shared" si="0"/>
        <v>0</v>
      </c>
      <c r="H46" s="109" t="s">
        <v>444</v>
      </c>
      <c r="J46" s="19"/>
    </row>
    <row r="47" spans="1:10" x14ac:dyDescent="0.75">
      <c r="A47" s="12">
        <v>1840</v>
      </c>
      <c r="B47" s="13" t="s">
        <v>497</v>
      </c>
      <c r="C47" s="3">
        <f>SUMIF('Raw Data 04-30-2020'!$A$6:$A$254,'Q2 TB-20'!A47,'Raw Data 04-30-2020'!C$6:C$254)</f>
        <v>0</v>
      </c>
      <c r="D47" s="4"/>
      <c r="E47" s="3">
        <f>SUMIF('Raw Data 04-30-2020'!$A$6:$A$254,'Q2 TB-20'!A47,'Raw Data 04-30-2020'!D$6:D$254)</f>
        <v>0</v>
      </c>
      <c r="F47" s="3"/>
      <c r="G47" s="3">
        <f t="shared" si="0"/>
        <v>0</v>
      </c>
      <c r="H47" s="109" t="s">
        <v>444</v>
      </c>
      <c r="J47" s="19"/>
    </row>
    <row r="48" spans="1:10" x14ac:dyDescent="0.75">
      <c r="A48" s="12">
        <v>1900</v>
      </c>
      <c r="B48" s="13" t="s">
        <v>498</v>
      </c>
      <c r="C48" s="3">
        <f>SUMIF('Raw Data 04-30-2020'!$A$6:$A$254,'Q2 TB-20'!A48,'Raw Data 04-30-2020'!C$6:C$254)</f>
        <v>0</v>
      </c>
      <c r="D48" s="4"/>
      <c r="E48" s="3">
        <f>SUMIF('Raw Data 04-30-2020'!$A$6:$A$254,'Q2 TB-20'!A48,'Raw Data 04-30-2020'!D$6:D$254)</f>
        <v>0</v>
      </c>
      <c r="F48" s="3"/>
      <c r="G48" s="3">
        <f t="shared" si="0"/>
        <v>0</v>
      </c>
      <c r="H48" s="109" t="s">
        <v>443</v>
      </c>
      <c r="J48" s="19"/>
    </row>
    <row r="49" spans="1:10" x14ac:dyDescent="0.75">
      <c r="A49" s="12">
        <v>1902</v>
      </c>
      <c r="B49" s="13" t="s">
        <v>499</v>
      </c>
      <c r="C49" s="3">
        <f>SUMIF('Raw Data 04-30-2020'!$A$6:$A$254,'Q2 TB-20'!A49,'Raw Data 04-30-2020'!C$6:C$254)</f>
        <v>0</v>
      </c>
      <c r="D49" s="4"/>
      <c r="E49" s="3">
        <f>SUMIF('Raw Data 04-30-2020'!$A$6:$A$254,'Q2 TB-20'!A49,'Raw Data 04-30-2020'!D$6:D$254)</f>
        <v>0</v>
      </c>
      <c r="F49" s="3"/>
      <c r="G49" s="3">
        <f t="shared" si="0"/>
        <v>0</v>
      </c>
      <c r="H49" s="109" t="s">
        <v>443</v>
      </c>
      <c r="J49" s="19"/>
    </row>
    <row r="50" spans="1:10" x14ac:dyDescent="0.75">
      <c r="A50" s="12">
        <v>1904</v>
      </c>
      <c r="B50" s="13" t="s">
        <v>500</v>
      </c>
      <c r="C50" s="3">
        <f>SUMIF('Raw Data 04-30-2020'!$A$6:$A$254,'Q2 TB-20'!A50,'Raw Data 04-30-2020'!C$6:C$254)</f>
        <v>0</v>
      </c>
      <c r="D50" s="4"/>
      <c r="E50" s="3">
        <f>SUMIF('Raw Data 04-30-2020'!$A$6:$A$254,'Q2 TB-20'!A50,'Raw Data 04-30-2020'!D$6:D$254)</f>
        <v>0</v>
      </c>
      <c r="F50" s="3"/>
      <c r="G50" s="3">
        <f t="shared" si="0"/>
        <v>0</v>
      </c>
      <c r="H50" s="109" t="s">
        <v>176</v>
      </c>
      <c r="J50" s="19"/>
    </row>
    <row r="51" spans="1:10" x14ac:dyDescent="0.75">
      <c r="A51" s="12">
        <v>1906</v>
      </c>
      <c r="B51" s="13" t="s">
        <v>501</v>
      </c>
      <c r="C51" s="3">
        <f>SUMIF('Raw Data 04-30-2020'!$A$6:$A$254,'Q2 TB-20'!A51,'Raw Data 04-30-2020'!C$6:C$254)</f>
        <v>0</v>
      </c>
      <c r="D51" s="4"/>
      <c r="E51" s="3">
        <f>SUMIF('Raw Data 04-30-2020'!$A$6:$A$254,'Q2 TB-20'!A51,'Raw Data 04-30-2020'!D$6:D$254)</f>
        <v>0</v>
      </c>
      <c r="F51" s="3"/>
      <c r="G51" s="3">
        <f t="shared" si="0"/>
        <v>0</v>
      </c>
      <c r="H51" s="109" t="s">
        <v>176</v>
      </c>
      <c r="J51" s="19"/>
    </row>
    <row r="52" spans="1:10" x14ac:dyDescent="0.75">
      <c r="A52" s="12">
        <v>1908</v>
      </c>
      <c r="B52" s="13" t="s">
        <v>502</v>
      </c>
      <c r="C52" s="3">
        <f>SUMIF('Raw Data 04-30-2020'!$A$6:$A$254,'Q2 TB-20'!A52,'Raw Data 04-30-2020'!C$6:C$254)</f>
        <v>0</v>
      </c>
      <c r="D52" s="4"/>
      <c r="E52" s="3">
        <f>SUMIF('Raw Data 04-30-2020'!$A$6:$A$254,'Q2 TB-20'!A52,'Raw Data 04-30-2020'!D$6:D$254)</f>
        <v>0</v>
      </c>
      <c r="F52" s="3"/>
      <c r="G52" s="3">
        <f t="shared" si="0"/>
        <v>0</v>
      </c>
      <c r="H52" s="109" t="s">
        <v>176</v>
      </c>
      <c r="J52" s="19"/>
    </row>
    <row r="53" spans="1:10" x14ac:dyDescent="0.75">
      <c r="A53" s="12">
        <v>1910</v>
      </c>
      <c r="B53" s="13" t="s">
        <v>503</v>
      </c>
      <c r="C53" s="3">
        <f>SUMIF('Raw Data 04-30-2020'!$A$6:$A$254,'Q2 TB-20'!A53,'Raw Data 04-30-2020'!C$6:C$254)</f>
        <v>0</v>
      </c>
      <c r="D53" s="4"/>
      <c r="E53" s="3">
        <f>SUMIF('Raw Data 04-30-2020'!$A$6:$A$254,'Q2 TB-20'!A53,'Raw Data 04-30-2020'!D$6:D$254)</f>
        <v>0</v>
      </c>
      <c r="F53" s="3"/>
      <c r="G53" s="3">
        <f t="shared" si="0"/>
        <v>0</v>
      </c>
      <c r="H53" s="109" t="s">
        <v>443</v>
      </c>
      <c r="J53" s="19"/>
    </row>
    <row r="54" spans="1:10" x14ac:dyDescent="0.75">
      <c r="A54" s="12">
        <v>1912</v>
      </c>
      <c r="B54" s="13" t="s">
        <v>504</v>
      </c>
      <c r="C54" s="3">
        <f>SUMIF('Raw Data 04-30-2020'!$A$6:$A$254,'Q2 TB-20'!A54,'Raw Data 04-30-2020'!C$6:C$254)</f>
        <v>0</v>
      </c>
      <c r="D54" s="4"/>
      <c r="E54" s="3">
        <f>SUMIF('Raw Data 04-30-2020'!$A$6:$A$254,'Q2 TB-20'!A54,'Raw Data 04-30-2020'!D$6:D$254)</f>
        <v>0</v>
      </c>
      <c r="F54" s="3"/>
      <c r="G54" s="3">
        <f t="shared" si="0"/>
        <v>0</v>
      </c>
      <c r="H54" s="109" t="s">
        <v>176</v>
      </c>
      <c r="J54" s="19"/>
    </row>
    <row r="55" spans="1:10" x14ac:dyDescent="0.75">
      <c r="A55" s="12">
        <v>1914</v>
      </c>
      <c r="B55" s="13" t="s">
        <v>505</v>
      </c>
      <c r="C55" s="3">
        <f>SUMIF('Raw Data 04-30-2020'!$A$6:$A$254,'Q2 TB-20'!A55,'Raw Data 04-30-2020'!C$6:C$254)</f>
        <v>0</v>
      </c>
      <c r="D55" s="4"/>
      <c r="E55" s="3">
        <f>SUMIF('Raw Data 04-30-2020'!$A$6:$A$254,'Q2 TB-20'!A55,'Raw Data 04-30-2020'!D$6:D$254)</f>
        <v>0</v>
      </c>
      <c r="F55" s="3"/>
      <c r="G55" s="3">
        <f t="shared" si="0"/>
        <v>0</v>
      </c>
      <c r="H55" s="109" t="s">
        <v>176</v>
      </c>
      <c r="J55" s="19"/>
    </row>
    <row r="56" spans="1:10" x14ac:dyDescent="0.75">
      <c r="A56" s="12">
        <v>1916</v>
      </c>
      <c r="B56" s="13" t="s">
        <v>506</v>
      </c>
      <c r="C56" s="3">
        <f>SUMIF('Raw Data 04-30-2020'!$A$6:$A$254,'Q2 TB-20'!A56,'Raw Data 04-30-2020'!C$6:C$254)</f>
        <v>0</v>
      </c>
      <c r="D56" s="4"/>
      <c r="E56" s="3">
        <f>SUMIF('Raw Data 04-30-2020'!$A$6:$A$254,'Q2 TB-20'!A56,'Raw Data 04-30-2020'!D$6:D$254)</f>
        <v>0</v>
      </c>
      <c r="F56" s="3"/>
      <c r="G56" s="3">
        <f t="shared" si="0"/>
        <v>0</v>
      </c>
      <c r="H56" s="109" t="s">
        <v>176</v>
      </c>
      <c r="J56" s="19"/>
    </row>
    <row r="57" spans="1:10" x14ac:dyDescent="0.75">
      <c r="A57" s="12">
        <v>1918</v>
      </c>
      <c r="B57" s="13" t="s">
        <v>507</v>
      </c>
      <c r="C57" s="3">
        <f>SUMIF('Raw Data 04-30-2020'!$A$6:$A$254,'Q2 TB-20'!A57,'Raw Data 04-30-2020'!C$6:C$254)</f>
        <v>0</v>
      </c>
      <c r="D57" s="4"/>
      <c r="E57" s="3">
        <f>SUMIF('Raw Data 04-30-2020'!$A$6:$A$254,'Q2 TB-20'!A57,'Raw Data 04-30-2020'!D$6:D$254)</f>
        <v>0</v>
      </c>
      <c r="F57" s="3"/>
      <c r="G57" s="3">
        <f t="shared" si="0"/>
        <v>0</v>
      </c>
      <c r="H57" s="109" t="s">
        <v>176</v>
      </c>
      <c r="J57" s="19"/>
    </row>
    <row r="58" spans="1:10" x14ac:dyDescent="0.75">
      <c r="A58" s="12">
        <v>1920</v>
      </c>
      <c r="B58" s="13" t="s">
        <v>508</v>
      </c>
      <c r="C58" s="3">
        <f>SUMIF('Raw Data 04-30-2020'!$A$6:$A$254,'Q2 TB-20'!A58,'Raw Data 04-30-2020'!C$6:C$254)</f>
        <v>0</v>
      </c>
      <c r="D58" s="4"/>
      <c r="E58" s="3">
        <f>SUMIF('Raw Data 04-30-2020'!$A$6:$A$254,'Q2 TB-20'!A58,'Raw Data 04-30-2020'!D$6:D$254)</f>
        <v>0</v>
      </c>
      <c r="F58" s="3"/>
      <c r="G58" s="3">
        <f t="shared" si="0"/>
        <v>0</v>
      </c>
      <c r="H58" s="109" t="s">
        <v>176</v>
      </c>
      <c r="J58" s="19"/>
    </row>
    <row r="59" spans="1:10" x14ac:dyDescent="0.75">
      <c r="A59" s="12">
        <v>1922</v>
      </c>
      <c r="B59" s="13" t="s">
        <v>509</v>
      </c>
      <c r="C59" s="3">
        <f>SUMIF('Raw Data 04-30-2020'!$A$6:$A$254,'Q2 TB-20'!A59,'Raw Data 04-30-2020'!C$6:C$254)</f>
        <v>0</v>
      </c>
      <c r="D59" s="4"/>
      <c r="E59" s="3">
        <f>SUMIF('Raw Data 04-30-2020'!$A$6:$A$254,'Q2 TB-20'!A59,'Raw Data 04-30-2020'!D$6:D$254)</f>
        <v>0</v>
      </c>
      <c r="F59" s="3"/>
      <c r="G59" s="3">
        <f t="shared" si="0"/>
        <v>0</v>
      </c>
      <c r="H59" s="109" t="s">
        <v>176</v>
      </c>
      <c r="J59" s="19"/>
    </row>
    <row r="60" spans="1:10" x14ac:dyDescent="0.75">
      <c r="A60" s="12">
        <v>1924</v>
      </c>
      <c r="B60" s="13" t="s">
        <v>510</v>
      </c>
      <c r="C60" s="3">
        <f>SUMIF('Raw Data 04-30-2020'!$A$6:$A$254,'Q2 TB-20'!A60,'Raw Data 04-30-2020'!C$6:C$254)</f>
        <v>0</v>
      </c>
      <c r="D60" s="4"/>
      <c r="E60" s="3">
        <f>SUMIF('Raw Data 04-30-2020'!$A$6:$A$254,'Q2 TB-20'!A60,'Raw Data 04-30-2020'!D$6:D$254)</f>
        <v>0</v>
      </c>
      <c r="F60" s="3"/>
      <c r="G60" s="3">
        <f t="shared" si="0"/>
        <v>0</v>
      </c>
      <c r="H60" s="109" t="s">
        <v>176</v>
      </c>
      <c r="J60" s="19"/>
    </row>
    <row r="61" spans="1:10" x14ac:dyDescent="0.75">
      <c r="A61" s="12">
        <v>1926</v>
      </c>
      <c r="B61" s="13" t="s">
        <v>511</v>
      </c>
      <c r="C61" s="3">
        <f>SUMIF('Raw Data 04-30-2020'!$A$6:$A$254,'Q2 TB-20'!A61,'Raw Data 04-30-2020'!C$6:C$254)</f>
        <v>0</v>
      </c>
      <c r="D61" s="4"/>
      <c r="E61" s="3">
        <f>SUMIF('Raw Data 04-30-2020'!$A$6:$A$254,'Q2 TB-20'!A61,'Raw Data 04-30-2020'!D$6:D$254)</f>
        <v>0</v>
      </c>
      <c r="F61" s="3"/>
      <c r="G61" s="3">
        <f t="shared" si="0"/>
        <v>0</v>
      </c>
      <c r="H61" s="109" t="s">
        <v>176</v>
      </c>
      <c r="J61" s="19"/>
    </row>
    <row r="62" spans="1:10" x14ac:dyDescent="0.75">
      <c r="A62" s="12">
        <v>1928</v>
      </c>
      <c r="B62" s="13" t="s">
        <v>512</v>
      </c>
      <c r="C62" s="3">
        <f>SUMIF('Raw Data 04-30-2020'!$A$6:$A$254,'Q2 TB-20'!A62,'Raw Data 04-30-2020'!C$6:C$254)</f>
        <v>43132.88</v>
      </c>
      <c r="D62" s="4"/>
      <c r="E62" s="3">
        <f>SUMIF('Raw Data 04-30-2020'!$A$6:$A$254,'Q2 TB-20'!A62,'Raw Data 04-30-2020'!D$6:D$254)</f>
        <v>0</v>
      </c>
      <c r="F62" s="3"/>
      <c r="G62" s="3">
        <f t="shared" si="0"/>
        <v>43132.88</v>
      </c>
      <c r="H62" s="109" t="s">
        <v>176</v>
      </c>
      <c r="J62" s="19"/>
    </row>
    <row r="63" spans="1:10" x14ac:dyDescent="0.75">
      <c r="A63" s="12">
        <v>1930</v>
      </c>
      <c r="B63" s="13" t="s">
        <v>513</v>
      </c>
      <c r="C63" s="3">
        <f>SUMIF('Raw Data 04-30-2020'!$A$6:$A$254,'Q2 TB-20'!A63,'Raw Data 04-30-2020'!C$6:C$254)</f>
        <v>0</v>
      </c>
      <c r="D63" s="4"/>
      <c r="E63" s="3">
        <f>SUMIF('Raw Data 04-30-2020'!$A$6:$A$254,'Q2 TB-20'!A63,'Raw Data 04-30-2020'!D$6:D$254)</f>
        <v>0</v>
      </c>
      <c r="F63" s="3"/>
      <c r="G63" s="3">
        <f t="shared" si="0"/>
        <v>0</v>
      </c>
      <c r="H63" s="109" t="s">
        <v>176</v>
      </c>
      <c r="J63" s="19"/>
    </row>
    <row r="64" spans="1:10" x14ac:dyDescent="0.75">
      <c r="A64" s="12">
        <v>1932</v>
      </c>
      <c r="B64" s="13" t="s">
        <v>514</v>
      </c>
      <c r="C64" s="3">
        <f>SUMIF('Raw Data 04-30-2020'!$A$6:$A$254,'Q2 TB-20'!A64,'Raw Data 04-30-2020'!C$6:C$254)</f>
        <v>0</v>
      </c>
      <c r="D64" s="4"/>
      <c r="E64" s="3">
        <f>SUMIF('Raw Data 04-30-2020'!$A$6:$A$254,'Q2 TB-20'!A64,'Raw Data 04-30-2020'!D$6:D$254)</f>
        <v>0</v>
      </c>
      <c r="F64" s="3"/>
      <c r="G64" s="3">
        <f t="shared" si="0"/>
        <v>0</v>
      </c>
      <c r="H64" s="109" t="s">
        <v>176</v>
      </c>
      <c r="J64" s="19"/>
    </row>
    <row r="65" spans="1:10" x14ac:dyDescent="0.75">
      <c r="A65" s="12">
        <v>1950</v>
      </c>
      <c r="B65" s="13" t="s">
        <v>494</v>
      </c>
      <c r="C65" s="3">
        <f>SUMIF('Raw Data 04-30-2020'!$A$6:$A$254,'Q2 TB-20'!A65,'Raw Data 04-30-2020'!C$6:C$254)</f>
        <v>0</v>
      </c>
      <c r="D65" s="4"/>
      <c r="E65" s="3">
        <f>SUMIF('Raw Data 04-30-2020'!$A$6:$A$254,'Q2 TB-20'!A65,'Raw Data 04-30-2020'!D$6:D$254)</f>
        <v>43132.89</v>
      </c>
      <c r="F65" s="3"/>
      <c r="G65" s="3">
        <f t="shared" si="0"/>
        <v>-43132.89</v>
      </c>
      <c r="H65" s="109" t="s">
        <v>176</v>
      </c>
      <c r="J65" s="19"/>
    </row>
    <row r="66" spans="1:10" x14ac:dyDescent="0.75">
      <c r="A66" s="12">
        <v>1960</v>
      </c>
      <c r="B66" s="13" t="s">
        <v>515</v>
      </c>
      <c r="C66" s="3">
        <f>SUMIF('Raw Data 04-30-2020'!$A$6:$A$254,'Q2 TB-20'!A66,'Raw Data 04-30-2020'!C$6:C$254)</f>
        <v>0</v>
      </c>
      <c r="D66" s="4"/>
      <c r="E66" s="3">
        <f>SUMIF('Raw Data 04-30-2020'!$A$6:$A$254,'Q2 TB-20'!A66,'Raw Data 04-30-2020'!D$6:D$254)</f>
        <v>0</v>
      </c>
      <c r="F66" s="3"/>
      <c r="G66" s="3">
        <f t="shared" si="0"/>
        <v>0</v>
      </c>
      <c r="H66" s="109" t="s">
        <v>444</v>
      </c>
      <c r="J66" s="19"/>
    </row>
    <row r="67" spans="1:10" x14ac:dyDescent="0.75">
      <c r="A67" s="12">
        <v>1980</v>
      </c>
      <c r="B67" s="13" t="s">
        <v>516</v>
      </c>
      <c r="C67" s="3">
        <f>SUMIF('Raw Data 04-30-2020'!$A$6:$A$254,'Q2 TB-20'!A67,'Raw Data 04-30-2020'!C$6:C$254)</f>
        <v>0</v>
      </c>
      <c r="D67" s="4"/>
      <c r="E67" s="3">
        <f>SUMIF('Raw Data 04-30-2020'!$A$6:$A$254,'Q2 TB-20'!A67,'Raw Data 04-30-2020'!D$6:D$254)</f>
        <v>0</v>
      </c>
      <c r="F67" s="3"/>
      <c r="G67" s="3">
        <f t="shared" si="0"/>
        <v>0</v>
      </c>
      <c r="H67" s="109" t="s">
        <v>444</v>
      </c>
      <c r="J67" s="19"/>
    </row>
    <row r="68" spans="1:10" x14ac:dyDescent="0.75">
      <c r="A68" s="12">
        <v>2000</v>
      </c>
      <c r="B68" s="13" t="s">
        <v>517</v>
      </c>
      <c r="C68" s="3">
        <f>SUMIF('Raw Data 04-30-2020'!$A$6:$A$254,'Q2 TB-20'!A68,'Raw Data 04-30-2020'!C$6:C$254)</f>
        <v>0</v>
      </c>
      <c r="D68" s="4"/>
      <c r="E68" s="3">
        <f>SUMIF('Raw Data 04-30-2020'!$A$6:$A$254,'Q2 TB-20'!A68,'Raw Data 04-30-2020'!D$6:D$254)</f>
        <v>97074.86</v>
      </c>
      <c r="F68" s="3"/>
      <c r="G68" s="3">
        <f t="shared" si="0"/>
        <v>-97074.86</v>
      </c>
      <c r="H68" s="109" t="s">
        <v>177</v>
      </c>
      <c r="J68" s="19"/>
    </row>
    <row r="69" spans="1:10" x14ac:dyDescent="0.75">
      <c r="A69" s="12">
        <v>2010</v>
      </c>
      <c r="B69" s="13" t="s">
        <v>524</v>
      </c>
      <c r="C69" s="3">
        <f>SUMIF('Raw Data 04-30-2020'!$A$6:$A$254,'Q2 TB-20'!A69,'Raw Data 04-30-2020'!C$6:C$254)</f>
        <v>0</v>
      </c>
      <c r="D69" s="4"/>
      <c r="E69" s="3">
        <f>SUMIF('Raw Data 04-30-2020'!$A$6:$A$254,'Q2 TB-20'!A69,'Raw Data 04-30-2020'!D$6:D$254)</f>
        <v>0</v>
      </c>
      <c r="F69" s="3"/>
      <c r="G69" s="3">
        <f t="shared" si="0"/>
        <v>0</v>
      </c>
      <c r="H69" s="109" t="s">
        <v>177</v>
      </c>
      <c r="J69" s="19"/>
    </row>
    <row r="70" spans="1:10" x14ac:dyDescent="0.75">
      <c r="A70" s="12">
        <v>2020</v>
      </c>
      <c r="B70" s="13" t="s">
        <v>525</v>
      </c>
      <c r="C70" s="3">
        <f>SUMIF('Raw Data 04-30-2020'!$A$6:$A$254,'Q2 TB-20'!A70,'Raw Data 04-30-2020'!C$6:C$254)</f>
        <v>0</v>
      </c>
      <c r="D70" s="4"/>
      <c r="E70" s="3">
        <f>SUMIF('Raw Data 04-30-2020'!$A$6:$A$254,'Q2 TB-20'!A70,'Raw Data 04-30-2020'!D$6:D$254)</f>
        <v>0</v>
      </c>
      <c r="F70" s="3"/>
      <c r="G70" s="3">
        <f t="shared" si="0"/>
        <v>0</v>
      </c>
      <c r="H70" s="109" t="s">
        <v>177</v>
      </c>
      <c r="J70" s="19"/>
    </row>
    <row r="71" spans="1:10" x14ac:dyDescent="0.75">
      <c r="A71" s="12">
        <v>2101</v>
      </c>
      <c r="B71" s="13" t="s">
        <v>518</v>
      </c>
      <c r="C71" s="3">
        <f>SUMIF('Raw Data 04-30-2020'!$A$6:$A$254,'Q2 TB-20'!A71,'Raw Data 04-30-2020'!C$6:C$254)</f>
        <v>0</v>
      </c>
      <c r="D71" s="4"/>
      <c r="E71" s="3">
        <f>SUMIF('Raw Data 04-30-2020'!$A$6:$A$254,'Q2 TB-20'!A71,'Raw Data 04-30-2020'!D$6:D$254)</f>
        <v>0</v>
      </c>
      <c r="F71" s="3"/>
      <c r="G71" s="3">
        <f t="shared" si="0"/>
        <v>0</v>
      </c>
      <c r="H71" s="109" t="s">
        <v>178</v>
      </c>
      <c r="J71" s="19"/>
    </row>
    <row r="72" spans="1:10" x14ac:dyDescent="0.75">
      <c r="A72" s="12">
        <v>2102</v>
      </c>
      <c r="B72" s="13" t="s">
        <v>519</v>
      </c>
      <c r="C72" s="3">
        <f>SUMIF('Raw Data 04-30-2020'!$A$6:$A$254,'Q2 TB-20'!A72,'Raw Data 04-30-2020'!C$6:C$254)</f>
        <v>0</v>
      </c>
      <c r="D72" s="4"/>
      <c r="E72" s="3">
        <f>SUMIF('Raw Data 04-30-2020'!$A$6:$A$254,'Q2 TB-20'!A72,'Raw Data 04-30-2020'!D$6:D$254)</f>
        <v>12129.85</v>
      </c>
      <c r="F72" s="3"/>
      <c r="G72" s="3">
        <f t="shared" si="0"/>
        <v>-12129.85</v>
      </c>
      <c r="H72" s="109" t="s">
        <v>178</v>
      </c>
      <c r="J72" s="19"/>
    </row>
    <row r="73" spans="1:10" x14ac:dyDescent="0.75">
      <c r="A73" s="12">
        <v>2103</v>
      </c>
      <c r="B73" s="13" t="s">
        <v>520</v>
      </c>
      <c r="C73" s="3">
        <f>SUMIF('Raw Data 04-30-2020'!$A$6:$A$254,'Q2 TB-20'!A73,'Raw Data 04-30-2020'!C$6:C$254)</f>
        <v>0</v>
      </c>
      <c r="D73" s="4"/>
      <c r="E73" s="3">
        <f>SUMIF('Raw Data 04-30-2020'!$A$6:$A$254,'Q2 TB-20'!A73,'Raw Data 04-30-2020'!D$6:D$254)</f>
        <v>8469.4</v>
      </c>
      <c r="F73" s="3"/>
      <c r="G73" s="3">
        <f t="shared" ref="G73:G141" si="1">C73-E73</f>
        <v>-8469.4</v>
      </c>
      <c r="H73" s="109" t="s">
        <v>178</v>
      </c>
      <c r="J73" s="19"/>
    </row>
    <row r="74" spans="1:10" x14ac:dyDescent="0.75">
      <c r="A74" s="12">
        <v>2104</v>
      </c>
      <c r="B74" s="13" t="s">
        <v>521</v>
      </c>
      <c r="C74" s="3">
        <f>SUMIF('Raw Data 04-30-2020'!$A$6:$A$254,'Q2 TB-20'!A74,'Raw Data 04-30-2020'!C$6:C$254)</f>
        <v>0</v>
      </c>
      <c r="D74" s="4"/>
      <c r="E74" s="3">
        <f>SUMIF('Raw Data 04-30-2020'!$A$6:$A$254,'Q2 TB-20'!A74,'Raw Data 04-30-2020'!D$6:D$254)</f>
        <v>6083.35</v>
      </c>
      <c r="F74" s="3"/>
      <c r="G74" s="3">
        <f t="shared" si="1"/>
        <v>-6083.35</v>
      </c>
      <c r="H74" s="109" t="s">
        <v>178</v>
      </c>
      <c r="J74" s="19"/>
    </row>
    <row r="75" spans="1:10" x14ac:dyDescent="0.75">
      <c r="A75" s="12">
        <v>2105</v>
      </c>
      <c r="B75" s="13" t="s">
        <v>522</v>
      </c>
      <c r="C75" s="3">
        <f>SUMIF('Raw Data 04-30-2020'!$A$6:$A$254,'Q2 TB-20'!A75,'Raw Data 04-30-2020'!C$6:C$254)</f>
        <v>0</v>
      </c>
      <c r="D75" s="4"/>
      <c r="E75" s="3">
        <f>SUMIF('Raw Data 04-30-2020'!$A$6:$A$254,'Q2 TB-20'!A75,'Raw Data 04-30-2020'!D$6:D$254)</f>
        <v>0</v>
      </c>
      <c r="F75" s="3"/>
      <c r="G75" s="3">
        <f t="shared" si="1"/>
        <v>0</v>
      </c>
      <c r="H75" s="109" t="s">
        <v>178</v>
      </c>
      <c r="J75" s="19"/>
    </row>
    <row r="76" spans="1:10" x14ac:dyDescent="0.75">
      <c r="A76" s="12">
        <v>2106</v>
      </c>
      <c r="B76" s="13" t="s">
        <v>546</v>
      </c>
      <c r="C76" s="3">
        <f>SUMIF('Raw Data 04-30-2020'!$A$6:$A$254,'Q2 TB-20'!A76,'Raw Data 04-30-2020'!C$6:C$254)</f>
        <v>0</v>
      </c>
      <c r="D76" s="4"/>
      <c r="E76" s="3">
        <f>SUMIF('Raw Data 04-30-2020'!$A$6:$A$254,'Q2 TB-20'!A76,'Raw Data 04-30-2020'!D$6:D$254)</f>
        <v>6674.12</v>
      </c>
      <c r="F76" s="3"/>
      <c r="G76" s="3">
        <f t="shared" si="1"/>
        <v>-6674.12</v>
      </c>
      <c r="H76" s="109" t="s">
        <v>178</v>
      </c>
      <c r="J76" s="19"/>
    </row>
    <row r="77" spans="1:10" x14ac:dyDescent="0.75">
      <c r="A77" s="12">
        <v>2210</v>
      </c>
      <c r="B77" s="13" t="s">
        <v>526</v>
      </c>
      <c r="C77" s="3">
        <f>SUMIF('Raw Data 04-30-2020'!$A$6:$A$254,'Q2 TB-20'!A77,'Raw Data 04-30-2020'!C$6:C$254)</f>
        <v>0</v>
      </c>
      <c r="D77" s="4"/>
      <c r="E77" s="3">
        <f>SUMIF('Raw Data 04-30-2020'!$A$6:$A$254,'Q2 TB-20'!A77,'Raw Data 04-30-2020'!D$6:D$254)</f>
        <v>687189.48</v>
      </c>
      <c r="F77" s="3"/>
      <c r="G77" s="3">
        <f t="shared" si="1"/>
        <v>-687189.48</v>
      </c>
      <c r="H77" s="109" t="s">
        <v>446</v>
      </c>
      <c r="J77" s="19"/>
    </row>
    <row r="78" spans="1:10" s="89" customFormat="1" x14ac:dyDescent="0.75">
      <c r="A78" s="12" t="s">
        <v>93</v>
      </c>
      <c r="B78" s="13" t="s">
        <v>1005</v>
      </c>
      <c r="C78" s="3">
        <f>SUMIF('Raw Data 04-30-2020'!$A$6:$A$254,'Q2 TB-20'!A78,'Raw Data 04-30-2020'!C$6:C$254)</f>
        <v>0</v>
      </c>
      <c r="D78" s="4"/>
      <c r="E78" s="3">
        <f>SUMIF('Raw Data 04-30-2020'!$A$6:$A$254,'Q2 TB-20'!A78,'Raw Data 04-30-2020'!D$6:D$254)</f>
        <v>10853.33</v>
      </c>
      <c r="F78" s="3"/>
      <c r="G78" s="3">
        <f t="shared" ref="G78" si="2">C78-E78</f>
        <v>-10853.33</v>
      </c>
      <c r="H78" s="109" t="s">
        <v>178</v>
      </c>
      <c r="J78" s="19"/>
    </row>
    <row r="79" spans="1:10" x14ac:dyDescent="0.75">
      <c r="A79" s="12">
        <v>2231</v>
      </c>
      <c r="B79" s="13" t="s">
        <v>534</v>
      </c>
      <c r="C79" s="3">
        <f>SUMIF('Raw Data 04-30-2020'!$A$6:$A$254,'Q2 TB-20'!A79,'Raw Data 04-30-2020'!C$6:C$254)</f>
        <v>0</v>
      </c>
      <c r="D79" s="4"/>
      <c r="E79" s="3">
        <f>SUMIF('Raw Data 04-30-2020'!$A$6:$A$254,'Q2 TB-20'!A79,'Raw Data 04-30-2020'!D$6:D$254)</f>
        <v>0</v>
      </c>
      <c r="F79" s="3"/>
      <c r="G79" s="3">
        <f t="shared" si="1"/>
        <v>0</v>
      </c>
      <c r="H79" s="109" t="s">
        <v>178</v>
      </c>
      <c r="J79" s="19"/>
    </row>
    <row r="80" spans="1:10" x14ac:dyDescent="0.75">
      <c r="A80" s="12">
        <v>2232</v>
      </c>
      <c r="B80" s="13" t="s">
        <v>535</v>
      </c>
      <c r="C80" s="3">
        <f>SUMIF('Raw Data 04-30-2020'!$A$6:$A$254,'Q2 TB-20'!A80,'Raw Data 04-30-2020'!C$6:C$254)</f>
        <v>0</v>
      </c>
      <c r="D80" s="4"/>
      <c r="E80" s="3">
        <f>SUMIF('Raw Data 04-30-2020'!$A$6:$A$254,'Q2 TB-20'!A80,'Raw Data 04-30-2020'!D$6:D$254)</f>
        <v>0</v>
      </c>
      <c r="F80" s="3"/>
      <c r="G80" s="3">
        <f t="shared" si="1"/>
        <v>0</v>
      </c>
      <c r="H80" s="109" t="s">
        <v>178</v>
      </c>
      <c r="J80" s="19"/>
    </row>
    <row r="81" spans="1:10" x14ac:dyDescent="0.75">
      <c r="A81" s="12">
        <v>2233</v>
      </c>
      <c r="B81" s="13" t="s">
        <v>537</v>
      </c>
      <c r="C81" s="3">
        <f>SUMIF('Raw Data 04-30-2020'!$A$6:$A$254,'Q2 TB-20'!A81,'Raw Data 04-30-2020'!C$6:C$254)</f>
        <v>0</v>
      </c>
      <c r="D81" s="4"/>
      <c r="E81" s="3">
        <f>SUMIF('Raw Data 04-30-2020'!$A$6:$A$254,'Q2 TB-20'!A81,'Raw Data 04-30-2020'!D$6:D$254)</f>
        <v>0</v>
      </c>
      <c r="F81" s="3"/>
      <c r="G81" s="3">
        <f t="shared" si="1"/>
        <v>0</v>
      </c>
      <c r="H81" s="109" t="s">
        <v>178</v>
      </c>
      <c r="J81" s="19"/>
    </row>
    <row r="82" spans="1:10" x14ac:dyDescent="0.75">
      <c r="A82" s="12">
        <v>2235</v>
      </c>
      <c r="B82" s="13" t="s">
        <v>543</v>
      </c>
      <c r="C82" s="3">
        <f>SUMIF('Raw Data 04-30-2020'!$A$6:$A$254,'Q2 TB-20'!A82,'Raw Data 04-30-2020'!C$6:C$254)</f>
        <v>0</v>
      </c>
      <c r="D82" s="4"/>
      <c r="E82" s="3">
        <f>SUMIF('Raw Data 04-30-2020'!$A$6:$A$254,'Q2 TB-20'!A82,'Raw Data 04-30-2020'!D$6:D$254)</f>
        <v>0</v>
      </c>
      <c r="F82" s="3"/>
      <c r="G82" s="3">
        <f t="shared" si="1"/>
        <v>0</v>
      </c>
      <c r="H82" s="109" t="s">
        <v>178</v>
      </c>
      <c r="J82" s="19"/>
    </row>
    <row r="83" spans="1:10" x14ac:dyDescent="0.75">
      <c r="A83" s="12">
        <v>2236</v>
      </c>
      <c r="B83" s="13" t="s">
        <v>523</v>
      </c>
      <c r="C83" s="3">
        <f>SUMIF('Raw Data 04-30-2020'!$A$6:$A$254,'Q2 TB-20'!A83,'Raw Data 04-30-2020'!C$6:C$254)</f>
        <v>0</v>
      </c>
      <c r="D83" s="4"/>
      <c r="E83" s="3">
        <f>SUMIF('Raw Data 04-30-2020'!$A$6:$A$254,'Q2 TB-20'!A83,'Raw Data 04-30-2020'!D$6:D$254)</f>
        <v>0</v>
      </c>
      <c r="F83" s="3"/>
      <c r="G83" s="3">
        <f t="shared" si="1"/>
        <v>0</v>
      </c>
      <c r="H83" s="109" t="s">
        <v>178</v>
      </c>
      <c r="J83" s="19"/>
    </row>
    <row r="84" spans="1:10" x14ac:dyDescent="0.75">
      <c r="A84" s="12">
        <v>2250</v>
      </c>
      <c r="B84" s="13" t="s">
        <v>536</v>
      </c>
      <c r="C84" s="3">
        <f>SUMIF('Raw Data 04-30-2020'!$A$6:$A$254,'Q2 TB-20'!A84,'Raw Data 04-30-2020'!C$6:C$254)</f>
        <v>0</v>
      </c>
      <c r="D84" s="4"/>
      <c r="E84" s="3">
        <f>SUMIF('Raw Data 04-30-2020'!$A$6:$A$254,'Q2 TB-20'!A84,'Raw Data 04-30-2020'!D$6:D$254)</f>
        <v>0</v>
      </c>
      <c r="F84" s="3"/>
      <c r="G84" s="3">
        <f t="shared" si="1"/>
        <v>0</v>
      </c>
      <c r="H84" s="109" t="s">
        <v>178</v>
      </c>
      <c r="J84" s="19"/>
    </row>
    <row r="85" spans="1:10" x14ac:dyDescent="0.75">
      <c r="A85" s="12">
        <v>2270</v>
      </c>
      <c r="B85" s="13" t="s">
        <v>544</v>
      </c>
      <c r="C85" s="3">
        <f>SUMIF('Raw Data 04-30-2020'!$A$6:$A$254,'Q2 TB-20'!A85,'Raw Data 04-30-2020'!C$6:C$254)</f>
        <v>0</v>
      </c>
      <c r="D85" s="4"/>
      <c r="E85" s="3">
        <f>SUMIF('Raw Data 04-30-2020'!$A$6:$A$254,'Q2 TB-20'!A85,'Raw Data 04-30-2020'!D$6:D$254)</f>
        <v>0</v>
      </c>
      <c r="F85" s="3"/>
      <c r="G85" s="3">
        <f t="shared" si="1"/>
        <v>0</v>
      </c>
      <c r="H85" s="109" t="s">
        <v>178</v>
      </c>
      <c r="J85" s="19"/>
    </row>
    <row r="86" spans="1:10" x14ac:dyDescent="0.75">
      <c r="A86" s="12">
        <v>2280</v>
      </c>
      <c r="B86" s="13" t="s">
        <v>541</v>
      </c>
      <c r="C86" s="3">
        <f>SUMIF('Raw Data 04-30-2020'!$A$6:$A$254,'Q2 TB-20'!A86,'Raw Data 04-30-2020'!C$6:C$254)</f>
        <v>0</v>
      </c>
      <c r="D86" s="4"/>
      <c r="E86" s="3">
        <f>SUMIF('Raw Data 04-30-2020'!$A$6:$A$254,'Q2 TB-20'!A86,'Raw Data 04-30-2020'!D$6:D$254)</f>
        <v>0</v>
      </c>
      <c r="F86" s="3"/>
      <c r="G86" s="3">
        <f t="shared" si="1"/>
        <v>0</v>
      </c>
      <c r="H86" s="109" t="s">
        <v>178</v>
      </c>
      <c r="J86" s="19"/>
    </row>
    <row r="87" spans="1:10" x14ac:dyDescent="0.75">
      <c r="A87" s="12">
        <v>2285</v>
      </c>
      <c r="B87" s="13" t="s">
        <v>545</v>
      </c>
      <c r="C87" s="3">
        <f>SUMIF('Raw Data 04-30-2020'!$A$6:$A$254,'Q2 TB-20'!A87,'Raw Data 04-30-2020'!C$6:C$254)</f>
        <v>0</v>
      </c>
      <c r="D87" s="4"/>
      <c r="E87" s="3">
        <f>SUMIF('Raw Data 04-30-2020'!$A$6:$A$254,'Q2 TB-20'!A87,'Raw Data 04-30-2020'!D$6:D$254)</f>
        <v>0</v>
      </c>
      <c r="F87" s="3"/>
      <c r="G87" s="3">
        <f t="shared" si="1"/>
        <v>0</v>
      </c>
      <c r="H87" s="109" t="s">
        <v>178</v>
      </c>
      <c r="J87" s="19"/>
    </row>
    <row r="88" spans="1:10" x14ac:dyDescent="0.75">
      <c r="A88" s="12">
        <v>2290</v>
      </c>
      <c r="B88" s="13" t="s">
        <v>540</v>
      </c>
      <c r="C88" s="3">
        <f>SUMIF('Raw Data 04-30-2020'!$A$6:$A$254,'Q2 TB-20'!A88,'Raw Data 04-30-2020'!C$6:C$254)</f>
        <v>0</v>
      </c>
      <c r="D88" s="4"/>
      <c r="E88" s="3">
        <f>SUMIF('Raw Data 04-30-2020'!$A$6:$A$254,'Q2 TB-20'!A88,'Raw Data 04-30-2020'!D$6:D$254)</f>
        <v>40000</v>
      </c>
      <c r="F88" s="3"/>
      <c r="G88" s="3">
        <f t="shared" si="1"/>
        <v>-40000</v>
      </c>
      <c r="H88" s="109" t="s">
        <v>178</v>
      </c>
      <c r="J88" s="19"/>
    </row>
    <row r="89" spans="1:10" x14ac:dyDescent="0.75">
      <c r="A89" s="12">
        <v>2305</v>
      </c>
      <c r="B89" s="13" t="s">
        <v>542</v>
      </c>
      <c r="C89" s="3">
        <f>SUMIF('Raw Data 04-30-2020'!$A$6:$A$254,'Q2 TB-20'!A89,'Raw Data 04-30-2020'!C$6:C$254)</f>
        <v>0</v>
      </c>
      <c r="D89" s="4"/>
      <c r="E89" s="3">
        <f>SUMIF('Raw Data 04-30-2020'!$A$6:$A$254,'Q2 TB-20'!A89,'Raw Data 04-30-2020'!D$6:D$254)</f>
        <v>1221957.72</v>
      </c>
      <c r="F89" s="3"/>
      <c r="G89" s="3">
        <f t="shared" si="1"/>
        <v>-1221957.72</v>
      </c>
      <c r="H89" s="109" t="s">
        <v>181</v>
      </c>
      <c r="J89" s="19"/>
    </row>
    <row r="90" spans="1:10" x14ac:dyDescent="0.75">
      <c r="A90" s="12">
        <v>2310</v>
      </c>
      <c r="B90" s="13" t="s">
        <v>538</v>
      </c>
      <c r="C90" s="3">
        <f>SUMIF('Raw Data 04-30-2020'!$A$6:$A$254,'Q2 TB-20'!A90,'Raw Data 04-30-2020'!C$6:C$254)</f>
        <v>0</v>
      </c>
      <c r="D90" s="4"/>
      <c r="E90" s="3">
        <f>SUMIF('Raw Data 04-30-2020'!$A$6:$A$254,'Q2 TB-20'!A90,'Raw Data 04-30-2020'!D$6:D$254)</f>
        <v>35000</v>
      </c>
      <c r="F90" s="3"/>
      <c r="G90" s="3">
        <f t="shared" si="1"/>
        <v>-35000</v>
      </c>
      <c r="H90" s="109" t="s">
        <v>800</v>
      </c>
      <c r="J90" s="19"/>
    </row>
    <row r="91" spans="1:10" x14ac:dyDescent="0.75">
      <c r="A91" s="12">
        <v>2320</v>
      </c>
      <c r="B91" s="13" t="s">
        <v>539</v>
      </c>
      <c r="C91" s="3">
        <f>SUMIF('Raw Data 04-30-2020'!$A$6:$A$254,'Q2 TB-20'!A91,'Raw Data 04-30-2020'!C$6:C$254)</f>
        <v>0</v>
      </c>
      <c r="D91" s="4"/>
      <c r="E91" s="3">
        <f>SUMIF('Raw Data 04-30-2020'!$A$6:$A$254,'Q2 TB-20'!A91,'Raw Data 04-30-2020'!D$6:D$254)</f>
        <v>0</v>
      </c>
      <c r="F91" s="3"/>
      <c r="G91" s="3">
        <f t="shared" si="1"/>
        <v>0</v>
      </c>
      <c r="H91" s="109" t="s">
        <v>178</v>
      </c>
      <c r="J91" s="19"/>
    </row>
    <row r="92" spans="1:10" x14ac:dyDescent="0.75">
      <c r="A92" s="12">
        <v>2400</v>
      </c>
      <c r="B92" s="13" t="s">
        <v>527</v>
      </c>
      <c r="C92" s="3">
        <f>SUMIF('Raw Data 04-30-2020'!$A$6:$A$254,'Q2 TB-20'!A92,'Raw Data 04-30-2020'!C$6:C$254)</f>
        <v>0</v>
      </c>
      <c r="D92" s="4"/>
      <c r="E92" s="3">
        <f>SUMIF('Raw Data 04-30-2020'!$A$6:$A$254,'Q2 TB-20'!A92,'Raw Data 04-30-2020'!D$6:D$254)</f>
        <v>117691.94</v>
      </c>
      <c r="F92" s="3"/>
      <c r="G92" s="3">
        <f t="shared" si="1"/>
        <v>-117691.94</v>
      </c>
      <c r="H92" s="109" t="s">
        <v>180</v>
      </c>
      <c r="J92" s="19"/>
    </row>
    <row r="93" spans="1:10" x14ac:dyDescent="0.75">
      <c r="A93" s="12">
        <v>2405</v>
      </c>
      <c r="B93" s="13" t="s">
        <v>528</v>
      </c>
      <c r="C93" s="3">
        <f>SUMIF('Raw Data 04-30-2020'!$A$6:$A$254,'Q2 TB-20'!A93,'Raw Data 04-30-2020'!C$6:C$254)</f>
        <v>0</v>
      </c>
      <c r="D93" s="4"/>
      <c r="E93" s="3">
        <f>SUMIF('Raw Data 04-30-2020'!$A$6:$A$254,'Q2 TB-20'!A93,'Raw Data 04-30-2020'!D$6:D$254)</f>
        <v>46527.63</v>
      </c>
      <c r="F93" s="3"/>
      <c r="G93" s="3">
        <f t="shared" si="1"/>
        <v>-46527.63</v>
      </c>
      <c r="H93" s="109" t="s">
        <v>180</v>
      </c>
      <c r="J93" s="19"/>
    </row>
    <row r="94" spans="1:10" x14ac:dyDescent="0.75">
      <c r="A94" s="12">
        <v>2410</v>
      </c>
      <c r="B94" s="13" t="s">
        <v>529</v>
      </c>
      <c r="C94" s="3">
        <f>SUMIF('Raw Data 04-30-2020'!$A$6:$A$254,'Q2 TB-20'!A94,'Raw Data 04-30-2020'!C$6:C$254)</f>
        <v>0</v>
      </c>
      <c r="D94" s="4"/>
      <c r="E94" s="3">
        <f>SUMIF('Raw Data 04-30-2020'!$A$6:$A$254,'Q2 TB-20'!A94,'Raw Data 04-30-2020'!D$6:D$254)</f>
        <v>0</v>
      </c>
      <c r="F94" s="3"/>
      <c r="G94" s="3">
        <f t="shared" si="1"/>
        <v>0</v>
      </c>
      <c r="H94" s="109" t="s">
        <v>180</v>
      </c>
      <c r="J94" s="19"/>
    </row>
    <row r="95" spans="1:10" x14ac:dyDescent="0.75">
      <c r="A95" s="12">
        <v>2415</v>
      </c>
      <c r="B95" s="13" t="s">
        <v>530</v>
      </c>
      <c r="C95" s="3">
        <f>SUMIF('Raw Data 04-30-2020'!$A$6:$A$254,'Q2 TB-20'!A95,'Raw Data 04-30-2020'!C$6:C$254)</f>
        <v>0</v>
      </c>
      <c r="D95" s="4"/>
      <c r="E95" s="3">
        <f>SUMIF('Raw Data 04-30-2020'!$A$6:$A$254,'Q2 TB-20'!A95,'Raw Data 04-30-2020'!D$6:D$254)</f>
        <v>0</v>
      </c>
      <c r="F95" s="3"/>
      <c r="G95" s="3">
        <f t="shared" si="1"/>
        <v>0</v>
      </c>
      <c r="H95" s="109" t="s">
        <v>180</v>
      </c>
      <c r="J95" s="19"/>
    </row>
    <row r="96" spans="1:10" x14ac:dyDescent="0.75">
      <c r="A96" s="12">
        <v>2420</v>
      </c>
      <c r="B96" s="13" t="s">
        <v>531</v>
      </c>
      <c r="C96" s="3">
        <f>SUMIF('Raw Data 04-30-2020'!$A$6:$A$254,'Q2 TB-20'!A96,'Raw Data 04-30-2020'!C$6:C$254)</f>
        <v>0</v>
      </c>
      <c r="D96" s="4"/>
      <c r="E96" s="3">
        <f>SUMIF('Raw Data 04-30-2020'!$A$6:$A$254,'Q2 TB-20'!A96,'Raw Data 04-30-2020'!D$6:D$254)</f>
        <v>0</v>
      </c>
      <c r="F96" s="3"/>
      <c r="G96" s="3">
        <f t="shared" si="1"/>
        <v>0</v>
      </c>
      <c r="H96" s="109" t="s">
        <v>180</v>
      </c>
      <c r="J96" s="19"/>
    </row>
    <row r="97" spans="1:10" x14ac:dyDescent="0.75">
      <c r="A97" s="12">
        <v>2425</v>
      </c>
      <c r="B97" s="13" t="s">
        <v>532</v>
      </c>
      <c r="C97" s="3">
        <f>SUMIF('Raw Data 04-30-2020'!$A$6:$A$254,'Q2 TB-20'!A97,'Raw Data 04-30-2020'!C$6:C$254)</f>
        <v>0</v>
      </c>
      <c r="D97" s="4"/>
      <c r="E97" s="3">
        <f>SUMIF('Raw Data 04-30-2020'!$A$6:$A$254,'Q2 TB-20'!A97,'Raw Data 04-30-2020'!D$6:D$254)</f>
        <v>0</v>
      </c>
      <c r="F97" s="3"/>
      <c r="G97" s="3">
        <f t="shared" si="1"/>
        <v>0</v>
      </c>
      <c r="H97" s="109" t="s">
        <v>180</v>
      </c>
      <c r="J97" s="19"/>
    </row>
    <row r="98" spans="1:10" x14ac:dyDescent="0.75">
      <c r="A98" s="12">
        <v>2430</v>
      </c>
      <c r="B98" s="13" t="s">
        <v>533</v>
      </c>
      <c r="C98" s="3">
        <f>SUMIF('Raw Data 04-30-2020'!$A$6:$A$254,'Q2 TB-20'!A98,'Raw Data 04-30-2020'!C$6:C$254)</f>
        <v>0</v>
      </c>
      <c r="D98" s="4"/>
      <c r="E98" s="3">
        <f>SUMIF('Raw Data 04-30-2020'!$A$6:$A$254,'Q2 TB-20'!A98,'Raw Data 04-30-2020'!D$6:D$254)</f>
        <v>0</v>
      </c>
      <c r="F98" s="3"/>
      <c r="G98" s="3">
        <f t="shared" si="1"/>
        <v>0</v>
      </c>
      <c r="H98" s="109" t="s">
        <v>180</v>
      </c>
      <c r="J98" s="19"/>
    </row>
    <row r="99" spans="1:10" x14ac:dyDescent="0.75">
      <c r="A99" s="12" t="s">
        <v>952</v>
      </c>
      <c r="B99" s="13" t="s">
        <v>953</v>
      </c>
      <c r="C99" s="3">
        <f>SUMIF('Raw Data 04-30-2020'!$A$6:$A$254,'Q2 TB-20'!A99,'Raw Data 04-30-2020'!C$6:C$254)</f>
        <v>0</v>
      </c>
      <c r="D99" s="4"/>
      <c r="E99" s="3">
        <f>SUMIF('Raw Data 04-30-2020'!$A$6:$A$254,'Q2 TB-20'!A99,'Raw Data 04-30-2020'!D$6:D$254)</f>
        <v>50911</v>
      </c>
      <c r="F99" s="3"/>
      <c r="G99" s="3">
        <f t="shared" si="1"/>
        <v>-50911</v>
      </c>
      <c r="H99" s="109" t="s">
        <v>954</v>
      </c>
      <c r="J99" s="19"/>
    </row>
    <row r="100" spans="1:10" x14ac:dyDescent="0.75">
      <c r="A100" s="12">
        <v>2705</v>
      </c>
      <c r="B100" s="13" t="s">
        <v>547</v>
      </c>
      <c r="C100" s="3">
        <f>SUMIF('Raw Data 04-30-2020'!$A$6:$A$254,'Q2 TB-20'!A100,'Raw Data 04-30-2020'!C$6:C$254)</f>
        <v>0</v>
      </c>
      <c r="D100" s="4"/>
      <c r="E100" s="3">
        <f>SUMIF('Raw Data 04-30-2020'!$A$6:$A$254,'Q2 TB-20'!A100,'Raw Data 04-30-2020'!D$6:D$254)</f>
        <v>50000</v>
      </c>
      <c r="F100" s="3"/>
      <c r="G100" s="3">
        <f t="shared" si="1"/>
        <v>-50000</v>
      </c>
      <c r="H100" s="109" t="s">
        <v>800</v>
      </c>
      <c r="J100" s="19"/>
    </row>
    <row r="101" spans="1:10" x14ac:dyDescent="0.75">
      <c r="A101" s="12">
        <v>2710</v>
      </c>
      <c r="B101" s="13" t="s">
        <v>548</v>
      </c>
      <c r="C101" s="3">
        <f>SUMIF('Raw Data 04-30-2020'!$A$6:$A$254,'Q2 TB-20'!A101,'Raw Data 04-30-2020'!C$6:C$254)</f>
        <v>0</v>
      </c>
      <c r="D101" s="4"/>
      <c r="E101" s="3">
        <f>SUMIF('Raw Data 04-30-2020'!$A$6:$A$254,'Q2 TB-20'!A101,'Raw Data 04-30-2020'!D$6:D$254)</f>
        <v>15000</v>
      </c>
      <c r="F101" s="3"/>
      <c r="G101" s="3">
        <f t="shared" si="1"/>
        <v>-15000</v>
      </c>
      <c r="H101" s="109" t="s">
        <v>800</v>
      </c>
      <c r="J101" s="19"/>
    </row>
    <row r="102" spans="1:10" x14ac:dyDescent="0.75">
      <c r="A102" s="12">
        <v>2715</v>
      </c>
      <c r="B102" s="13" t="s">
        <v>549</v>
      </c>
      <c r="C102" s="3">
        <f>SUMIF('Raw Data 04-30-2020'!$A$6:$A$254,'Q2 TB-20'!A102,'Raw Data 04-30-2020'!C$6:C$254)</f>
        <v>0</v>
      </c>
      <c r="D102" s="4"/>
      <c r="E102" s="3">
        <f>SUMIF('Raw Data 04-30-2020'!$A$6:$A$254,'Q2 TB-20'!A102,'Raw Data 04-30-2020'!D$6:D$254)</f>
        <v>25000</v>
      </c>
      <c r="F102" s="3"/>
      <c r="G102" s="3">
        <f t="shared" si="1"/>
        <v>-25000</v>
      </c>
      <c r="H102" s="109" t="s">
        <v>800</v>
      </c>
      <c r="J102" s="19"/>
    </row>
    <row r="103" spans="1:10" x14ac:dyDescent="0.75">
      <c r="A103" s="12">
        <v>2720</v>
      </c>
      <c r="B103" s="13" t="s">
        <v>550</v>
      </c>
      <c r="C103" s="3">
        <f>SUMIF('Raw Data 04-30-2020'!$A$6:$A$254,'Q2 TB-20'!A103,'Raw Data 04-30-2020'!C$6:C$254)</f>
        <v>0</v>
      </c>
      <c r="D103" s="4"/>
      <c r="E103" s="3">
        <f>SUMIF('Raw Data 04-30-2020'!$A$6:$A$254,'Q2 TB-20'!A103,'Raw Data 04-30-2020'!D$6:D$254)</f>
        <v>50000</v>
      </c>
      <c r="F103" s="3"/>
      <c r="G103" s="3">
        <f t="shared" si="1"/>
        <v>-50000</v>
      </c>
      <c r="H103" s="109" t="s">
        <v>800</v>
      </c>
      <c r="J103" s="19"/>
    </row>
    <row r="104" spans="1:10" x14ac:dyDescent="0.75">
      <c r="A104" s="12">
        <v>2725</v>
      </c>
      <c r="B104" s="13" t="s">
        <v>551</v>
      </c>
      <c r="C104" s="3">
        <f>SUMIF('Raw Data 04-30-2020'!$A$6:$A$254,'Q2 TB-20'!A104,'Raw Data 04-30-2020'!C$6:C$254)</f>
        <v>0</v>
      </c>
      <c r="D104" s="4"/>
      <c r="E104" s="3">
        <f>SUMIF('Raw Data 04-30-2020'!$A$6:$A$254,'Q2 TB-20'!A104,'Raw Data 04-30-2020'!D$6:D$254)</f>
        <v>60000</v>
      </c>
      <c r="F104" s="3"/>
      <c r="G104" s="3">
        <f t="shared" si="1"/>
        <v>-60000</v>
      </c>
      <c r="H104" s="109" t="s">
        <v>800</v>
      </c>
      <c r="J104" s="19"/>
    </row>
    <row r="105" spans="1:10" x14ac:dyDescent="0.75">
      <c r="A105" s="12">
        <v>2730</v>
      </c>
      <c r="B105" s="13" t="s">
        <v>552</v>
      </c>
      <c r="C105" s="3">
        <f>SUMIF('Raw Data 04-30-2020'!$A$6:$A$254,'Q2 TB-20'!A105,'Raw Data 04-30-2020'!C$6:C$254)</f>
        <v>0</v>
      </c>
      <c r="D105" s="4"/>
      <c r="E105" s="3">
        <f>SUMIF('Raw Data 04-30-2020'!$A$6:$A$254,'Q2 TB-20'!A105,'Raw Data 04-30-2020'!D$6:D$254)</f>
        <v>108527</v>
      </c>
      <c r="F105" s="3"/>
      <c r="G105" s="3">
        <f t="shared" si="1"/>
        <v>-108527</v>
      </c>
      <c r="H105" s="109" t="s">
        <v>800</v>
      </c>
      <c r="J105" s="19"/>
    </row>
    <row r="106" spans="1:10" x14ac:dyDescent="0.75">
      <c r="A106" s="12">
        <v>2735</v>
      </c>
      <c r="B106" s="13" t="s">
        <v>553</v>
      </c>
      <c r="C106" s="3">
        <f>SUMIF('Raw Data 04-30-2020'!$A$6:$A$254,'Q2 TB-20'!A106,'Raw Data 04-30-2020'!C$6:C$254)</f>
        <v>0</v>
      </c>
      <c r="D106" s="4"/>
      <c r="E106" s="3">
        <f>SUMIF('Raw Data 04-30-2020'!$A$6:$A$254,'Q2 TB-20'!A106,'Raw Data 04-30-2020'!D$6:D$254)</f>
        <v>150000</v>
      </c>
      <c r="F106" s="3"/>
      <c r="G106" s="3">
        <f t="shared" si="1"/>
        <v>-150000</v>
      </c>
      <c r="H106" s="109" t="s">
        <v>800</v>
      </c>
      <c r="J106" s="19"/>
    </row>
    <row r="107" spans="1:10" x14ac:dyDescent="0.75">
      <c r="A107" s="12">
        <v>2740</v>
      </c>
      <c r="B107" s="13" t="s">
        <v>554</v>
      </c>
      <c r="C107" s="3">
        <f>SUMIF('Raw Data 04-30-2020'!$A$6:$A$254,'Q2 TB-20'!A107,'Raw Data 04-30-2020'!C$6:C$254)</f>
        <v>0</v>
      </c>
      <c r="D107" s="4"/>
      <c r="E107" s="3">
        <f>SUMIF('Raw Data 04-30-2020'!$A$6:$A$254,'Q2 TB-20'!A107,'Raw Data 04-30-2020'!D$6:D$254)</f>
        <v>40000</v>
      </c>
      <c r="F107" s="3"/>
      <c r="G107" s="3">
        <f t="shared" si="1"/>
        <v>-40000</v>
      </c>
      <c r="H107" s="109" t="s">
        <v>800</v>
      </c>
      <c r="J107" s="19"/>
    </row>
    <row r="108" spans="1:10" x14ac:dyDescent="0.75">
      <c r="A108" s="12">
        <v>2745</v>
      </c>
      <c r="B108" s="13" t="s">
        <v>939</v>
      </c>
      <c r="C108" s="3">
        <f>SUMIF('Raw Data 04-30-2020'!$A$6:$A$254,'Q2 TB-20'!A108,'Raw Data 04-30-2020'!C$6:C$254)</f>
        <v>0</v>
      </c>
      <c r="D108" s="4"/>
      <c r="E108" s="3">
        <f>SUMIF('Raw Data 04-30-2020'!$A$6:$A$254,'Q2 TB-20'!A108,'Raw Data 04-30-2020'!D$6:D$254)</f>
        <v>158231.67999999999</v>
      </c>
      <c r="F108" s="3"/>
      <c r="G108" s="3">
        <f t="shared" si="1"/>
        <v>-158231.67999999999</v>
      </c>
      <c r="H108" s="109" t="s">
        <v>182</v>
      </c>
      <c r="J108" s="19"/>
    </row>
    <row r="109" spans="1:10" x14ac:dyDescent="0.75">
      <c r="A109" s="12">
        <v>2750</v>
      </c>
      <c r="B109" s="13" t="s">
        <v>555</v>
      </c>
      <c r="C109" s="3">
        <f>SUMIF('Raw Data 04-30-2020'!$A$6:$A$254,'Q2 TB-20'!A109,'Raw Data 04-30-2020'!C$6:C$254)</f>
        <v>0</v>
      </c>
      <c r="D109" s="4"/>
      <c r="E109" s="3">
        <f>SUMIF('Raw Data 04-30-2020'!$A$6:$A$254,'Q2 TB-20'!A109,'Raw Data 04-30-2020'!D$6:D$254)</f>
        <v>50000</v>
      </c>
      <c r="F109" s="3"/>
      <c r="G109" s="3">
        <f t="shared" si="1"/>
        <v>-50000</v>
      </c>
      <c r="H109" s="109" t="s">
        <v>800</v>
      </c>
      <c r="J109" s="19"/>
    </row>
    <row r="110" spans="1:10" x14ac:dyDescent="0.75">
      <c r="A110" s="12">
        <v>2755</v>
      </c>
      <c r="B110" s="13" t="s">
        <v>556</v>
      </c>
      <c r="C110" s="3">
        <f>SUMIF('Raw Data 04-30-2020'!$A$6:$A$254,'Q2 TB-20'!A110,'Raw Data 04-30-2020'!C$6:C$254)</f>
        <v>0</v>
      </c>
      <c r="D110" s="4"/>
      <c r="E110" s="3">
        <f>SUMIF('Raw Data 04-30-2020'!$A$6:$A$254,'Q2 TB-20'!A110,'Raw Data 04-30-2020'!D$6:D$254)</f>
        <v>25000</v>
      </c>
      <c r="F110" s="3"/>
      <c r="G110" s="3">
        <f t="shared" si="1"/>
        <v>-25000</v>
      </c>
      <c r="H110" s="109" t="s">
        <v>800</v>
      </c>
      <c r="J110" s="19"/>
    </row>
    <row r="111" spans="1:10" x14ac:dyDescent="0.75">
      <c r="A111" s="12">
        <v>2760</v>
      </c>
      <c r="B111" s="13" t="s">
        <v>557</v>
      </c>
      <c r="C111" s="3">
        <f>SUMIF('Raw Data 04-30-2020'!$A$6:$A$254,'Q2 TB-20'!A111,'Raw Data 04-30-2020'!C$6:C$254)</f>
        <v>0</v>
      </c>
      <c r="D111" s="4"/>
      <c r="E111" s="3">
        <f>SUMIF('Raw Data 04-30-2020'!$A$6:$A$254,'Q2 TB-20'!A111,'Raw Data 04-30-2020'!D$6:D$254)</f>
        <v>170000</v>
      </c>
      <c r="F111" s="3"/>
      <c r="G111" s="3">
        <f t="shared" si="1"/>
        <v>-170000</v>
      </c>
      <c r="H111" s="109" t="s">
        <v>800</v>
      </c>
      <c r="J111" s="19"/>
    </row>
    <row r="112" spans="1:10" x14ac:dyDescent="0.75">
      <c r="A112" s="12">
        <v>2765</v>
      </c>
      <c r="B112" s="13" t="s">
        <v>558</v>
      </c>
      <c r="C112" s="3">
        <f>SUMIF('Raw Data 04-30-2020'!$A$6:$A$254,'Q2 TB-20'!A112,'Raw Data 04-30-2020'!C$6:C$254)</f>
        <v>0</v>
      </c>
      <c r="D112" s="4"/>
      <c r="E112" s="3">
        <f>SUMIF('Raw Data 04-30-2020'!$A$6:$A$254,'Q2 TB-20'!A112,'Raw Data 04-30-2020'!D$6:D$254)</f>
        <v>50000</v>
      </c>
      <c r="F112" s="3"/>
      <c r="G112" s="3">
        <f t="shared" si="1"/>
        <v>-50000</v>
      </c>
      <c r="H112" s="109" t="s">
        <v>800</v>
      </c>
      <c r="J112" s="19"/>
    </row>
    <row r="113" spans="1:10" x14ac:dyDescent="0.75">
      <c r="A113" s="12">
        <v>2770</v>
      </c>
      <c r="B113" s="13" t="s">
        <v>559</v>
      </c>
      <c r="C113" s="3">
        <f>SUMIF('Raw Data 04-30-2020'!$A$6:$A$254,'Q2 TB-20'!A113,'Raw Data 04-30-2020'!C$6:C$254)</f>
        <v>0</v>
      </c>
      <c r="D113" s="4"/>
      <c r="E113" s="3">
        <f>SUMIF('Raw Data 04-30-2020'!$A$6:$A$254,'Q2 TB-20'!A113,'Raw Data 04-30-2020'!D$6:D$254)</f>
        <v>2500</v>
      </c>
      <c r="F113" s="3"/>
      <c r="G113" s="3">
        <f t="shared" si="1"/>
        <v>-2500</v>
      </c>
      <c r="H113" s="109" t="s">
        <v>800</v>
      </c>
      <c r="J113" s="19"/>
    </row>
    <row r="114" spans="1:10" x14ac:dyDescent="0.75">
      <c r="A114" s="12">
        <v>2775</v>
      </c>
      <c r="B114" s="13" t="s">
        <v>560</v>
      </c>
      <c r="C114" s="3">
        <f>SUMIF('Raw Data 04-30-2020'!$A$6:$A$254,'Q2 TB-20'!A114,'Raw Data 04-30-2020'!C$6:C$254)</f>
        <v>0</v>
      </c>
      <c r="D114" s="4"/>
      <c r="E114" s="3">
        <f>SUMIF('Raw Data 04-30-2020'!$A$6:$A$254,'Q2 TB-20'!A114,'Raw Data 04-30-2020'!D$6:D$254)</f>
        <v>50000</v>
      </c>
      <c r="F114" s="3"/>
      <c r="G114" s="3">
        <f t="shared" si="1"/>
        <v>-50000</v>
      </c>
      <c r="H114" s="109" t="s">
        <v>800</v>
      </c>
      <c r="J114" s="19"/>
    </row>
    <row r="115" spans="1:10" x14ac:dyDescent="0.75">
      <c r="A115" s="12">
        <v>2780</v>
      </c>
      <c r="B115" s="13" t="s">
        <v>561</v>
      </c>
      <c r="C115" s="3">
        <f>SUMIF('Raw Data 04-30-2020'!$A$6:$A$254,'Q2 TB-20'!A115,'Raw Data 04-30-2020'!C$6:C$254)</f>
        <v>0</v>
      </c>
      <c r="D115" s="4"/>
      <c r="E115" s="3">
        <f>SUMIF('Raw Data 04-30-2020'!$A$6:$A$254,'Q2 TB-20'!A115,'Raw Data 04-30-2020'!D$6:D$254)</f>
        <v>25000</v>
      </c>
      <c r="F115" s="3"/>
      <c r="G115" s="3">
        <f t="shared" si="1"/>
        <v>-25000</v>
      </c>
      <c r="H115" s="109" t="s">
        <v>800</v>
      </c>
      <c r="J115" s="19"/>
    </row>
    <row r="116" spans="1:10" x14ac:dyDescent="0.75">
      <c r="A116" s="12" t="s">
        <v>941</v>
      </c>
      <c r="B116" s="13" t="s">
        <v>942</v>
      </c>
      <c r="C116" s="3">
        <f>SUMIF('Raw Data 04-30-2020'!$A$6:$A$254,'Q2 TB-20'!A116,'Raw Data 04-30-2020'!C$6:C$254)</f>
        <v>269798</v>
      </c>
      <c r="D116" s="4"/>
      <c r="E116" s="3">
        <f>SUMIF('Raw Data 04-30-2020'!$A$6:$A$254,'Q2 TB-20'!A116,'Raw Data 04-30-2020'!D$6:D$254)</f>
        <v>0</v>
      </c>
      <c r="F116" s="3"/>
      <c r="G116" s="3">
        <f t="shared" si="1"/>
        <v>269798</v>
      </c>
      <c r="H116" s="109" t="s">
        <v>800</v>
      </c>
      <c r="J116" s="19"/>
    </row>
    <row r="117" spans="1:10" x14ac:dyDescent="0.75">
      <c r="A117" s="12">
        <v>3000</v>
      </c>
      <c r="B117" s="13" t="s">
        <v>563</v>
      </c>
      <c r="C117" s="3">
        <f>SUMIF('Raw Data 04-30-2020'!$A$6:$A$254,'Q2 TB-20'!A117,'Raw Data 04-30-2020'!C$6:C$254)</f>
        <v>0</v>
      </c>
      <c r="D117" s="4"/>
      <c r="E117" s="3">
        <f>SUMIF('Raw Data 04-30-2020'!$A$6:$A$254,'Q2 TB-20'!A117,'Raw Data 04-30-2020'!D$6:D$254)</f>
        <v>46290.14</v>
      </c>
      <c r="F117" s="3"/>
      <c r="G117" s="3">
        <f t="shared" si="1"/>
        <v>-46290.14</v>
      </c>
      <c r="H117" s="109" t="s">
        <v>183</v>
      </c>
      <c r="J117" s="19"/>
    </row>
    <row r="118" spans="1:10" x14ac:dyDescent="0.75">
      <c r="A118" s="12">
        <v>3050</v>
      </c>
      <c r="B118" s="13" t="s">
        <v>569</v>
      </c>
      <c r="C118" s="3">
        <f>SUMIF('Raw Data 04-30-2020'!$A$6:$A$254,'Q2 TB-20'!A118,'Raw Data 04-30-2020'!C$6:C$254)</f>
        <v>0</v>
      </c>
      <c r="D118" s="4"/>
      <c r="E118" s="3">
        <f>SUMIF('Raw Data 04-30-2020'!$A$6:$A$254,'Q2 TB-20'!A118,'Raw Data 04-30-2020'!D$6:D$254)</f>
        <v>23.8</v>
      </c>
      <c r="F118" s="3"/>
      <c r="G118" s="3">
        <f t="shared" si="1"/>
        <v>-23.8</v>
      </c>
      <c r="H118" s="109" t="s">
        <v>802</v>
      </c>
      <c r="J118" s="19"/>
    </row>
    <row r="119" spans="1:10" x14ac:dyDescent="0.75">
      <c r="A119" s="12">
        <v>3100</v>
      </c>
      <c r="B119" s="13" t="s">
        <v>567</v>
      </c>
      <c r="C119" s="3">
        <f>SUMIF('Raw Data 04-30-2020'!$A$6:$A$254,'Q2 TB-20'!A119,'Raw Data 04-30-2020'!C$6:C$254)</f>
        <v>0</v>
      </c>
      <c r="D119" s="4"/>
      <c r="E119" s="3">
        <f>SUMIF('Raw Data 04-30-2020'!$A$6:$A$254,'Q2 TB-20'!A119,'Raw Data 04-30-2020'!D$6:D$254)</f>
        <v>8183804.1200000001</v>
      </c>
      <c r="F119" s="3"/>
      <c r="G119" s="3">
        <f t="shared" si="1"/>
        <v>-8183804.1200000001</v>
      </c>
      <c r="H119" s="109" t="s">
        <v>184</v>
      </c>
      <c r="J119" s="19"/>
    </row>
    <row r="120" spans="1:10" s="89" customFormat="1" x14ac:dyDescent="0.75">
      <c r="A120" s="12" t="s">
        <v>1003</v>
      </c>
      <c r="B120" s="13" t="s">
        <v>1004</v>
      </c>
      <c r="C120" s="3">
        <f>SUMIF('Raw Data 04-30-2020'!$A$6:$A$254,'Q2 TB-20'!A120,'Raw Data 04-30-2020'!C$6:C$254)</f>
        <v>0</v>
      </c>
      <c r="D120" s="4"/>
      <c r="E120" s="3">
        <f>SUMIF('Raw Data 04-30-2020'!$A$6:$A$254,'Q2 TB-20'!A120,'Raw Data 04-30-2020'!D$6:D$254)</f>
        <v>0</v>
      </c>
      <c r="F120" s="3"/>
      <c r="G120" s="3">
        <f t="shared" ref="G120" si="3">C120-E120</f>
        <v>0</v>
      </c>
      <c r="H120" s="109" t="s">
        <v>184</v>
      </c>
      <c r="J120" s="19"/>
    </row>
    <row r="121" spans="1:10" x14ac:dyDescent="0.75">
      <c r="A121" s="12">
        <v>3200</v>
      </c>
      <c r="B121" s="13" t="s">
        <v>562</v>
      </c>
      <c r="C121" s="3">
        <f>SUMIF('Raw Data 04-30-2020'!$A$6:$A$254,'Q2 TB-20'!A121,'Raw Data 04-30-2020'!C$6:C$254)</f>
        <v>0</v>
      </c>
      <c r="D121" s="4"/>
      <c r="E121" s="3">
        <f>SUMIF('Raw Data 04-30-2020'!$A$6:$A$254,'Q2 TB-20'!A121,'Raw Data 04-30-2020'!D$6:D$254)</f>
        <v>0</v>
      </c>
      <c r="F121" s="3"/>
      <c r="G121" s="3">
        <f t="shared" si="1"/>
        <v>0</v>
      </c>
      <c r="H121" s="109" t="s">
        <v>184</v>
      </c>
      <c r="J121" s="19"/>
    </row>
    <row r="122" spans="1:10" x14ac:dyDescent="0.75">
      <c r="A122" s="12">
        <v>3300</v>
      </c>
      <c r="B122" s="13" t="s">
        <v>564</v>
      </c>
      <c r="C122" s="3">
        <f>SUMIF('Raw Data 04-30-2020'!$A$6:$A$254,'Q2 TB-20'!A122,'Raw Data 04-30-2020'!C$6:C$254)</f>
        <v>0</v>
      </c>
      <c r="D122" s="4"/>
      <c r="E122" s="3">
        <f>SUMIF('Raw Data 04-30-2020'!$A$6:$A$254,'Q2 TB-20'!A122,'Raw Data 04-30-2020'!D$6:D$254)</f>
        <v>0</v>
      </c>
      <c r="F122" s="3"/>
      <c r="G122" s="3">
        <f t="shared" si="1"/>
        <v>0</v>
      </c>
      <c r="H122" s="109" t="s">
        <v>184</v>
      </c>
      <c r="J122" s="19"/>
    </row>
    <row r="123" spans="1:10" x14ac:dyDescent="0.75">
      <c r="A123" s="12">
        <v>3400</v>
      </c>
      <c r="B123" s="13" t="s">
        <v>565</v>
      </c>
      <c r="C123" s="3">
        <f>SUMIF('Raw Data 04-30-2020'!$A$6:$A$254,'Q2 TB-20'!A123,'Raw Data 04-30-2020'!C$6:C$254)</f>
        <v>0</v>
      </c>
      <c r="D123" s="4"/>
      <c r="E123" s="3">
        <f>SUMIF('Raw Data 04-30-2020'!$A$6:$A$254,'Q2 TB-20'!A123,'Raw Data 04-30-2020'!D$6:D$254)</f>
        <v>0</v>
      </c>
      <c r="F123" s="3"/>
      <c r="G123" s="3">
        <f t="shared" si="1"/>
        <v>0</v>
      </c>
      <c r="H123" s="109" t="s">
        <v>184</v>
      </c>
      <c r="J123" s="19"/>
    </row>
    <row r="124" spans="1:10" x14ac:dyDescent="0.75">
      <c r="A124" s="12">
        <v>3500</v>
      </c>
      <c r="B124" s="13" t="s">
        <v>566</v>
      </c>
      <c r="C124" s="3">
        <f>SUMIF('Raw Data 04-30-2020'!$A$6:$A$254,'Q2 TB-20'!A124,'Raw Data 04-30-2020'!C$6:C$254)</f>
        <v>0</v>
      </c>
      <c r="D124" s="4"/>
      <c r="E124" s="3">
        <f>SUMIF('Raw Data 04-30-2020'!$A$6:$A$254,'Q2 TB-20'!A124,'Raw Data 04-30-2020'!D$6:D$254)</f>
        <v>0</v>
      </c>
      <c r="F124" s="3"/>
      <c r="G124" s="3">
        <f t="shared" si="1"/>
        <v>0</v>
      </c>
      <c r="H124" s="109" t="s">
        <v>184</v>
      </c>
      <c r="J124" s="19"/>
    </row>
    <row r="125" spans="1:10" x14ac:dyDescent="0.75">
      <c r="A125" s="12" t="s">
        <v>382</v>
      </c>
      <c r="B125" s="13" t="s">
        <v>933</v>
      </c>
      <c r="C125" s="3">
        <f>SUMIF('Raw Data 04-30-2020'!$A$6:$A$254,'Q2 TB-20'!A125,'Raw Data 04-30-2020'!C$6:C$254)</f>
        <v>84000</v>
      </c>
      <c r="D125" s="4"/>
      <c r="E125" s="3">
        <f>SUMIF('Raw Data 04-30-2020'!$A$6:$A$254,'Q2 TB-20'!A125,'Raw Data 04-30-2020'!D$6:D$254)</f>
        <v>0</v>
      </c>
      <c r="F125" s="3"/>
      <c r="G125" s="3">
        <f t="shared" si="1"/>
        <v>84000</v>
      </c>
      <c r="H125" s="109" t="s">
        <v>934</v>
      </c>
      <c r="J125" s="19"/>
    </row>
    <row r="126" spans="1:10" x14ac:dyDescent="0.75">
      <c r="A126" s="12">
        <v>3800</v>
      </c>
      <c r="B126" s="13" t="s">
        <v>568</v>
      </c>
      <c r="C126" s="3">
        <f>SUMIF('Raw Data 04-30-2020'!$A$6:$A$254,'Q2 TB-20'!A126,'Raw Data 04-30-2020'!C$6:C$254)</f>
        <v>0</v>
      </c>
      <c r="D126" s="4"/>
      <c r="E126" s="3">
        <f>SUMIF('Raw Data 04-30-2020'!$A$6:$A$254,'Q2 TB-20'!A126,'Raw Data 04-30-2020'!D$6:D$254)</f>
        <v>0</v>
      </c>
      <c r="F126" s="3"/>
      <c r="G126" s="3">
        <f t="shared" si="1"/>
        <v>0</v>
      </c>
      <c r="H126" s="109" t="s">
        <v>185</v>
      </c>
      <c r="J126" s="19"/>
    </row>
    <row r="127" spans="1:10" x14ac:dyDescent="0.75">
      <c r="A127" s="12">
        <v>3900</v>
      </c>
      <c r="B127" s="13" t="s">
        <v>400</v>
      </c>
      <c r="C127" s="3">
        <f>SUMIF('Raw Data 04-30-2020'!$A$6:$A$254,'Q2 TB-20'!A127,'Raw Data 04-30-2020'!C$6:C$254)</f>
        <v>9762333.8499999996</v>
      </c>
      <c r="D127" s="4"/>
      <c r="E127" s="3">
        <f>SUMIF('Raw Data 04-30-2020'!$A$6:$A$254,'Q2 TB-20'!A127,'Raw Data 04-30-2020'!D$6:D$254)</f>
        <v>0</v>
      </c>
      <c r="F127" s="3"/>
      <c r="G127" s="3">
        <f t="shared" si="1"/>
        <v>9762333.8499999996</v>
      </c>
      <c r="H127" s="109" t="s">
        <v>185</v>
      </c>
      <c r="J127" s="19"/>
    </row>
    <row r="128" spans="1:10" x14ac:dyDescent="0.75">
      <c r="A128" s="12">
        <v>4100</v>
      </c>
      <c r="B128" s="13" t="s">
        <v>576</v>
      </c>
      <c r="C128" s="3">
        <f>SUMIF('Raw Data 04-30-2020'!$A$6:$A$254,'Q2 TB-20'!A128,'Raw Data 04-30-2020'!C$6:C$254)</f>
        <v>0</v>
      </c>
      <c r="D128" s="4"/>
      <c r="E128" s="3">
        <f>SUMIF('Raw Data 04-30-2020'!$A$6:$A$254,'Q2 TB-20'!A128,'Raw Data 04-30-2020'!D$6:D$254)</f>
        <v>346026.45</v>
      </c>
      <c r="F128" s="3"/>
      <c r="G128" s="3">
        <f t="shared" si="1"/>
        <v>-346026.45</v>
      </c>
      <c r="H128" s="109" t="s">
        <v>437</v>
      </c>
      <c r="J128" s="19"/>
    </row>
    <row r="129" spans="1:10" x14ac:dyDescent="0.75">
      <c r="A129" s="12">
        <v>4110</v>
      </c>
      <c r="B129" s="13" t="s">
        <v>577</v>
      </c>
      <c r="C129" s="3">
        <f>SUMIF('Raw Data 04-30-2020'!$A$6:$A$254,'Q2 TB-20'!A129,'Raw Data 04-30-2020'!C$6:C$254)</f>
        <v>0</v>
      </c>
      <c r="D129" s="4"/>
      <c r="E129" s="3">
        <f>SUMIF('Raw Data 04-30-2020'!$A$6:$A$254,'Q2 TB-20'!A129,'Raw Data 04-30-2020'!D$6:D$254)</f>
        <v>0</v>
      </c>
      <c r="F129" s="3"/>
      <c r="G129" s="3">
        <f t="shared" si="1"/>
        <v>0</v>
      </c>
      <c r="H129" s="109" t="s">
        <v>437</v>
      </c>
      <c r="J129" s="19"/>
    </row>
    <row r="130" spans="1:10" x14ac:dyDescent="0.75">
      <c r="A130" s="12">
        <v>4200</v>
      </c>
      <c r="B130" s="13" t="s">
        <v>573</v>
      </c>
      <c r="C130" s="3">
        <f>SUMIF('Raw Data 04-30-2020'!$A$6:$A$254,'Q2 TB-20'!A130,'Raw Data 04-30-2020'!C$6:C$254)</f>
        <v>0</v>
      </c>
      <c r="D130" s="4"/>
      <c r="E130" s="3">
        <f>SUMIF('Raw Data 04-30-2020'!$A$6:$A$254,'Q2 TB-20'!A130,'Raw Data 04-30-2020'!D$6:D$254)</f>
        <v>0</v>
      </c>
      <c r="F130" s="3"/>
      <c r="G130" s="3">
        <f t="shared" si="1"/>
        <v>0</v>
      </c>
      <c r="H130" s="109" t="s">
        <v>437</v>
      </c>
      <c r="J130" s="19"/>
    </row>
    <row r="131" spans="1:10" x14ac:dyDescent="0.75">
      <c r="A131" s="12">
        <v>4300</v>
      </c>
      <c r="B131" s="13" t="s">
        <v>571</v>
      </c>
      <c r="C131" s="3">
        <f>SUMIF('Raw Data 04-30-2020'!$A$6:$A$254,'Q2 TB-20'!A131,'Raw Data 04-30-2020'!C$6:C$254)</f>
        <v>0</v>
      </c>
      <c r="D131" s="4"/>
      <c r="E131" s="3">
        <f>SUMIF('Raw Data 04-30-2020'!$A$6:$A$254,'Q2 TB-20'!A131,'Raw Data 04-30-2020'!D$6:D$254)</f>
        <v>0</v>
      </c>
      <c r="F131" s="3"/>
      <c r="G131" s="3">
        <f t="shared" si="1"/>
        <v>0</v>
      </c>
      <c r="H131" s="109" t="s">
        <v>437</v>
      </c>
      <c r="J131" s="19"/>
    </row>
    <row r="132" spans="1:10" x14ac:dyDescent="0.75">
      <c r="A132" s="12">
        <v>4400</v>
      </c>
      <c r="B132" s="13" t="s">
        <v>570</v>
      </c>
      <c r="C132" s="3">
        <f>SUMIF('Raw Data 04-30-2020'!$A$6:$A$254,'Q2 TB-20'!A132,'Raw Data 04-30-2020'!C$6:C$254)</f>
        <v>0</v>
      </c>
      <c r="D132" s="4"/>
      <c r="E132" s="3">
        <f>SUMIF('Raw Data 04-30-2020'!$A$6:$A$254,'Q2 TB-20'!A132,'Raw Data 04-30-2020'!D$6:D$254)</f>
        <v>0</v>
      </c>
      <c r="F132" s="3"/>
      <c r="G132" s="3">
        <f t="shared" si="1"/>
        <v>0</v>
      </c>
      <c r="H132" s="109" t="s">
        <v>437</v>
      </c>
      <c r="J132" s="19"/>
    </row>
    <row r="133" spans="1:10" x14ac:dyDescent="0.75">
      <c r="A133" s="12">
        <v>4420</v>
      </c>
      <c r="B133" s="13" t="s">
        <v>574</v>
      </c>
      <c r="C133" s="3">
        <f>SUMIF('Raw Data 04-30-2020'!$A$6:$A$254,'Q2 TB-20'!A133,'Raw Data 04-30-2020'!C$6:C$254)</f>
        <v>0</v>
      </c>
      <c r="D133" s="4"/>
      <c r="E133" s="3">
        <f>SUMIF('Raw Data 04-30-2020'!$A$6:$A$254,'Q2 TB-20'!A133,'Raw Data 04-30-2020'!D$6:D$254)</f>
        <v>0</v>
      </c>
      <c r="F133" s="3"/>
      <c r="G133" s="3">
        <f t="shared" si="1"/>
        <v>0</v>
      </c>
      <c r="H133" s="109" t="s">
        <v>437</v>
      </c>
      <c r="J133" s="19"/>
    </row>
    <row r="134" spans="1:10" x14ac:dyDescent="0.75">
      <c r="A134" s="12">
        <v>4440</v>
      </c>
      <c r="B134" s="13" t="s">
        <v>575</v>
      </c>
      <c r="C134" s="3">
        <f>SUMIF('Raw Data 04-30-2020'!$A$6:$A$254,'Q2 TB-20'!A134,'Raw Data 04-30-2020'!C$6:C$254)</f>
        <v>0</v>
      </c>
      <c r="D134" s="4"/>
      <c r="E134" s="3">
        <f>SUMIF('Raw Data 04-30-2020'!$A$6:$A$254,'Q2 TB-20'!A134,'Raw Data 04-30-2020'!D$6:D$254)</f>
        <v>0</v>
      </c>
      <c r="F134" s="3"/>
      <c r="G134" s="3">
        <f t="shared" si="1"/>
        <v>0</v>
      </c>
      <c r="H134" s="109" t="s">
        <v>437</v>
      </c>
      <c r="J134" s="19"/>
    </row>
    <row r="135" spans="1:10" x14ac:dyDescent="0.75">
      <c r="A135" s="12">
        <v>4500</v>
      </c>
      <c r="B135" s="13" t="s">
        <v>578</v>
      </c>
      <c r="C135" s="3">
        <f>SUMIF('Raw Data 04-30-2020'!$A$6:$A$254,'Q2 TB-20'!A135,'Raw Data 04-30-2020'!C$6:C$254)</f>
        <v>0</v>
      </c>
      <c r="D135" s="4"/>
      <c r="E135" s="3">
        <f>SUMIF('Raw Data 04-30-2020'!$A$6:$A$254,'Q2 TB-20'!A135,'Raw Data 04-30-2020'!D$6:D$254)</f>
        <v>8526.14</v>
      </c>
      <c r="F135" s="3"/>
      <c r="G135" s="3">
        <f t="shared" si="1"/>
        <v>-8526.14</v>
      </c>
      <c r="H135" s="109" t="s">
        <v>437</v>
      </c>
      <c r="J135" s="19"/>
    </row>
    <row r="136" spans="1:10" x14ac:dyDescent="0.75">
      <c r="A136" s="12">
        <v>4550</v>
      </c>
      <c r="B136" s="13" t="s">
        <v>579</v>
      </c>
      <c r="C136" s="3">
        <f>SUMIF('Raw Data 04-30-2020'!$A$6:$A$254,'Q2 TB-20'!A136,'Raw Data 04-30-2020'!C$6:C$254)</f>
        <v>0</v>
      </c>
      <c r="D136" s="4"/>
      <c r="E136" s="3">
        <f>SUMIF('Raw Data 04-30-2020'!$A$6:$A$254,'Q2 TB-20'!A136,'Raw Data 04-30-2020'!D$6:D$254)</f>
        <v>0</v>
      </c>
      <c r="F136" s="3"/>
      <c r="G136" s="3">
        <f t="shared" si="1"/>
        <v>0</v>
      </c>
      <c r="H136" s="109" t="s">
        <v>437</v>
      </c>
      <c r="J136" s="19"/>
    </row>
    <row r="137" spans="1:10" x14ac:dyDescent="0.75">
      <c r="A137" s="12">
        <v>4900</v>
      </c>
      <c r="B137" s="13" t="s">
        <v>572</v>
      </c>
      <c r="C137" s="3">
        <f>SUMIF('Raw Data 04-30-2020'!$A$6:$A$254,'Q2 TB-20'!A137,'Raw Data 04-30-2020'!C$6:C$254)</f>
        <v>0</v>
      </c>
      <c r="D137" s="4"/>
      <c r="E137" s="3">
        <f>SUMIF('Raw Data 04-30-2020'!$A$6:$A$254,'Q2 TB-20'!A137,'Raw Data 04-30-2020'!D$6:D$254)</f>
        <v>0</v>
      </c>
      <c r="F137" s="3"/>
      <c r="G137" s="3">
        <f t="shared" si="1"/>
        <v>0</v>
      </c>
      <c r="H137" s="109" t="s">
        <v>801</v>
      </c>
      <c r="J137" s="19"/>
    </row>
    <row r="138" spans="1:10" x14ac:dyDescent="0.75">
      <c r="A138" s="12">
        <v>4950</v>
      </c>
      <c r="B138" s="13" t="s">
        <v>580</v>
      </c>
      <c r="C138" s="3">
        <f>SUMIF('Raw Data 04-30-2020'!$A$6:$A$254,'Q2 TB-20'!A138,'Raw Data 04-30-2020'!C$6:C$254)</f>
        <v>0</v>
      </c>
      <c r="D138" s="4"/>
      <c r="E138" s="3">
        <f>SUMIF('Raw Data 04-30-2020'!$A$6:$A$254,'Q2 TB-20'!A138,'Raw Data 04-30-2020'!D$6:D$254)</f>
        <v>0</v>
      </c>
      <c r="F138" s="3"/>
      <c r="G138" s="3">
        <f t="shared" si="1"/>
        <v>0</v>
      </c>
      <c r="H138" s="109" t="s">
        <v>437</v>
      </c>
      <c r="J138" s="19"/>
    </row>
    <row r="139" spans="1:10" x14ac:dyDescent="0.75">
      <c r="A139" s="12">
        <v>4980</v>
      </c>
      <c r="B139" s="13" t="s">
        <v>581</v>
      </c>
      <c r="C139" s="3">
        <f>SUMIF('Raw Data 04-30-2020'!$A$6:$A$254,'Q2 TB-20'!A139,'Raw Data 04-30-2020'!C$6:C$254)</f>
        <v>0</v>
      </c>
      <c r="D139" s="4"/>
      <c r="E139" s="3">
        <f>SUMIF('Raw Data 04-30-2020'!$A$6:$A$254,'Q2 TB-20'!A139,'Raw Data 04-30-2020'!D$6:D$254)</f>
        <v>0</v>
      </c>
      <c r="F139" s="3"/>
      <c r="G139" s="3">
        <f t="shared" si="1"/>
        <v>0</v>
      </c>
      <c r="H139" s="109" t="s">
        <v>437</v>
      </c>
      <c r="J139" s="19"/>
    </row>
    <row r="140" spans="1:10" x14ac:dyDescent="0.75">
      <c r="A140" s="12">
        <v>5000</v>
      </c>
      <c r="B140" s="13" t="s">
        <v>582</v>
      </c>
      <c r="C140" s="3">
        <f>SUMIF('Raw Data 04-30-2020'!$A$6:$A$254,'Q2 TB-20'!A140,'Raw Data 04-30-2020'!C$6:C$254)</f>
        <v>0</v>
      </c>
      <c r="D140" s="4"/>
      <c r="E140" s="3">
        <f>SUMIF('Raw Data 04-30-2020'!$A$6:$A$254,'Q2 TB-20'!A140,'Raw Data 04-30-2020'!D$6:D$254)</f>
        <v>0</v>
      </c>
      <c r="F140" s="3"/>
      <c r="G140" s="3">
        <f t="shared" si="1"/>
        <v>0</v>
      </c>
      <c r="H140" s="109" t="s">
        <v>438</v>
      </c>
      <c r="J140" s="19"/>
    </row>
    <row r="141" spans="1:10" x14ac:dyDescent="0.75">
      <c r="A141" s="12">
        <v>5010</v>
      </c>
      <c r="B141" s="13" t="s">
        <v>583</v>
      </c>
      <c r="C141" s="3">
        <f>SUMIF('Raw Data 04-30-2020'!$A$6:$A$254,'Q2 TB-20'!A141,'Raw Data 04-30-2020'!C$6:C$254)</f>
        <v>20700</v>
      </c>
      <c r="D141" s="4"/>
      <c r="E141" s="3">
        <f>SUMIF('Raw Data 04-30-2020'!$A$6:$A$254,'Q2 TB-20'!A141,'Raw Data 04-30-2020'!D$6:D$254)</f>
        <v>0</v>
      </c>
      <c r="F141" s="3"/>
      <c r="G141" s="3">
        <f t="shared" si="1"/>
        <v>20700</v>
      </c>
      <c r="H141" s="109" t="s">
        <v>438</v>
      </c>
      <c r="J141" s="19"/>
    </row>
    <row r="142" spans="1:10" x14ac:dyDescent="0.75">
      <c r="A142" s="12">
        <v>5020</v>
      </c>
      <c r="B142" s="13" t="s">
        <v>584</v>
      </c>
      <c r="C142" s="3">
        <f>SUMIF('Raw Data 04-30-2020'!$A$6:$A$254,'Q2 TB-20'!A142,'Raw Data 04-30-2020'!C$6:C$254)</f>
        <v>25000</v>
      </c>
      <c r="D142" s="4"/>
      <c r="E142" s="3">
        <f>SUMIF('Raw Data 04-30-2020'!$A$6:$A$254,'Q2 TB-20'!A142,'Raw Data 04-30-2020'!D$6:D$254)</f>
        <v>0</v>
      </c>
      <c r="F142" s="3"/>
      <c r="G142" s="3">
        <f t="shared" ref="G142:G205" si="4">C142-E142</f>
        <v>25000</v>
      </c>
      <c r="H142" s="109" t="s">
        <v>438</v>
      </c>
      <c r="J142" s="19"/>
    </row>
    <row r="143" spans="1:10" x14ac:dyDescent="0.75">
      <c r="A143" s="12">
        <v>5030</v>
      </c>
      <c r="B143" s="13" t="s">
        <v>585</v>
      </c>
      <c r="C143" s="3">
        <f>SUMIF('Raw Data 04-30-2020'!$A$6:$A$254,'Q2 TB-20'!A143,'Raw Data 04-30-2020'!C$6:C$254)</f>
        <v>24764.54</v>
      </c>
      <c r="D143" s="4"/>
      <c r="E143" s="3">
        <f>SUMIF('Raw Data 04-30-2020'!$A$6:$A$254,'Q2 TB-20'!A143,'Raw Data 04-30-2020'!D$6:D$254)</f>
        <v>0</v>
      </c>
      <c r="F143" s="3"/>
      <c r="G143" s="3">
        <f t="shared" si="4"/>
        <v>24764.54</v>
      </c>
      <c r="H143" s="109" t="s">
        <v>438</v>
      </c>
      <c r="J143" s="19"/>
    </row>
    <row r="144" spans="1:10" x14ac:dyDescent="0.75">
      <c r="A144" s="12">
        <v>5040</v>
      </c>
      <c r="B144" s="13" t="s">
        <v>586</v>
      </c>
      <c r="C144" s="3">
        <f>SUMIF('Raw Data 04-30-2020'!$A$6:$A$254,'Q2 TB-20'!A144,'Raw Data 04-30-2020'!C$6:C$254)</f>
        <v>0</v>
      </c>
      <c r="D144" s="4"/>
      <c r="E144" s="3">
        <f>SUMIF('Raw Data 04-30-2020'!$A$6:$A$254,'Q2 TB-20'!A144,'Raw Data 04-30-2020'!D$6:D$254)</f>
        <v>0</v>
      </c>
      <c r="F144" s="3"/>
      <c r="G144" s="3">
        <f t="shared" si="4"/>
        <v>0</v>
      </c>
      <c r="H144" s="109" t="s">
        <v>438</v>
      </c>
      <c r="J144" s="19"/>
    </row>
    <row r="145" spans="1:10" x14ac:dyDescent="0.75">
      <c r="A145" s="12">
        <v>5050</v>
      </c>
      <c r="B145" s="13" t="s">
        <v>587</v>
      </c>
      <c r="C145" s="3">
        <f>SUMIF('Raw Data 04-30-2020'!$A$6:$A$254,'Q2 TB-20'!A145,'Raw Data 04-30-2020'!C$6:C$254)</f>
        <v>32605.11</v>
      </c>
      <c r="D145" s="4"/>
      <c r="E145" s="3">
        <f>SUMIF('Raw Data 04-30-2020'!$A$6:$A$254,'Q2 TB-20'!A145,'Raw Data 04-30-2020'!D$6:D$254)</f>
        <v>0</v>
      </c>
      <c r="F145" s="3"/>
      <c r="G145" s="3">
        <f t="shared" si="4"/>
        <v>32605.11</v>
      </c>
      <c r="H145" s="109" t="s">
        <v>438</v>
      </c>
      <c r="J145" s="19"/>
    </row>
    <row r="146" spans="1:10" x14ac:dyDescent="0.75">
      <c r="A146" s="12">
        <v>5060</v>
      </c>
      <c r="B146" s="13" t="s">
        <v>588</v>
      </c>
      <c r="C146" s="3">
        <f>SUMIF('Raw Data 04-30-2020'!$A$6:$A$254,'Q2 TB-20'!A146,'Raw Data 04-30-2020'!C$6:C$254)</f>
        <v>0</v>
      </c>
      <c r="D146" s="4"/>
      <c r="E146" s="3">
        <f>SUMIF('Raw Data 04-30-2020'!$A$6:$A$254,'Q2 TB-20'!A146,'Raw Data 04-30-2020'!D$6:D$254)</f>
        <v>0</v>
      </c>
      <c r="F146" s="3"/>
      <c r="G146" s="3">
        <f t="shared" si="4"/>
        <v>0</v>
      </c>
      <c r="H146" s="109" t="s">
        <v>438</v>
      </c>
      <c r="J146" s="19"/>
    </row>
    <row r="147" spans="1:10" x14ac:dyDescent="0.75">
      <c r="A147" s="12">
        <v>5070</v>
      </c>
      <c r="B147" s="13" t="s">
        <v>589</v>
      </c>
      <c r="C147" s="3">
        <f>SUMIF('Raw Data 04-30-2020'!$A$6:$A$254,'Q2 TB-20'!A147,'Raw Data 04-30-2020'!C$6:C$254)</f>
        <v>0</v>
      </c>
      <c r="D147" s="4"/>
      <c r="E147" s="3">
        <f>SUMIF('Raw Data 04-30-2020'!$A$6:$A$254,'Q2 TB-20'!A147,'Raw Data 04-30-2020'!D$6:D$254)</f>
        <v>0</v>
      </c>
      <c r="F147" s="3"/>
      <c r="G147" s="3">
        <f t="shared" si="4"/>
        <v>0</v>
      </c>
      <c r="H147" s="109" t="s">
        <v>438</v>
      </c>
      <c r="J147" s="19"/>
    </row>
    <row r="148" spans="1:10" x14ac:dyDescent="0.75">
      <c r="A148" s="12">
        <v>5080</v>
      </c>
      <c r="B148" s="13" t="s">
        <v>597</v>
      </c>
      <c r="C148" s="3">
        <f>SUMIF('Raw Data 04-30-2020'!$A$6:$A$254,'Q2 TB-20'!A148,'Raw Data 04-30-2020'!C$6:C$254)</f>
        <v>0</v>
      </c>
      <c r="D148" s="4"/>
      <c r="E148" s="3">
        <f>SUMIF('Raw Data 04-30-2020'!$A$6:$A$254,'Q2 TB-20'!A148,'Raw Data 04-30-2020'!D$6:D$254)</f>
        <v>0</v>
      </c>
      <c r="F148" s="3"/>
      <c r="G148" s="3">
        <f t="shared" si="4"/>
        <v>0</v>
      </c>
      <c r="H148" s="109" t="s">
        <v>438</v>
      </c>
      <c r="J148" s="19"/>
    </row>
    <row r="149" spans="1:10" x14ac:dyDescent="0.75">
      <c r="A149" s="12">
        <v>5085</v>
      </c>
      <c r="B149" s="13" t="s">
        <v>598</v>
      </c>
      <c r="C149" s="3">
        <f>SUMIF('Raw Data 04-30-2020'!$A$6:$A$254,'Q2 TB-20'!A149,'Raw Data 04-30-2020'!C$6:C$254)</f>
        <v>0</v>
      </c>
      <c r="D149" s="4"/>
      <c r="E149" s="3">
        <f>SUMIF('Raw Data 04-30-2020'!$A$6:$A$254,'Q2 TB-20'!A149,'Raw Data 04-30-2020'!D$6:D$254)</f>
        <v>0</v>
      </c>
      <c r="F149" s="3"/>
      <c r="G149" s="3">
        <f t="shared" si="4"/>
        <v>0</v>
      </c>
      <c r="H149" s="109" t="s">
        <v>438</v>
      </c>
      <c r="J149" s="19"/>
    </row>
    <row r="150" spans="1:10" x14ac:dyDescent="0.75">
      <c r="A150" s="12">
        <v>6010</v>
      </c>
      <c r="B150" s="13" t="s">
        <v>590</v>
      </c>
      <c r="C150" s="3">
        <f>SUMIF('Raw Data 04-30-2020'!$A$6:$A$254,'Q2 TB-20'!A150,'Raw Data 04-30-2020'!C$6:C$254)</f>
        <v>0</v>
      </c>
      <c r="D150" s="4"/>
      <c r="E150" s="3">
        <f>SUMIF('Raw Data 04-30-2020'!$A$6:$A$254,'Q2 TB-20'!A150,'Raw Data 04-30-2020'!D$6:D$254)</f>
        <v>0</v>
      </c>
      <c r="F150" s="3"/>
      <c r="G150" s="3">
        <f t="shared" si="4"/>
        <v>0</v>
      </c>
      <c r="H150" s="109" t="s">
        <v>439</v>
      </c>
      <c r="J150" s="19"/>
    </row>
    <row r="151" spans="1:10" x14ac:dyDescent="0.75">
      <c r="A151" s="12">
        <v>6015</v>
      </c>
      <c r="B151" s="13" t="s">
        <v>591</v>
      </c>
      <c r="C151" s="3">
        <f>SUMIF('Raw Data 04-30-2020'!$A$6:$A$254,'Q2 TB-20'!A151,'Raw Data 04-30-2020'!C$6:C$254)</f>
        <v>0</v>
      </c>
      <c r="D151" s="4"/>
      <c r="E151" s="3">
        <f>SUMIF('Raw Data 04-30-2020'!$A$6:$A$254,'Q2 TB-20'!A151,'Raw Data 04-30-2020'!D$6:D$254)</f>
        <v>0</v>
      </c>
      <c r="F151" s="3"/>
      <c r="G151" s="3">
        <f t="shared" si="4"/>
        <v>0</v>
      </c>
      <c r="H151" s="109" t="s">
        <v>439</v>
      </c>
      <c r="J151" s="19"/>
    </row>
    <row r="152" spans="1:10" x14ac:dyDescent="0.75">
      <c r="A152" s="12">
        <v>6020</v>
      </c>
      <c r="B152" s="13" t="s">
        <v>592</v>
      </c>
      <c r="C152" s="3">
        <f>SUMIF('Raw Data 04-30-2020'!$A$6:$A$254,'Q2 TB-20'!A152,'Raw Data 04-30-2020'!C$6:C$254)</f>
        <v>0</v>
      </c>
      <c r="D152" s="4"/>
      <c r="E152" s="3">
        <f>SUMIF('Raw Data 04-30-2020'!$A$6:$A$254,'Q2 TB-20'!A152,'Raw Data 04-30-2020'!D$6:D$254)</f>
        <v>0</v>
      </c>
      <c r="F152" s="3"/>
      <c r="G152" s="3">
        <f t="shared" si="4"/>
        <v>0</v>
      </c>
      <c r="H152" s="109" t="s">
        <v>439</v>
      </c>
      <c r="J152" s="19"/>
    </row>
    <row r="153" spans="1:10" x14ac:dyDescent="0.75">
      <c r="A153" s="12">
        <v>6025</v>
      </c>
      <c r="B153" s="13" t="s">
        <v>593</v>
      </c>
      <c r="C153" s="3">
        <f>SUMIF('Raw Data 04-30-2020'!$A$6:$A$254,'Q2 TB-20'!A153,'Raw Data 04-30-2020'!C$6:C$254)</f>
        <v>572</v>
      </c>
      <c r="D153" s="4"/>
      <c r="E153" s="3">
        <f>SUMIF('Raw Data 04-30-2020'!$A$6:$A$254,'Q2 TB-20'!A153,'Raw Data 04-30-2020'!D$6:D$254)</f>
        <v>0</v>
      </c>
      <c r="F153" s="3"/>
      <c r="G153" s="3">
        <f t="shared" si="4"/>
        <v>572</v>
      </c>
      <c r="H153" s="109" t="s">
        <v>439</v>
      </c>
      <c r="J153" s="19"/>
    </row>
    <row r="154" spans="1:10" x14ac:dyDescent="0.75">
      <c r="A154" s="12">
        <v>6030</v>
      </c>
      <c r="B154" s="13" t="s">
        <v>594</v>
      </c>
      <c r="C154" s="3">
        <f>SUMIF('Raw Data 04-30-2020'!$A$6:$A$254,'Q2 TB-20'!A154,'Raw Data 04-30-2020'!C$6:C$254)</f>
        <v>955.64</v>
      </c>
      <c r="D154" s="4"/>
      <c r="E154" s="3">
        <f>SUMIF('Raw Data 04-30-2020'!$A$6:$A$254,'Q2 TB-20'!A154,'Raw Data 04-30-2020'!D$6:D$254)</f>
        <v>0</v>
      </c>
      <c r="F154" s="3"/>
      <c r="G154" s="3">
        <f t="shared" si="4"/>
        <v>955.64</v>
      </c>
      <c r="H154" s="109" t="s">
        <v>439</v>
      </c>
      <c r="J154" s="19"/>
    </row>
    <row r="155" spans="1:10" x14ac:dyDescent="0.75">
      <c r="A155" s="12">
        <v>6035</v>
      </c>
      <c r="B155" s="13" t="s">
        <v>595</v>
      </c>
      <c r="C155" s="3">
        <f>SUMIF('Raw Data 04-30-2020'!$A$6:$A$254,'Q2 TB-20'!A155,'Raw Data 04-30-2020'!C$6:C$254)</f>
        <v>0</v>
      </c>
      <c r="D155" s="4"/>
      <c r="E155" s="3">
        <f>SUMIF('Raw Data 04-30-2020'!$A$6:$A$254,'Q2 TB-20'!A155,'Raw Data 04-30-2020'!D$6:D$254)</f>
        <v>0</v>
      </c>
      <c r="F155" s="3"/>
      <c r="G155" s="3">
        <f t="shared" si="4"/>
        <v>0</v>
      </c>
      <c r="H155" s="109" t="s">
        <v>439</v>
      </c>
      <c r="J155" s="19"/>
    </row>
    <row r="156" spans="1:10" x14ac:dyDescent="0.75">
      <c r="A156" s="12">
        <v>6040</v>
      </c>
      <c r="B156" s="13" t="s">
        <v>596</v>
      </c>
      <c r="C156" s="3">
        <f>SUMIF('Raw Data 04-30-2020'!$A$6:$A$254,'Q2 TB-20'!A156,'Raw Data 04-30-2020'!C$6:C$254)</f>
        <v>0</v>
      </c>
      <c r="D156" s="4"/>
      <c r="E156" s="3">
        <f>SUMIF('Raw Data 04-30-2020'!$A$6:$A$254,'Q2 TB-20'!A156,'Raw Data 04-30-2020'!D$6:D$254)</f>
        <v>0</v>
      </c>
      <c r="F156" s="3"/>
      <c r="G156" s="3">
        <f t="shared" si="4"/>
        <v>0</v>
      </c>
      <c r="H156" s="109" t="s">
        <v>439</v>
      </c>
      <c r="J156" s="19"/>
    </row>
    <row r="157" spans="1:10" x14ac:dyDescent="0.75">
      <c r="A157" s="12">
        <v>6055</v>
      </c>
      <c r="B157" s="13" t="s">
        <v>599</v>
      </c>
      <c r="C157" s="3">
        <f>SUMIF('Raw Data 04-30-2020'!$A$6:$A$254,'Q2 TB-20'!A157,'Raw Data 04-30-2020'!C$6:C$254)</f>
        <v>0</v>
      </c>
      <c r="D157" s="4"/>
      <c r="E157" s="3">
        <f>SUMIF('Raw Data 04-30-2020'!$A$6:$A$254,'Q2 TB-20'!A157,'Raw Data 04-30-2020'!D$6:D$254)</f>
        <v>0</v>
      </c>
      <c r="F157" s="3"/>
      <c r="G157" s="3">
        <f t="shared" si="4"/>
        <v>0</v>
      </c>
      <c r="H157" s="109" t="s">
        <v>439</v>
      </c>
      <c r="J157" s="19"/>
    </row>
    <row r="158" spans="1:10" x14ac:dyDescent="0.75">
      <c r="A158" s="12">
        <v>6060</v>
      </c>
      <c r="B158" s="13" t="s">
        <v>600</v>
      </c>
      <c r="C158" s="3">
        <f>SUMIF('Raw Data 04-30-2020'!$A$6:$A$254,'Q2 TB-20'!A158,'Raw Data 04-30-2020'!C$6:C$254)</f>
        <v>700</v>
      </c>
      <c r="D158" s="4"/>
      <c r="E158" s="3">
        <f>SUMIF('Raw Data 04-30-2020'!$A$6:$A$254,'Q2 TB-20'!A158,'Raw Data 04-30-2020'!D$6:D$254)</f>
        <v>0</v>
      </c>
      <c r="F158" s="3"/>
      <c r="G158" s="3">
        <f t="shared" si="4"/>
        <v>700</v>
      </c>
      <c r="H158" s="109" t="s">
        <v>439</v>
      </c>
      <c r="J158" s="19"/>
    </row>
    <row r="159" spans="1:10" x14ac:dyDescent="0.75">
      <c r="A159" s="12">
        <v>6065</v>
      </c>
      <c r="B159" s="13" t="s">
        <v>601</v>
      </c>
      <c r="C159" s="3">
        <f>SUMIF('Raw Data 04-30-2020'!$A$6:$A$254,'Q2 TB-20'!A159,'Raw Data 04-30-2020'!C$6:C$254)</f>
        <v>0</v>
      </c>
      <c r="D159" s="4"/>
      <c r="E159" s="3">
        <f>SUMIF('Raw Data 04-30-2020'!$A$6:$A$254,'Q2 TB-20'!A159,'Raw Data 04-30-2020'!D$6:D$254)</f>
        <v>0</v>
      </c>
      <c r="F159" s="3"/>
      <c r="G159" s="3">
        <f t="shared" si="4"/>
        <v>0</v>
      </c>
      <c r="H159" s="109" t="s">
        <v>439</v>
      </c>
      <c r="J159" s="19"/>
    </row>
    <row r="160" spans="1:10" x14ac:dyDescent="0.75">
      <c r="A160" s="12">
        <v>6070</v>
      </c>
      <c r="B160" s="13" t="s">
        <v>602</v>
      </c>
      <c r="C160" s="3">
        <f>SUMIF('Raw Data 04-30-2020'!$A$6:$A$254,'Q2 TB-20'!A160,'Raw Data 04-30-2020'!C$6:C$254)</f>
        <v>0</v>
      </c>
      <c r="D160" s="4"/>
      <c r="E160" s="3">
        <f>SUMIF('Raw Data 04-30-2020'!$A$6:$A$254,'Q2 TB-20'!A160,'Raw Data 04-30-2020'!D$6:D$254)</f>
        <v>0</v>
      </c>
      <c r="F160" s="3"/>
      <c r="G160" s="3">
        <f t="shared" si="4"/>
        <v>0</v>
      </c>
      <c r="H160" s="109" t="s">
        <v>439</v>
      </c>
      <c r="J160" s="19"/>
    </row>
    <row r="161" spans="1:10" x14ac:dyDescent="0.75">
      <c r="A161" s="12">
        <v>6075</v>
      </c>
      <c r="B161" s="13" t="s">
        <v>603</v>
      </c>
      <c r="C161" s="3">
        <f>SUMIF('Raw Data 04-30-2020'!$A$6:$A$254,'Q2 TB-20'!A161,'Raw Data 04-30-2020'!C$6:C$254)</f>
        <v>36172.870000000003</v>
      </c>
      <c r="D161" s="4"/>
      <c r="E161" s="3">
        <f>SUMIF('Raw Data 04-30-2020'!$A$6:$A$254,'Q2 TB-20'!A161,'Raw Data 04-30-2020'!D$6:D$254)</f>
        <v>0</v>
      </c>
      <c r="F161" s="3"/>
      <c r="G161" s="3">
        <f t="shared" si="4"/>
        <v>36172.870000000003</v>
      </c>
      <c r="H161" s="109" t="s">
        <v>439</v>
      </c>
      <c r="J161" s="19"/>
    </row>
    <row r="162" spans="1:10" x14ac:dyDescent="0.75">
      <c r="A162" s="12">
        <v>6080</v>
      </c>
      <c r="B162" s="13" t="s">
        <v>604</v>
      </c>
      <c r="C162" s="3">
        <f>SUMIF('Raw Data 04-30-2020'!$A$6:$A$254,'Q2 TB-20'!A162,'Raw Data 04-30-2020'!C$6:C$254)</f>
        <v>0</v>
      </c>
      <c r="D162" s="4"/>
      <c r="E162" s="3">
        <f>SUMIF('Raw Data 04-30-2020'!$A$6:$A$254,'Q2 TB-20'!A162,'Raw Data 04-30-2020'!D$6:D$254)</f>
        <v>0</v>
      </c>
      <c r="F162" s="3"/>
      <c r="G162" s="3">
        <f t="shared" si="4"/>
        <v>0</v>
      </c>
      <c r="H162" s="109" t="s">
        <v>439</v>
      </c>
      <c r="J162" s="19"/>
    </row>
    <row r="163" spans="1:10" x14ac:dyDescent="0.75">
      <c r="A163" s="12">
        <v>6085</v>
      </c>
      <c r="B163" s="13" t="s">
        <v>605</v>
      </c>
      <c r="C163" s="3">
        <f>SUMIF('Raw Data 04-30-2020'!$A$6:$A$254,'Q2 TB-20'!A163,'Raw Data 04-30-2020'!C$6:C$254)</f>
        <v>1749.92</v>
      </c>
      <c r="D163" s="4"/>
      <c r="E163" s="3">
        <f>SUMIF('Raw Data 04-30-2020'!$A$6:$A$254,'Q2 TB-20'!A163,'Raw Data 04-30-2020'!D$6:D$254)</f>
        <v>0</v>
      </c>
      <c r="F163" s="3"/>
      <c r="G163" s="3">
        <f t="shared" si="4"/>
        <v>1749.92</v>
      </c>
      <c r="H163" s="109" t="s">
        <v>439</v>
      </c>
      <c r="J163" s="19"/>
    </row>
    <row r="164" spans="1:10" x14ac:dyDescent="0.75">
      <c r="A164" s="12">
        <v>6090</v>
      </c>
      <c r="B164" s="13" t="s">
        <v>606</v>
      </c>
      <c r="C164" s="3">
        <f>SUMIF('Raw Data 04-30-2020'!$A$6:$A$254,'Q2 TB-20'!A164,'Raw Data 04-30-2020'!C$6:C$254)</f>
        <v>0</v>
      </c>
      <c r="D164" s="4"/>
      <c r="E164" s="3">
        <f>SUMIF('Raw Data 04-30-2020'!$A$6:$A$254,'Q2 TB-20'!A164,'Raw Data 04-30-2020'!D$6:D$254)</f>
        <v>0</v>
      </c>
      <c r="F164" s="3"/>
      <c r="G164" s="3">
        <f t="shared" si="4"/>
        <v>0</v>
      </c>
      <c r="H164" s="109" t="s">
        <v>439</v>
      </c>
      <c r="J164" s="19"/>
    </row>
    <row r="165" spans="1:10" x14ac:dyDescent="0.75">
      <c r="A165" s="12">
        <v>6095</v>
      </c>
      <c r="B165" s="13" t="s">
        <v>607</v>
      </c>
      <c r="C165" s="3">
        <f>SUMIF('Raw Data 04-30-2020'!$A$6:$A$254,'Q2 TB-20'!A165,'Raw Data 04-30-2020'!C$6:C$254)</f>
        <v>0</v>
      </c>
      <c r="D165" s="4"/>
      <c r="E165" s="3">
        <f>SUMIF('Raw Data 04-30-2020'!$A$6:$A$254,'Q2 TB-20'!A165,'Raw Data 04-30-2020'!D$6:D$254)</f>
        <v>0</v>
      </c>
      <c r="F165" s="3"/>
      <c r="G165" s="3">
        <f t="shared" si="4"/>
        <v>0</v>
      </c>
      <c r="H165" s="109" t="s">
        <v>439</v>
      </c>
      <c r="J165" s="19"/>
    </row>
    <row r="166" spans="1:10" x14ac:dyDescent="0.75">
      <c r="A166" s="12">
        <v>6100</v>
      </c>
      <c r="B166" s="13" t="s">
        <v>608</v>
      </c>
      <c r="C166" s="3">
        <f>SUMIF('Raw Data 04-30-2020'!$A$6:$A$254,'Q2 TB-20'!A166,'Raw Data 04-30-2020'!C$6:C$254)</f>
        <v>540.24</v>
      </c>
      <c r="D166" s="4"/>
      <c r="E166" s="3">
        <f>SUMIF('Raw Data 04-30-2020'!$A$6:$A$254,'Q2 TB-20'!A166,'Raw Data 04-30-2020'!D$6:D$254)</f>
        <v>0</v>
      </c>
      <c r="F166" s="3"/>
      <c r="G166" s="3">
        <f t="shared" si="4"/>
        <v>540.24</v>
      </c>
      <c r="H166" s="109" t="s">
        <v>439</v>
      </c>
      <c r="J166" s="19"/>
    </row>
    <row r="167" spans="1:10" x14ac:dyDescent="0.75">
      <c r="A167" s="12">
        <v>6105</v>
      </c>
      <c r="B167" s="13" t="s">
        <v>609</v>
      </c>
      <c r="C167" s="3">
        <f>SUMIF('Raw Data 04-30-2020'!$A$6:$A$254,'Q2 TB-20'!A167,'Raw Data 04-30-2020'!C$6:C$254)</f>
        <v>1570.14</v>
      </c>
      <c r="D167" s="4"/>
      <c r="E167" s="3">
        <f>SUMIF('Raw Data 04-30-2020'!$A$6:$A$254,'Q2 TB-20'!A167,'Raw Data 04-30-2020'!D$6:D$254)</f>
        <v>0</v>
      </c>
      <c r="F167" s="3"/>
      <c r="G167" s="3">
        <f t="shared" si="4"/>
        <v>1570.14</v>
      </c>
      <c r="H167" s="109" t="s">
        <v>439</v>
      </c>
      <c r="J167" s="19"/>
    </row>
    <row r="168" spans="1:10" x14ac:dyDescent="0.75">
      <c r="A168" s="12">
        <v>6110</v>
      </c>
      <c r="B168" s="13" t="s">
        <v>610</v>
      </c>
      <c r="C168" s="3">
        <f>SUMIF('Raw Data 04-30-2020'!$A$6:$A$254,'Q2 TB-20'!A168,'Raw Data 04-30-2020'!C$6:C$254)</f>
        <v>0</v>
      </c>
      <c r="D168" s="4"/>
      <c r="E168" s="3">
        <f>SUMIF('Raw Data 04-30-2020'!$A$6:$A$254,'Q2 TB-20'!A168,'Raw Data 04-30-2020'!D$6:D$254)</f>
        <v>0</v>
      </c>
      <c r="F168" s="3"/>
      <c r="G168" s="3">
        <f t="shared" si="4"/>
        <v>0</v>
      </c>
      <c r="H168" s="109" t="s">
        <v>439</v>
      </c>
      <c r="J168" s="19"/>
    </row>
    <row r="169" spans="1:10" x14ac:dyDescent="0.75">
      <c r="A169" s="12">
        <v>6115</v>
      </c>
      <c r="B169" s="13" t="s">
        <v>611</v>
      </c>
      <c r="C169" s="3">
        <f>SUMIF('Raw Data 04-30-2020'!$A$6:$A$254,'Q2 TB-20'!A169,'Raw Data 04-30-2020'!C$6:C$254)</f>
        <v>0</v>
      </c>
      <c r="D169" s="4"/>
      <c r="E169" s="3">
        <f>SUMIF('Raw Data 04-30-2020'!$A$6:$A$254,'Q2 TB-20'!A169,'Raw Data 04-30-2020'!D$6:D$254)</f>
        <v>0</v>
      </c>
      <c r="F169" s="3"/>
      <c r="G169" s="3">
        <f t="shared" si="4"/>
        <v>0</v>
      </c>
      <c r="H169" s="109" t="s">
        <v>439</v>
      </c>
      <c r="J169" s="19"/>
    </row>
    <row r="170" spans="1:10" x14ac:dyDescent="0.75">
      <c r="A170" s="12">
        <v>6120</v>
      </c>
      <c r="B170" s="13" t="s">
        <v>612</v>
      </c>
      <c r="C170" s="3">
        <f>SUMIF('Raw Data 04-30-2020'!$A$6:$A$254,'Q2 TB-20'!A170,'Raw Data 04-30-2020'!C$6:C$254)</f>
        <v>1098.92</v>
      </c>
      <c r="D170" s="4"/>
      <c r="E170" s="3">
        <f>SUMIF('Raw Data 04-30-2020'!$A$6:$A$254,'Q2 TB-20'!A170,'Raw Data 04-30-2020'!D$6:D$254)</f>
        <v>0</v>
      </c>
      <c r="F170" s="3"/>
      <c r="G170" s="3">
        <f t="shared" si="4"/>
        <v>1098.92</v>
      </c>
      <c r="H170" s="109" t="s">
        <v>439</v>
      </c>
      <c r="J170" s="19"/>
    </row>
    <row r="171" spans="1:10" x14ac:dyDescent="0.75">
      <c r="A171" s="12">
        <v>6125</v>
      </c>
      <c r="B171" s="13" t="s">
        <v>613</v>
      </c>
      <c r="C171" s="3">
        <f>SUMIF('Raw Data 04-30-2020'!$A$6:$A$254,'Q2 TB-20'!A171,'Raw Data 04-30-2020'!C$6:C$254)</f>
        <v>0</v>
      </c>
      <c r="D171" s="4"/>
      <c r="E171" s="3">
        <f>SUMIF('Raw Data 04-30-2020'!$A$6:$A$254,'Q2 TB-20'!A171,'Raw Data 04-30-2020'!D$6:D$254)</f>
        <v>0</v>
      </c>
      <c r="F171" s="3"/>
      <c r="G171" s="3">
        <f t="shared" si="4"/>
        <v>0</v>
      </c>
      <c r="H171" s="109" t="s">
        <v>439</v>
      </c>
      <c r="J171" s="19"/>
    </row>
    <row r="172" spans="1:10" x14ac:dyDescent="0.75">
      <c r="A172" s="12">
        <v>6130</v>
      </c>
      <c r="B172" s="13" t="s">
        <v>614</v>
      </c>
      <c r="C172" s="3">
        <f>SUMIF('Raw Data 04-30-2020'!$A$6:$A$254,'Q2 TB-20'!A172,'Raw Data 04-30-2020'!C$6:C$254)</f>
        <v>0</v>
      </c>
      <c r="D172" s="4"/>
      <c r="E172" s="3">
        <f>SUMIF('Raw Data 04-30-2020'!$A$6:$A$254,'Q2 TB-20'!A172,'Raw Data 04-30-2020'!D$6:D$254)</f>
        <v>0</v>
      </c>
      <c r="F172" s="3"/>
      <c r="G172" s="3">
        <f t="shared" si="4"/>
        <v>0</v>
      </c>
      <c r="H172" s="109" t="s">
        <v>439</v>
      </c>
      <c r="J172" s="19"/>
    </row>
    <row r="173" spans="1:10" x14ac:dyDescent="0.75">
      <c r="A173" s="12">
        <v>6135</v>
      </c>
      <c r="B173" s="13" t="s">
        <v>615</v>
      </c>
      <c r="C173" s="3">
        <f>SUMIF('Raw Data 04-30-2020'!$A$6:$A$254,'Q2 TB-20'!A173,'Raw Data 04-30-2020'!C$6:C$254)</f>
        <v>6177.04</v>
      </c>
      <c r="D173" s="4"/>
      <c r="E173" s="3">
        <f>SUMIF('Raw Data 04-30-2020'!$A$6:$A$254,'Q2 TB-20'!A173,'Raw Data 04-30-2020'!D$6:D$254)</f>
        <v>0</v>
      </c>
      <c r="F173" s="3"/>
      <c r="G173" s="3">
        <f t="shared" si="4"/>
        <v>6177.04</v>
      </c>
      <c r="H173" s="109" t="s">
        <v>439</v>
      </c>
      <c r="J173" s="19"/>
    </row>
    <row r="174" spans="1:10" x14ac:dyDescent="0.75">
      <c r="A174" s="12">
        <v>6140</v>
      </c>
      <c r="B174" s="13" t="s">
        <v>616</v>
      </c>
      <c r="C174" s="3">
        <f>SUMIF('Raw Data 04-30-2020'!$A$6:$A$254,'Q2 TB-20'!A174,'Raw Data 04-30-2020'!C$6:C$254)</f>
        <v>0</v>
      </c>
      <c r="D174" s="4"/>
      <c r="E174" s="3">
        <f>SUMIF('Raw Data 04-30-2020'!$A$6:$A$254,'Q2 TB-20'!A174,'Raw Data 04-30-2020'!D$6:D$254)</f>
        <v>0</v>
      </c>
      <c r="F174" s="3"/>
      <c r="G174" s="3">
        <f t="shared" si="4"/>
        <v>0</v>
      </c>
      <c r="H174" s="109" t="s">
        <v>439</v>
      </c>
      <c r="J174" s="19"/>
    </row>
    <row r="175" spans="1:10" x14ac:dyDescent="0.75">
      <c r="A175" s="12">
        <v>6145</v>
      </c>
      <c r="B175" s="13" t="s">
        <v>617</v>
      </c>
      <c r="C175" s="3">
        <f>SUMIF('Raw Data 04-30-2020'!$A$6:$A$254,'Q2 TB-20'!A175,'Raw Data 04-30-2020'!C$6:C$254)</f>
        <v>0</v>
      </c>
      <c r="D175" s="4"/>
      <c r="E175" s="3">
        <f>SUMIF('Raw Data 04-30-2020'!$A$6:$A$254,'Q2 TB-20'!A175,'Raw Data 04-30-2020'!D$6:D$254)</f>
        <v>0</v>
      </c>
      <c r="F175" s="3"/>
      <c r="G175" s="3">
        <f t="shared" si="4"/>
        <v>0</v>
      </c>
      <c r="H175" s="109" t="s">
        <v>439</v>
      </c>
      <c r="J175" s="19"/>
    </row>
    <row r="176" spans="1:10" x14ac:dyDescent="0.75">
      <c r="A176" s="12">
        <v>6150</v>
      </c>
      <c r="B176" s="13" t="s">
        <v>618</v>
      </c>
      <c r="C176" s="3">
        <f>SUMIF('Raw Data 04-30-2020'!$A$6:$A$254,'Q2 TB-20'!A176,'Raw Data 04-30-2020'!C$6:C$254)</f>
        <v>6163</v>
      </c>
      <c r="D176" s="4"/>
      <c r="E176" s="3">
        <f>SUMIF('Raw Data 04-30-2020'!$A$6:$A$254,'Q2 TB-20'!A176,'Raw Data 04-30-2020'!D$6:D$254)</f>
        <v>0</v>
      </c>
      <c r="F176" s="3"/>
      <c r="G176" s="3">
        <f t="shared" si="4"/>
        <v>6163</v>
      </c>
      <c r="H176" s="109" t="s">
        <v>439</v>
      </c>
      <c r="J176" s="19"/>
    </row>
    <row r="177" spans="1:10" x14ac:dyDescent="0.75">
      <c r="A177" s="12">
        <v>6155</v>
      </c>
      <c r="B177" s="13" t="s">
        <v>619</v>
      </c>
      <c r="C177" s="3">
        <f>SUMIF('Raw Data 04-30-2020'!$A$6:$A$254,'Q2 TB-20'!A177,'Raw Data 04-30-2020'!C$6:C$254)</f>
        <v>7859.98</v>
      </c>
      <c r="D177" s="4"/>
      <c r="E177" s="3">
        <f>SUMIF('Raw Data 04-30-2020'!$A$6:$A$254,'Q2 TB-20'!A177,'Raw Data 04-30-2020'!D$6:D$254)</f>
        <v>0</v>
      </c>
      <c r="F177" s="3"/>
      <c r="G177" s="3">
        <f t="shared" si="4"/>
        <v>7859.98</v>
      </c>
      <c r="H177" s="109" t="s">
        <v>439</v>
      </c>
      <c r="J177" s="19"/>
    </row>
    <row r="178" spans="1:10" x14ac:dyDescent="0.75">
      <c r="A178" s="12">
        <v>6200</v>
      </c>
      <c r="B178" s="13" t="s">
        <v>625</v>
      </c>
      <c r="C178" s="3">
        <f>SUMIF('Raw Data 04-30-2020'!$A$6:$A$254,'Q2 TB-20'!A178,'Raw Data 04-30-2020'!C$6:C$254)</f>
        <v>0</v>
      </c>
      <c r="D178" s="4"/>
      <c r="E178" s="3">
        <f>SUMIF('Raw Data 04-30-2020'!$A$6:$A$254,'Q2 TB-20'!A178,'Raw Data 04-30-2020'!D$6:D$254)</f>
        <v>0</v>
      </c>
      <c r="F178" s="3"/>
      <c r="G178" s="3">
        <f t="shared" si="4"/>
        <v>0</v>
      </c>
      <c r="H178" s="109" t="s">
        <v>439</v>
      </c>
      <c r="J178" s="19"/>
    </row>
    <row r="179" spans="1:10" x14ac:dyDescent="0.75">
      <c r="A179" s="12">
        <v>6205</v>
      </c>
      <c r="B179" s="13" t="s">
        <v>626</v>
      </c>
      <c r="C179" s="3">
        <f>SUMIF('Raw Data 04-30-2020'!$A$6:$A$254,'Q2 TB-20'!A179,'Raw Data 04-30-2020'!C$6:C$254)</f>
        <v>0</v>
      </c>
      <c r="D179" s="4"/>
      <c r="E179" s="3">
        <f>SUMIF('Raw Data 04-30-2020'!$A$6:$A$254,'Q2 TB-20'!A179,'Raw Data 04-30-2020'!D$6:D$254)</f>
        <v>0</v>
      </c>
      <c r="F179" s="3"/>
      <c r="G179" s="3">
        <f t="shared" si="4"/>
        <v>0</v>
      </c>
      <c r="H179" s="109" t="s">
        <v>439</v>
      </c>
      <c r="J179" s="19"/>
    </row>
    <row r="180" spans="1:10" x14ac:dyDescent="0.75">
      <c r="A180" s="12">
        <v>6210</v>
      </c>
      <c r="B180" s="13" t="s">
        <v>627</v>
      </c>
      <c r="C180" s="3">
        <f>SUMIF('Raw Data 04-30-2020'!$A$6:$A$254,'Q2 TB-20'!A180,'Raw Data 04-30-2020'!C$6:C$254)</f>
        <v>802.67</v>
      </c>
      <c r="D180" s="4"/>
      <c r="E180" s="3">
        <f>SUMIF('Raw Data 04-30-2020'!$A$6:$A$254,'Q2 TB-20'!A180,'Raw Data 04-30-2020'!D$6:D$254)</f>
        <v>0</v>
      </c>
      <c r="F180" s="3"/>
      <c r="G180" s="3">
        <f t="shared" si="4"/>
        <v>802.67</v>
      </c>
      <c r="H180" s="109" t="s">
        <v>439</v>
      </c>
      <c r="J180" s="19"/>
    </row>
    <row r="181" spans="1:10" x14ac:dyDescent="0.75">
      <c r="A181" s="12">
        <v>6215</v>
      </c>
      <c r="B181" s="13" t="s">
        <v>628</v>
      </c>
      <c r="C181" s="3">
        <f>SUMIF('Raw Data 04-30-2020'!$A$6:$A$254,'Q2 TB-20'!A181,'Raw Data 04-30-2020'!C$6:C$254)</f>
        <v>1303.83</v>
      </c>
      <c r="D181" s="4"/>
      <c r="E181" s="3">
        <f>SUMIF('Raw Data 04-30-2020'!$A$6:$A$254,'Q2 TB-20'!A181,'Raw Data 04-30-2020'!D$6:D$254)</f>
        <v>0</v>
      </c>
      <c r="F181" s="3"/>
      <c r="G181" s="3">
        <f t="shared" si="4"/>
        <v>1303.83</v>
      </c>
      <c r="H181" s="109" t="s">
        <v>439</v>
      </c>
      <c r="J181" s="19"/>
    </row>
    <row r="182" spans="1:10" x14ac:dyDescent="0.75">
      <c r="A182" s="12">
        <v>6220</v>
      </c>
      <c r="B182" s="13" t="s">
        <v>629</v>
      </c>
      <c r="C182" s="3">
        <f>SUMIF('Raw Data 04-30-2020'!$A$6:$A$254,'Q2 TB-20'!A182,'Raw Data 04-30-2020'!C$6:C$254)</f>
        <v>2664.53</v>
      </c>
      <c r="D182" s="4"/>
      <c r="E182" s="3">
        <f>SUMIF('Raw Data 04-30-2020'!$A$6:$A$254,'Q2 TB-20'!A182,'Raw Data 04-30-2020'!D$6:D$254)</f>
        <v>0</v>
      </c>
      <c r="F182" s="3"/>
      <c r="G182" s="3">
        <f t="shared" si="4"/>
        <v>2664.53</v>
      </c>
      <c r="H182" s="109" t="s">
        <v>439</v>
      </c>
      <c r="J182" s="19"/>
    </row>
    <row r="183" spans="1:10" x14ac:dyDescent="0.75">
      <c r="A183" s="12">
        <v>6225</v>
      </c>
      <c r="B183" s="13" t="s">
        <v>630</v>
      </c>
      <c r="C183" s="3">
        <f>SUMIF('Raw Data 04-30-2020'!$A$6:$A$254,'Q2 TB-20'!A183,'Raw Data 04-30-2020'!C$6:C$254)</f>
        <v>0</v>
      </c>
      <c r="D183" s="4"/>
      <c r="E183" s="3">
        <f>SUMIF('Raw Data 04-30-2020'!$A$6:$A$254,'Q2 TB-20'!A183,'Raw Data 04-30-2020'!D$6:D$254)</f>
        <v>0</v>
      </c>
      <c r="F183" s="3"/>
      <c r="G183" s="3">
        <f t="shared" si="4"/>
        <v>0</v>
      </c>
      <c r="H183" s="109" t="s">
        <v>439</v>
      </c>
      <c r="J183" s="19"/>
    </row>
    <row r="184" spans="1:10" x14ac:dyDescent="0.75">
      <c r="A184" s="12">
        <v>6230</v>
      </c>
      <c r="B184" s="13" t="s">
        <v>631</v>
      </c>
      <c r="C184" s="3">
        <f>SUMIF('Raw Data 04-30-2020'!$A$6:$A$254,'Q2 TB-20'!A184,'Raw Data 04-30-2020'!C$6:C$254)</f>
        <v>0</v>
      </c>
      <c r="D184" s="4"/>
      <c r="E184" s="3">
        <f>SUMIF('Raw Data 04-30-2020'!$A$6:$A$254,'Q2 TB-20'!A184,'Raw Data 04-30-2020'!D$6:D$254)</f>
        <v>0</v>
      </c>
      <c r="F184" s="3"/>
      <c r="G184" s="3">
        <f t="shared" si="4"/>
        <v>0</v>
      </c>
      <c r="H184" s="109" t="s">
        <v>439</v>
      </c>
      <c r="J184" s="19"/>
    </row>
    <row r="185" spans="1:10" x14ac:dyDescent="0.75">
      <c r="A185" s="12">
        <v>6235</v>
      </c>
      <c r="B185" s="13" t="s">
        <v>632</v>
      </c>
      <c r="C185" s="3">
        <f>SUMIF('Raw Data 04-30-2020'!$A$6:$A$254,'Q2 TB-20'!A185,'Raw Data 04-30-2020'!C$6:C$254)</f>
        <v>0</v>
      </c>
      <c r="D185" s="4"/>
      <c r="E185" s="3">
        <f>SUMIF('Raw Data 04-30-2020'!$A$6:$A$254,'Q2 TB-20'!A185,'Raw Data 04-30-2020'!D$6:D$254)</f>
        <v>0</v>
      </c>
      <c r="F185" s="3"/>
      <c r="G185" s="3">
        <f t="shared" si="4"/>
        <v>0</v>
      </c>
      <c r="H185" s="109" t="s">
        <v>439</v>
      </c>
      <c r="J185" s="19"/>
    </row>
    <row r="186" spans="1:10" x14ac:dyDescent="0.75">
      <c r="A186" s="12">
        <v>6240</v>
      </c>
      <c r="B186" s="13" t="s">
        <v>633</v>
      </c>
      <c r="C186" s="3">
        <f>SUMIF('Raw Data 04-30-2020'!$A$6:$A$254,'Q2 TB-20'!A186,'Raw Data 04-30-2020'!C$6:C$254)</f>
        <v>0</v>
      </c>
      <c r="D186" s="4"/>
      <c r="E186" s="3">
        <f>SUMIF('Raw Data 04-30-2020'!$A$6:$A$254,'Q2 TB-20'!A186,'Raw Data 04-30-2020'!D$6:D$254)</f>
        <v>0</v>
      </c>
      <c r="F186" s="3"/>
      <c r="G186" s="3">
        <f t="shared" si="4"/>
        <v>0</v>
      </c>
      <c r="H186" s="109" t="s">
        <v>439</v>
      </c>
      <c r="J186" s="19"/>
    </row>
    <row r="187" spans="1:10" x14ac:dyDescent="0.75">
      <c r="A187" s="12">
        <v>6245</v>
      </c>
      <c r="B187" s="13" t="s">
        <v>634</v>
      </c>
      <c r="C187" s="3">
        <f>SUMIF('Raw Data 04-30-2020'!$A$6:$A$254,'Q2 TB-20'!A187,'Raw Data 04-30-2020'!C$6:C$254)</f>
        <v>841.24</v>
      </c>
      <c r="D187" s="4"/>
      <c r="E187" s="3">
        <f>SUMIF('Raw Data 04-30-2020'!$A$6:$A$254,'Q2 TB-20'!A187,'Raw Data 04-30-2020'!D$6:D$254)</f>
        <v>0</v>
      </c>
      <c r="F187" s="3"/>
      <c r="G187" s="3">
        <f t="shared" si="4"/>
        <v>841.24</v>
      </c>
      <c r="H187" s="109" t="s">
        <v>439</v>
      </c>
      <c r="J187" s="19"/>
    </row>
    <row r="188" spans="1:10" x14ac:dyDescent="0.75">
      <c r="A188" s="12">
        <v>6250</v>
      </c>
      <c r="B188" s="13" t="s">
        <v>635</v>
      </c>
      <c r="C188" s="3">
        <f>SUMIF('Raw Data 04-30-2020'!$A$6:$A$254,'Q2 TB-20'!A188,'Raw Data 04-30-2020'!C$6:C$254)</f>
        <v>0</v>
      </c>
      <c r="D188" s="4"/>
      <c r="E188" s="3">
        <f>SUMIF('Raw Data 04-30-2020'!$A$6:$A$254,'Q2 TB-20'!A188,'Raw Data 04-30-2020'!D$6:D$254)</f>
        <v>0</v>
      </c>
      <c r="F188" s="3"/>
      <c r="G188" s="3">
        <f t="shared" si="4"/>
        <v>0</v>
      </c>
      <c r="H188" s="109" t="s">
        <v>439</v>
      </c>
      <c r="J188" s="19"/>
    </row>
    <row r="189" spans="1:10" x14ac:dyDescent="0.75">
      <c r="A189" s="14">
        <v>6255</v>
      </c>
      <c r="B189" s="13" t="s">
        <v>636</v>
      </c>
      <c r="C189" s="3">
        <f>SUMIF('Raw Data 04-30-2020'!$A$6:$A$254,'Q2 TB-20'!A189,'Raw Data 04-30-2020'!C$6:C$254)</f>
        <v>0</v>
      </c>
      <c r="D189" s="4"/>
      <c r="E189" s="3">
        <f>SUMIF('Raw Data 04-30-2020'!$A$6:$A$254,'Q2 TB-20'!A189,'Raw Data 04-30-2020'!D$6:D$254)</f>
        <v>0</v>
      </c>
      <c r="F189" s="3"/>
      <c r="G189" s="3">
        <f t="shared" si="4"/>
        <v>0</v>
      </c>
      <c r="H189" s="109" t="s">
        <v>439</v>
      </c>
      <c r="J189" s="19"/>
    </row>
    <row r="190" spans="1:10" x14ac:dyDescent="0.75">
      <c r="A190" s="14">
        <v>6260</v>
      </c>
      <c r="B190" s="13" t="s">
        <v>637</v>
      </c>
      <c r="C190" s="3">
        <f>SUMIF('Raw Data 04-30-2020'!$A$6:$A$254,'Q2 TB-20'!A190,'Raw Data 04-30-2020'!C$6:C$254)</f>
        <v>0</v>
      </c>
      <c r="D190" s="4"/>
      <c r="E190" s="3">
        <f>SUMIF('Raw Data 04-30-2020'!$A$6:$A$254,'Q2 TB-20'!A190,'Raw Data 04-30-2020'!D$6:D$254)</f>
        <v>0</v>
      </c>
      <c r="F190" s="3"/>
      <c r="G190" s="3">
        <f t="shared" si="4"/>
        <v>0</v>
      </c>
      <c r="H190" s="109" t="s">
        <v>439</v>
      </c>
      <c r="J190" s="19"/>
    </row>
    <row r="191" spans="1:10" x14ac:dyDescent="0.75">
      <c r="A191" s="14">
        <v>6265</v>
      </c>
      <c r="B191" s="13" t="s">
        <v>638</v>
      </c>
      <c r="C191" s="3">
        <f>SUMIF('Raw Data 04-30-2020'!$A$6:$A$254,'Q2 TB-20'!A191,'Raw Data 04-30-2020'!C$6:C$254)</f>
        <v>0</v>
      </c>
      <c r="D191" s="4"/>
      <c r="E191" s="3">
        <f>SUMIF('Raw Data 04-30-2020'!$A$6:$A$254,'Q2 TB-20'!A191,'Raw Data 04-30-2020'!D$6:D$254)</f>
        <v>0</v>
      </c>
      <c r="F191" s="3"/>
      <c r="G191" s="3">
        <f t="shared" si="4"/>
        <v>0</v>
      </c>
      <c r="H191" s="109" t="s">
        <v>439</v>
      </c>
      <c r="J191" s="19"/>
    </row>
    <row r="192" spans="1:10" x14ac:dyDescent="0.75">
      <c r="A192" s="14">
        <v>6270</v>
      </c>
      <c r="B192" s="13" t="s">
        <v>639</v>
      </c>
      <c r="C192" s="3">
        <f>SUMIF('Raw Data 04-30-2020'!$A$6:$A$254,'Q2 TB-20'!A192,'Raw Data 04-30-2020'!C$6:C$254)</f>
        <v>109550</v>
      </c>
      <c r="D192" s="4"/>
      <c r="E192" s="3">
        <f>SUMIF('Raw Data 04-30-2020'!$A$6:$A$254,'Q2 TB-20'!A192,'Raw Data 04-30-2020'!D$6:D$254)</f>
        <v>0</v>
      </c>
      <c r="F192" s="3"/>
      <c r="G192" s="3">
        <f t="shared" si="4"/>
        <v>109550</v>
      </c>
      <c r="H192" s="109" t="s">
        <v>439</v>
      </c>
      <c r="J192" s="19"/>
    </row>
    <row r="193" spans="1:10" s="6" customFormat="1" x14ac:dyDescent="0.75">
      <c r="A193" s="12">
        <v>6275</v>
      </c>
      <c r="B193" s="13" t="s">
        <v>640</v>
      </c>
      <c r="C193" s="3">
        <f>SUMIF('Raw Data 04-30-2020'!$A$6:$A$254,'Q2 TB-20'!A193,'Raw Data 04-30-2020'!C$6:C$254)</f>
        <v>93693.46</v>
      </c>
      <c r="D193" s="4"/>
      <c r="E193" s="3">
        <f>SUMIF('Raw Data 04-30-2020'!$A$6:$A$254,'Q2 TB-20'!A193,'Raw Data 04-30-2020'!D$6:D$254)</f>
        <v>0</v>
      </c>
      <c r="F193" s="3"/>
      <c r="G193" s="3">
        <f t="shared" si="4"/>
        <v>93693.46</v>
      </c>
      <c r="H193" s="109" t="s">
        <v>439</v>
      </c>
      <c r="I193" s="85"/>
      <c r="J193" s="19"/>
    </row>
    <row r="194" spans="1:10" x14ac:dyDescent="0.75">
      <c r="A194" s="14">
        <v>6280</v>
      </c>
      <c r="B194" s="13" t="s">
        <v>641</v>
      </c>
      <c r="C194" s="3">
        <f>SUMIF('Raw Data 04-30-2020'!$A$6:$A$254,'Q2 TB-20'!A194,'Raw Data 04-30-2020'!C$6:C$254)</f>
        <v>25985.27</v>
      </c>
      <c r="D194" s="4"/>
      <c r="E194" s="3">
        <f>SUMIF('Raw Data 04-30-2020'!$A$6:$A$254,'Q2 TB-20'!A194,'Raw Data 04-30-2020'!D$6:D$254)</f>
        <v>0</v>
      </c>
      <c r="F194" s="3"/>
      <c r="G194" s="3">
        <f t="shared" si="4"/>
        <v>25985.27</v>
      </c>
      <c r="H194" s="109" t="s">
        <v>439</v>
      </c>
      <c r="J194" s="19"/>
    </row>
    <row r="195" spans="1:10" x14ac:dyDescent="0.75">
      <c r="A195" s="12">
        <v>6285</v>
      </c>
      <c r="B195" s="13" t="s">
        <v>642</v>
      </c>
      <c r="C195" s="3">
        <f>SUMIF('Raw Data 04-30-2020'!$A$6:$A$254,'Q2 TB-20'!A195,'Raw Data 04-30-2020'!C$6:C$254)</f>
        <v>0</v>
      </c>
      <c r="D195" s="4"/>
      <c r="E195" s="3">
        <f>SUMIF('Raw Data 04-30-2020'!$A$6:$A$254,'Q2 TB-20'!A195,'Raw Data 04-30-2020'!D$6:D$254)</f>
        <v>0</v>
      </c>
      <c r="F195" s="3"/>
      <c r="G195" s="3">
        <f t="shared" si="4"/>
        <v>0</v>
      </c>
      <c r="H195" s="109" t="s">
        <v>439</v>
      </c>
      <c r="J195" s="19"/>
    </row>
    <row r="196" spans="1:10" x14ac:dyDescent="0.75">
      <c r="A196" s="14">
        <v>6290</v>
      </c>
      <c r="B196" s="13" t="s">
        <v>643</v>
      </c>
      <c r="C196" s="3">
        <f>SUMIF('Raw Data 04-30-2020'!$A$6:$A$254,'Q2 TB-20'!A196,'Raw Data 04-30-2020'!C$6:C$254)</f>
        <v>0</v>
      </c>
      <c r="D196" s="4"/>
      <c r="E196" s="3">
        <f>SUMIF('Raw Data 04-30-2020'!$A$6:$A$254,'Q2 TB-20'!A196,'Raw Data 04-30-2020'!D$6:D$254)</f>
        <v>0</v>
      </c>
      <c r="F196" s="3"/>
      <c r="G196" s="3">
        <f t="shared" si="4"/>
        <v>0</v>
      </c>
      <c r="H196" s="109" t="s">
        <v>439</v>
      </c>
      <c r="J196" s="19"/>
    </row>
    <row r="197" spans="1:10" x14ac:dyDescent="0.75">
      <c r="A197" s="14">
        <v>6295</v>
      </c>
      <c r="B197" s="13" t="s">
        <v>644</v>
      </c>
      <c r="C197" s="3">
        <f>SUMIF('Raw Data 04-30-2020'!$A$6:$A$254,'Q2 TB-20'!A197,'Raw Data 04-30-2020'!C$6:C$254)</f>
        <v>1573.5</v>
      </c>
      <c r="D197" s="4"/>
      <c r="E197" s="3">
        <f>SUMIF('Raw Data 04-30-2020'!$A$6:$A$254,'Q2 TB-20'!A197,'Raw Data 04-30-2020'!D$6:D$254)</f>
        <v>0</v>
      </c>
      <c r="F197" s="3"/>
      <c r="G197" s="3">
        <f t="shared" si="4"/>
        <v>1573.5</v>
      </c>
      <c r="H197" s="109" t="s">
        <v>439</v>
      </c>
      <c r="I197" s="6"/>
      <c r="J197" s="19"/>
    </row>
    <row r="198" spans="1:10" x14ac:dyDescent="0.75">
      <c r="A198" s="14">
        <v>6300</v>
      </c>
      <c r="B198" s="13" t="s">
        <v>645</v>
      </c>
      <c r="C198" s="3">
        <f>SUMIF('Raw Data 04-30-2020'!$A$6:$A$254,'Q2 TB-20'!A198,'Raw Data 04-30-2020'!C$6:C$254)</f>
        <v>1134.96</v>
      </c>
      <c r="D198" s="4"/>
      <c r="E198" s="3">
        <f>SUMIF('Raw Data 04-30-2020'!$A$6:$A$254,'Q2 TB-20'!A198,'Raw Data 04-30-2020'!D$6:D$254)</f>
        <v>0</v>
      </c>
      <c r="F198" s="3"/>
      <c r="G198" s="3">
        <f t="shared" si="4"/>
        <v>1134.96</v>
      </c>
      <c r="H198" s="109" t="s">
        <v>439</v>
      </c>
      <c r="J198" s="19"/>
    </row>
    <row r="199" spans="1:10" x14ac:dyDescent="0.75">
      <c r="A199" s="14">
        <v>6305</v>
      </c>
      <c r="B199" s="13" t="s">
        <v>646</v>
      </c>
      <c r="C199" s="3">
        <f>SUMIF('Raw Data 04-30-2020'!$A$6:$A$254,'Q2 TB-20'!A199,'Raw Data 04-30-2020'!C$6:C$254)</f>
        <v>0</v>
      </c>
      <c r="D199" s="4"/>
      <c r="E199" s="3">
        <f>SUMIF('Raw Data 04-30-2020'!$A$6:$A$254,'Q2 TB-20'!A199,'Raw Data 04-30-2020'!D$6:D$254)</f>
        <v>0</v>
      </c>
      <c r="F199" s="3"/>
      <c r="G199" s="3">
        <f t="shared" si="4"/>
        <v>0</v>
      </c>
      <c r="H199" s="109" t="s">
        <v>439</v>
      </c>
      <c r="J199" s="19"/>
    </row>
    <row r="200" spans="1:10" x14ac:dyDescent="0.75">
      <c r="A200" s="12">
        <v>6310</v>
      </c>
      <c r="B200" s="13" t="s">
        <v>647</v>
      </c>
      <c r="C200" s="3">
        <f>SUMIF('Raw Data 04-30-2020'!$A$6:$A$254,'Q2 TB-20'!A200,'Raw Data 04-30-2020'!C$6:C$254)</f>
        <v>0</v>
      </c>
      <c r="D200" s="4"/>
      <c r="E200" s="3">
        <f>SUMIF('Raw Data 04-30-2020'!$A$6:$A$254,'Q2 TB-20'!A200,'Raw Data 04-30-2020'!D$6:D$254)</f>
        <v>0</v>
      </c>
      <c r="F200" s="3"/>
      <c r="G200" s="3">
        <f t="shared" si="4"/>
        <v>0</v>
      </c>
      <c r="H200" s="109" t="s">
        <v>439</v>
      </c>
      <c r="J200" s="19"/>
    </row>
    <row r="201" spans="1:10" x14ac:dyDescent="0.75">
      <c r="A201" s="14">
        <v>6315</v>
      </c>
      <c r="B201" s="13" t="s">
        <v>648</v>
      </c>
      <c r="C201" s="3">
        <f>SUMIF('Raw Data 04-30-2020'!$A$6:$A$254,'Q2 TB-20'!A201,'Raw Data 04-30-2020'!C$6:C$254)</f>
        <v>15349.48</v>
      </c>
      <c r="D201" s="4"/>
      <c r="E201" s="3">
        <f>SUMIF('Raw Data 04-30-2020'!$A$6:$A$254,'Q2 TB-20'!A201,'Raw Data 04-30-2020'!D$6:D$254)</f>
        <v>0</v>
      </c>
      <c r="F201" s="3"/>
      <c r="G201" s="3">
        <f t="shared" si="4"/>
        <v>15349.48</v>
      </c>
      <c r="H201" s="109" t="s">
        <v>439</v>
      </c>
      <c r="J201" s="19"/>
    </row>
    <row r="202" spans="1:10" x14ac:dyDescent="0.75">
      <c r="A202" s="12">
        <v>6320</v>
      </c>
      <c r="B202" s="13" t="s">
        <v>649</v>
      </c>
      <c r="C202" s="3">
        <f>SUMIF('Raw Data 04-30-2020'!$A$6:$A$254,'Q2 TB-20'!A202,'Raw Data 04-30-2020'!C$6:C$254)</f>
        <v>0</v>
      </c>
      <c r="D202" s="4"/>
      <c r="E202" s="3">
        <f>SUMIF('Raw Data 04-30-2020'!$A$6:$A$254,'Q2 TB-20'!A202,'Raw Data 04-30-2020'!D$6:D$254)</f>
        <v>0</v>
      </c>
      <c r="F202" s="3"/>
      <c r="G202" s="3">
        <f t="shared" si="4"/>
        <v>0</v>
      </c>
      <c r="H202" s="109" t="s">
        <v>439</v>
      </c>
      <c r="J202" s="19"/>
    </row>
    <row r="203" spans="1:10" x14ac:dyDescent="0.75">
      <c r="A203" s="12">
        <v>6325</v>
      </c>
      <c r="B203" s="13" t="s">
        <v>650</v>
      </c>
      <c r="C203" s="3">
        <f>SUMIF('Raw Data 04-30-2020'!$A$6:$A$254,'Q2 TB-20'!A203,'Raw Data 04-30-2020'!C$6:C$254)</f>
        <v>0</v>
      </c>
      <c r="D203" s="4"/>
      <c r="E203" s="3">
        <f>SUMIF('Raw Data 04-30-2020'!$A$6:$A$254,'Q2 TB-20'!A203,'Raw Data 04-30-2020'!D$6:D$254)</f>
        <v>0</v>
      </c>
      <c r="F203" s="3"/>
      <c r="G203" s="3">
        <f t="shared" si="4"/>
        <v>0</v>
      </c>
      <c r="H203" s="109" t="s">
        <v>439</v>
      </c>
      <c r="J203" s="19"/>
    </row>
    <row r="204" spans="1:10" x14ac:dyDescent="0.75">
      <c r="A204" s="12">
        <v>6330</v>
      </c>
      <c r="B204" s="13" t="s">
        <v>651</v>
      </c>
      <c r="C204" s="3">
        <f>SUMIF('Raw Data 04-30-2020'!$A$6:$A$254,'Q2 TB-20'!A204,'Raw Data 04-30-2020'!C$6:C$254)</f>
        <v>858.92</v>
      </c>
      <c r="D204" s="4"/>
      <c r="E204" s="3">
        <f>SUMIF('Raw Data 04-30-2020'!$A$6:$A$254,'Q2 TB-20'!A204,'Raw Data 04-30-2020'!D$6:D$254)</f>
        <v>0</v>
      </c>
      <c r="F204" s="3"/>
      <c r="G204" s="3">
        <f t="shared" si="4"/>
        <v>858.92</v>
      </c>
      <c r="H204" s="109" t="s">
        <v>439</v>
      </c>
      <c r="J204" s="19"/>
    </row>
    <row r="205" spans="1:10" x14ac:dyDescent="0.75">
      <c r="A205" s="14">
        <v>6335</v>
      </c>
      <c r="B205" s="18" t="s">
        <v>652</v>
      </c>
      <c r="C205" s="3">
        <f>SUMIF('Raw Data 04-30-2020'!$A$6:$A$254,'Q2 TB-20'!A205,'Raw Data 04-30-2020'!C$6:C$254)</f>
        <v>223.5</v>
      </c>
      <c r="D205" s="4"/>
      <c r="E205" s="3">
        <f>SUMIF('Raw Data 04-30-2020'!$A$6:$A$254,'Q2 TB-20'!A205,'Raw Data 04-30-2020'!D$6:D$254)</f>
        <v>0</v>
      </c>
      <c r="F205" s="3"/>
      <c r="G205" s="3">
        <f t="shared" si="4"/>
        <v>223.5</v>
      </c>
      <c r="H205" s="109" t="s">
        <v>439</v>
      </c>
      <c r="J205" s="19"/>
    </row>
    <row r="206" spans="1:10" x14ac:dyDescent="0.75">
      <c r="A206" s="14">
        <v>6340</v>
      </c>
      <c r="B206" s="18" t="s">
        <v>653</v>
      </c>
      <c r="C206" s="3">
        <f>SUMIF('Raw Data 04-30-2020'!$A$6:$A$254,'Q2 TB-20'!A206,'Raw Data 04-30-2020'!C$6:C$254)</f>
        <v>0</v>
      </c>
      <c r="D206" s="4"/>
      <c r="E206" s="3">
        <f>SUMIF('Raw Data 04-30-2020'!$A$6:$A$254,'Q2 TB-20'!A206,'Raw Data 04-30-2020'!D$6:D$254)</f>
        <v>0</v>
      </c>
      <c r="F206" s="5"/>
      <c r="G206" s="3">
        <f>C206-E206</f>
        <v>0</v>
      </c>
      <c r="H206" s="109" t="s">
        <v>439</v>
      </c>
      <c r="J206" s="19"/>
    </row>
    <row r="207" spans="1:10" x14ac:dyDescent="0.75">
      <c r="A207" s="14">
        <v>6345</v>
      </c>
      <c r="B207" s="18" t="s">
        <v>654</v>
      </c>
      <c r="C207" s="3">
        <f>SUMIF('Raw Data 04-30-2020'!$A$6:$A$254,'Q2 TB-20'!A207,'Raw Data 04-30-2020'!C$6:C$254)</f>
        <v>0</v>
      </c>
      <c r="D207" s="4"/>
      <c r="E207" s="3">
        <f>SUMIF('Raw Data 04-30-2020'!$A$6:$A$254,'Q2 TB-20'!A207,'Raw Data 04-30-2020'!D$6:D$254)</f>
        <v>0</v>
      </c>
      <c r="F207" s="5"/>
      <c r="G207" s="3">
        <f>C207-E207</f>
        <v>0</v>
      </c>
      <c r="H207" s="109" t="s">
        <v>439</v>
      </c>
      <c r="J207" s="19"/>
    </row>
    <row r="208" spans="1:10" x14ac:dyDescent="0.75">
      <c r="A208" s="14">
        <v>6350</v>
      </c>
      <c r="B208" s="18" t="s">
        <v>655</v>
      </c>
      <c r="C208" s="3">
        <f>SUMIF('Raw Data 04-30-2020'!$A$6:$A$254,'Q2 TB-20'!A208,'Raw Data 04-30-2020'!C$6:C$254)</f>
        <v>585.91</v>
      </c>
      <c r="D208" s="4"/>
      <c r="E208" s="3">
        <f>SUMIF('Raw Data 04-30-2020'!$A$6:$A$254,'Q2 TB-20'!A208,'Raw Data 04-30-2020'!D$6:D$254)</f>
        <v>0</v>
      </c>
      <c r="F208" s="5"/>
      <c r="G208" s="3">
        <f>C208-E208</f>
        <v>585.91</v>
      </c>
      <c r="H208" s="109" t="s">
        <v>439</v>
      </c>
      <c r="J208" s="19"/>
    </row>
    <row r="209" spans="1:8" x14ac:dyDescent="0.75">
      <c r="A209" s="14">
        <v>6355</v>
      </c>
      <c r="B209" s="18" t="s">
        <v>656</v>
      </c>
      <c r="C209" s="3">
        <f>SUMIF('Raw Data 04-30-2020'!$A$6:$A$254,'Q2 TB-20'!A209,'Raw Data 04-30-2020'!C$6:C$254)</f>
        <v>0</v>
      </c>
      <c r="D209" s="4"/>
      <c r="E209" s="3">
        <f>SUMIF('Raw Data 04-30-2020'!$A$6:$A$254,'Q2 TB-20'!A209,'Raw Data 04-30-2020'!D$6:D$254)</f>
        <v>0</v>
      </c>
      <c r="F209" s="5"/>
      <c r="G209" s="3">
        <f t="shared" ref="G209:G254" si="5">C209-E209</f>
        <v>0</v>
      </c>
      <c r="H209" s="109" t="s">
        <v>439</v>
      </c>
    </row>
    <row r="210" spans="1:8" x14ac:dyDescent="0.75">
      <c r="A210" s="14">
        <v>6400</v>
      </c>
      <c r="B210" s="18" t="s">
        <v>657</v>
      </c>
      <c r="C210" s="3">
        <f>SUMIF('Raw Data 04-30-2020'!$A$6:$A$254,'Q2 TB-20'!A210,'Raw Data 04-30-2020'!C$6:C$254)</f>
        <v>84873</v>
      </c>
      <c r="D210" s="4"/>
      <c r="E210" s="3">
        <f>SUMIF('Raw Data 04-30-2020'!$A$6:$A$254,'Q2 TB-20'!A210,'Raw Data 04-30-2020'!D$6:D$254)</f>
        <v>0</v>
      </c>
      <c r="F210" s="5"/>
      <c r="G210" s="3">
        <f t="shared" si="5"/>
        <v>84873</v>
      </c>
      <c r="H210" s="109" t="s">
        <v>439</v>
      </c>
    </row>
    <row r="211" spans="1:8" x14ac:dyDescent="0.75">
      <c r="A211" s="14">
        <v>6405</v>
      </c>
      <c r="B211" s="18" t="s">
        <v>658</v>
      </c>
      <c r="C211" s="3">
        <f>SUMIF('Raw Data 04-30-2020'!$A$6:$A$254,'Q2 TB-20'!A211,'Raw Data 04-30-2020'!C$6:C$254)</f>
        <v>0</v>
      </c>
      <c r="D211" s="4"/>
      <c r="E211" s="3">
        <f>SUMIF('Raw Data 04-30-2020'!$A$6:$A$254,'Q2 TB-20'!A211,'Raw Data 04-30-2020'!D$6:D$254)</f>
        <v>0</v>
      </c>
      <c r="F211" s="5"/>
      <c r="G211" s="3">
        <f t="shared" si="5"/>
        <v>0</v>
      </c>
      <c r="H211" s="109" t="s">
        <v>439</v>
      </c>
    </row>
    <row r="212" spans="1:8" x14ac:dyDescent="0.75">
      <c r="A212" s="14">
        <v>6410</v>
      </c>
      <c r="B212" s="18" t="s">
        <v>659</v>
      </c>
      <c r="C212" s="3">
        <f>SUMIF('Raw Data 04-30-2020'!$A$6:$A$254,'Q2 TB-20'!A212,'Raw Data 04-30-2020'!C$6:C$254)</f>
        <v>0</v>
      </c>
      <c r="D212" s="4"/>
      <c r="E212" s="3">
        <f>SUMIF('Raw Data 04-30-2020'!$A$6:$A$254,'Q2 TB-20'!A212,'Raw Data 04-30-2020'!D$6:D$254)</f>
        <v>0</v>
      </c>
      <c r="F212" s="5"/>
      <c r="G212" s="3">
        <f t="shared" si="5"/>
        <v>0</v>
      </c>
      <c r="H212" s="109" t="s">
        <v>439</v>
      </c>
    </row>
    <row r="213" spans="1:8" x14ac:dyDescent="0.75">
      <c r="A213" s="14">
        <v>6415</v>
      </c>
      <c r="B213" s="18" t="s">
        <v>660</v>
      </c>
      <c r="C213" s="3">
        <f>SUMIF('Raw Data 04-30-2020'!$A$6:$A$254,'Q2 TB-20'!A213,'Raw Data 04-30-2020'!C$6:C$254)</f>
        <v>0</v>
      </c>
      <c r="D213" s="4"/>
      <c r="E213" s="3">
        <f>SUMIF('Raw Data 04-30-2020'!$A$6:$A$254,'Q2 TB-20'!A213,'Raw Data 04-30-2020'!D$6:D$254)</f>
        <v>0</v>
      </c>
      <c r="F213" s="5"/>
      <c r="G213" s="3">
        <f t="shared" si="5"/>
        <v>0</v>
      </c>
      <c r="H213" s="109" t="s">
        <v>439</v>
      </c>
    </row>
    <row r="214" spans="1:8" x14ac:dyDescent="0.75">
      <c r="A214" s="14">
        <v>6420</v>
      </c>
      <c r="B214" s="18" t="s">
        <v>661</v>
      </c>
      <c r="C214" s="3">
        <f>SUMIF('Raw Data 04-30-2020'!$A$6:$A$254,'Q2 TB-20'!A214,'Raw Data 04-30-2020'!C$6:C$254)</f>
        <v>0</v>
      </c>
      <c r="D214" s="4"/>
      <c r="E214" s="3">
        <f>SUMIF('Raw Data 04-30-2020'!$A$6:$A$254,'Q2 TB-20'!A214,'Raw Data 04-30-2020'!D$6:D$254)</f>
        <v>7773</v>
      </c>
      <c r="F214" s="5"/>
      <c r="G214" s="3">
        <f t="shared" si="5"/>
        <v>-7773</v>
      </c>
      <c r="H214" s="109" t="s">
        <v>439</v>
      </c>
    </row>
    <row r="215" spans="1:8" x14ac:dyDescent="0.75">
      <c r="A215" s="14">
        <v>6425</v>
      </c>
      <c r="B215" s="18" t="s">
        <v>662</v>
      </c>
      <c r="C215" s="3">
        <f>SUMIF('Raw Data 04-30-2020'!$A$6:$A$254,'Q2 TB-20'!A215,'Raw Data 04-30-2020'!C$6:C$254)</f>
        <v>0</v>
      </c>
      <c r="D215" s="4"/>
      <c r="E215" s="3">
        <f>SUMIF('Raw Data 04-30-2020'!$A$6:$A$254,'Q2 TB-20'!A215,'Raw Data 04-30-2020'!D$6:D$254)</f>
        <v>0</v>
      </c>
      <c r="F215" s="5"/>
      <c r="G215" s="3">
        <f t="shared" si="5"/>
        <v>0</v>
      </c>
      <c r="H215" s="109" t="s">
        <v>439</v>
      </c>
    </row>
    <row r="216" spans="1:8" x14ac:dyDescent="0.75">
      <c r="A216" s="14">
        <v>6430</v>
      </c>
      <c r="B216" s="18" t="s">
        <v>663</v>
      </c>
      <c r="C216" s="3">
        <f>SUMIF('Raw Data 04-30-2020'!$A$6:$A$254,'Q2 TB-20'!A216,'Raw Data 04-30-2020'!C$6:C$254)</f>
        <v>79494.259999999995</v>
      </c>
      <c r="D216" s="4"/>
      <c r="E216" s="3">
        <f>SUMIF('Raw Data 04-30-2020'!$A$6:$A$254,'Q2 TB-20'!A216,'Raw Data 04-30-2020'!D$6:D$254)</f>
        <v>0</v>
      </c>
      <c r="F216" s="5"/>
      <c r="G216" s="3">
        <f t="shared" si="5"/>
        <v>79494.259999999995</v>
      </c>
      <c r="H216" s="109" t="s">
        <v>439</v>
      </c>
    </row>
    <row r="217" spans="1:8" x14ac:dyDescent="0.75">
      <c r="A217" s="14">
        <v>6435</v>
      </c>
      <c r="B217" s="18" t="s">
        <v>664</v>
      </c>
      <c r="C217" s="3">
        <f>SUMIF('Raw Data 04-30-2020'!$A$6:$A$254,'Q2 TB-20'!A217,'Raw Data 04-30-2020'!C$6:C$254)</f>
        <v>12998</v>
      </c>
      <c r="D217" s="4"/>
      <c r="E217" s="3">
        <f>SUMIF('Raw Data 04-30-2020'!$A$6:$A$254,'Q2 TB-20'!A217,'Raw Data 04-30-2020'!D$6:D$254)</f>
        <v>0</v>
      </c>
      <c r="F217" s="5"/>
      <c r="G217" s="3">
        <f t="shared" si="5"/>
        <v>12998</v>
      </c>
      <c r="H217" s="109" t="s">
        <v>439</v>
      </c>
    </row>
    <row r="218" spans="1:8" x14ac:dyDescent="0.75">
      <c r="A218" s="14">
        <v>6440</v>
      </c>
      <c r="B218" s="18" t="s">
        <v>665</v>
      </c>
      <c r="C218" s="3">
        <f>SUMIF('Raw Data 04-30-2020'!$A$6:$A$254,'Q2 TB-20'!A218,'Raw Data 04-30-2020'!C$6:C$254)</f>
        <v>181607.46</v>
      </c>
      <c r="D218" s="4"/>
      <c r="E218" s="3">
        <f>SUMIF('Raw Data 04-30-2020'!$A$6:$A$254,'Q2 TB-20'!A218,'Raw Data 04-30-2020'!D$6:D$254)</f>
        <v>0</v>
      </c>
      <c r="F218" s="5"/>
      <c r="G218" s="3">
        <f t="shared" si="5"/>
        <v>181607.46</v>
      </c>
      <c r="H218" s="109" t="s">
        <v>439</v>
      </c>
    </row>
    <row r="219" spans="1:8" x14ac:dyDescent="0.75">
      <c r="A219" s="14">
        <v>6445</v>
      </c>
      <c r="B219" s="18" t="s">
        <v>666</v>
      </c>
      <c r="C219" s="3">
        <f>SUMIF('Raw Data 04-30-2020'!$A$6:$A$254,'Q2 TB-20'!A219,'Raw Data 04-30-2020'!C$6:C$254)</f>
        <v>15761.19</v>
      </c>
      <c r="D219" s="4"/>
      <c r="E219" s="3">
        <f>SUMIF('Raw Data 04-30-2020'!$A$6:$A$254,'Q2 TB-20'!A219,'Raw Data 04-30-2020'!D$6:D$254)</f>
        <v>0</v>
      </c>
      <c r="F219" s="5"/>
      <c r="G219" s="3">
        <f t="shared" si="5"/>
        <v>15761.19</v>
      </c>
      <c r="H219" s="109" t="s">
        <v>439</v>
      </c>
    </row>
    <row r="220" spans="1:8" x14ac:dyDescent="0.75">
      <c r="A220" s="14">
        <v>6450</v>
      </c>
      <c r="B220" s="18" t="s">
        <v>667</v>
      </c>
      <c r="C220" s="3">
        <f>SUMIF('Raw Data 04-30-2020'!$A$6:$A$254,'Q2 TB-20'!A220,'Raw Data 04-30-2020'!C$6:C$254)</f>
        <v>0</v>
      </c>
      <c r="D220" s="4"/>
      <c r="E220" s="3">
        <f>SUMIF('Raw Data 04-30-2020'!$A$6:$A$254,'Q2 TB-20'!A220,'Raw Data 04-30-2020'!D$6:D$254)</f>
        <v>0</v>
      </c>
      <c r="F220" s="5"/>
      <c r="G220" s="3">
        <f t="shared" si="5"/>
        <v>0</v>
      </c>
      <c r="H220" s="109" t="s">
        <v>439</v>
      </c>
    </row>
    <row r="221" spans="1:8" x14ac:dyDescent="0.75">
      <c r="A221" s="14">
        <v>6455</v>
      </c>
      <c r="B221" s="18" t="s">
        <v>668</v>
      </c>
      <c r="C221" s="3">
        <f>SUMIF('Raw Data 04-30-2020'!$A$6:$A$254,'Q2 TB-20'!A221,'Raw Data 04-30-2020'!C$6:C$254)</f>
        <v>0</v>
      </c>
      <c r="D221" s="4"/>
      <c r="E221" s="3">
        <f>SUMIF('Raw Data 04-30-2020'!$A$6:$A$254,'Q2 TB-20'!A221,'Raw Data 04-30-2020'!D$6:D$254)</f>
        <v>0</v>
      </c>
      <c r="F221" s="5"/>
      <c r="G221" s="3">
        <f t="shared" si="5"/>
        <v>0</v>
      </c>
      <c r="H221" s="109" t="s">
        <v>439</v>
      </c>
    </row>
    <row r="222" spans="1:8" x14ac:dyDescent="0.75">
      <c r="A222" s="14">
        <v>6460</v>
      </c>
      <c r="B222" s="18" t="s">
        <v>669</v>
      </c>
      <c r="C222" s="3">
        <f>SUMIF('Raw Data 04-30-2020'!$A$6:$A$254,'Q2 TB-20'!A222,'Raw Data 04-30-2020'!C$6:C$254)</f>
        <v>0</v>
      </c>
      <c r="D222" s="4"/>
      <c r="E222" s="3">
        <f>SUMIF('Raw Data 04-30-2020'!$A$6:$A$254,'Q2 TB-20'!A222,'Raw Data 04-30-2020'!D$6:D$254)</f>
        <v>0</v>
      </c>
      <c r="F222" s="5"/>
      <c r="G222" s="3">
        <f t="shared" si="5"/>
        <v>0</v>
      </c>
      <c r="H222" s="109" t="s">
        <v>439</v>
      </c>
    </row>
    <row r="223" spans="1:8" x14ac:dyDescent="0.75">
      <c r="A223" s="14">
        <v>6500</v>
      </c>
      <c r="B223" s="18" t="s">
        <v>670</v>
      </c>
      <c r="C223" s="3">
        <f>SUMIF('Raw Data 04-30-2020'!$A$6:$A$254,'Q2 TB-20'!A223,'Raw Data 04-30-2020'!C$6:C$254)</f>
        <v>0</v>
      </c>
      <c r="D223" s="4"/>
      <c r="E223" s="3">
        <f>SUMIF('Raw Data 04-30-2020'!$A$6:$A$254,'Q2 TB-20'!A223,'Raw Data 04-30-2020'!D$6:D$254)</f>
        <v>0</v>
      </c>
      <c r="F223" s="5"/>
      <c r="G223" s="3">
        <f t="shared" si="5"/>
        <v>0</v>
      </c>
      <c r="H223" s="109" t="s">
        <v>439</v>
      </c>
    </row>
    <row r="224" spans="1:8" x14ac:dyDescent="0.75">
      <c r="A224" s="14">
        <v>6505</v>
      </c>
      <c r="B224" s="18" t="s">
        <v>671</v>
      </c>
      <c r="C224" s="3">
        <f>SUMIF('Raw Data 04-30-2020'!$A$6:$A$254,'Q2 TB-20'!A224,'Raw Data 04-30-2020'!C$6:C$254)</f>
        <v>0</v>
      </c>
      <c r="D224" s="4"/>
      <c r="E224" s="3">
        <f>SUMIF('Raw Data 04-30-2020'!$A$6:$A$254,'Q2 TB-20'!A224,'Raw Data 04-30-2020'!D$6:D$254)</f>
        <v>0</v>
      </c>
      <c r="F224" s="5"/>
      <c r="G224" s="3">
        <f t="shared" si="5"/>
        <v>0</v>
      </c>
      <c r="H224" s="109" t="s">
        <v>439</v>
      </c>
    </row>
    <row r="225" spans="1:8" x14ac:dyDescent="0.75">
      <c r="A225" s="14">
        <v>6510</v>
      </c>
      <c r="B225" s="18" t="s">
        <v>672</v>
      </c>
      <c r="C225" s="3">
        <f>SUMIF('Raw Data 04-30-2020'!$A$6:$A$254,'Q2 TB-20'!A225,'Raw Data 04-30-2020'!C$6:C$254)</f>
        <v>8364.3799999999992</v>
      </c>
      <c r="D225" s="4"/>
      <c r="E225" s="3">
        <f>SUMIF('Raw Data 04-30-2020'!$A$6:$A$254,'Q2 TB-20'!A225,'Raw Data 04-30-2020'!D$6:D$254)</f>
        <v>0</v>
      </c>
      <c r="F225" s="5"/>
      <c r="G225" s="3">
        <f t="shared" si="5"/>
        <v>8364.3799999999992</v>
      </c>
      <c r="H225" s="109" t="s">
        <v>439</v>
      </c>
    </row>
    <row r="226" spans="1:8" x14ac:dyDescent="0.75">
      <c r="A226" s="14">
        <v>6515</v>
      </c>
      <c r="B226" s="18" t="s">
        <v>673</v>
      </c>
      <c r="C226" s="3">
        <f>SUMIF('Raw Data 04-30-2020'!$A$6:$A$254,'Q2 TB-20'!A226,'Raw Data 04-30-2020'!C$6:C$254)</f>
        <v>0</v>
      </c>
      <c r="D226" s="4"/>
      <c r="E226" s="3">
        <f>SUMIF('Raw Data 04-30-2020'!$A$6:$A$254,'Q2 TB-20'!A226,'Raw Data 04-30-2020'!D$6:D$254)</f>
        <v>0</v>
      </c>
      <c r="F226" s="5"/>
      <c r="G226" s="3">
        <f t="shared" si="5"/>
        <v>0</v>
      </c>
      <c r="H226" s="109" t="s">
        <v>439</v>
      </c>
    </row>
    <row r="227" spans="1:8" x14ac:dyDescent="0.75">
      <c r="A227" s="14">
        <v>6520</v>
      </c>
      <c r="B227" s="18" t="s">
        <v>674</v>
      </c>
      <c r="C227" s="3">
        <f>SUMIF('Raw Data 04-30-2020'!$A$6:$A$254,'Q2 TB-20'!A227,'Raw Data 04-30-2020'!C$6:C$254)</f>
        <v>0</v>
      </c>
      <c r="D227" s="4"/>
      <c r="E227" s="3">
        <f>SUMIF('Raw Data 04-30-2020'!$A$6:$A$254,'Q2 TB-20'!A227,'Raw Data 04-30-2020'!D$6:D$254)</f>
        <v>0</v>
      </c>
      <c r="F227" s="5"/>
      <c r="G227" s="3">
        <f t="shared" si="5"/>
        <v>0</v>
      </c>
      <c r="H227" s="109" t="s">
        <v>439</v>
      </c>
    </row>
    <row r="228" spans="1:8" x14ac:dyDescent="0.75">
      <c r="A228" s="14">
        <v>6525</v>
      </c>
      <c r="B228" s="18" t="s">
        <v>675</v>
      </c>
      <c r="C228" s="3">
        <f>SUMIF('Raw Data 04-30-2020'!$A$6:$A$254,'Q2 TB-20'!A228,'Raw Data 04-30-2020'!C$6:C$254)</f>
        <v>4519.3999999999996</v>
      </c>
      <c r="D228" s="4"/>
      <c r="E228" s="3">
        <f>SUMIF('Raw Data 04-30-2020'!$A$6:$A$254,'Q2 TB-20'!A228,'Raw Data 04-30-2020'!D$6:D$254)</f>
        <v>0</v>
      </c>
      <c r="F228" s="5"/>
      <c r="G228" s="3">
        <f t="shared" si="5"/>
        <v>4519.3999999999996</v>
      </c>
      <c r="H228" s="109" t="s">
        <v>439</v>
      </c>
    </row>
    <row r="229" spans="1:8" x14ac:dyDescent="0.75">
      <c r="A229" s="14">
        <v>6530</v>
      </c>
      <c r="B229" s="18" t="s">
        <v>676</v>
      </c>
      <c r="C229" s="3">
        <f>SUMIF('Raw Data 04-30-2020'!$A$6:$A$254,'Q2 TB-20'!A229,'Raw Data 04-30-2020'!C$6:C$254)</f>
        <v>0</v>
      </c>
      <c r="D229" s="4"/>
      <c r="E229" s="3">
        <f>SUMIF('Raw Data 04-30-2020'!$A$6:$A$254,'Q2 TB-20'!A229,'Raw Data 04-30-2020'!D$6:D$254)</f>
        <v>0</v>
      </c>
      <c r="F229" s="5"/>
      <c r="G229" s="3">
        <f t="shared" si="5"/>
        <v>0</v>
      </c>
      <c r="H229" s="109" t="s">
        <v>439</v>
      </c>
    </row>
    <row r="230" spans="1:8" x14ac:dyDescent="0.75">
      <c r="A230" s="14">
        <v>6535</v>
      </c>
      <c r="B230" s="18" t="s">
        <v>677</v>
      </c>
      <c r="C230" s="3">
        <f>SUMIF('Raw Data 04-30-2020'!$A$6:$A$254,'Q2 TB-20'!A230,'Raw Data 04-30-2020'!C$6:C$254)</f>
        <v>0</v>
      </c>
      <c r="D230" s="4"/>
      <c r="E230" s="3">
        <f>SUMIF('Raw Data 04-30-2020'!$A$6:$A$254,'Q2 TB-20'!A230,'Raw Data 04-30-2020'!D$6:D$254)</f>
        <v>0</v>
      </c>
      <c r="F230" s="5"/>
      <c r="G230" s="3">
        <f t="shared" si="5"/>
        <v>0</v>
      </c>
      <c r="H230" s="109" t="s">
        <v>439</v>
      </c>
    </row>
    <row r="231" spans="1:8" x14ac:dyDescent="0.75">
      <c r="A231" s="14">
        <v>6540</v>
      </c>
      <c r="B231" s="18" t="s">
        <v>678</v>
      </c>
      <c r="C231" s="3">
        <f>SUMIF('Raw Data 04-30-2020'!$A$6:$A$254,'Q2 TB-20'!A231,'Raw Data 04-30-2020'!C$6:C$254)</f>
        <v>0</v>
      </c>
      <c r="D231" s="4"/>
      <c r="E231" s="3">
        <f>SUMIF('Raw Data 04-30-2020'!$A$6:$A$254,'Q2 TB-20'!A231,'Raw Data 04-30-2020'!D$6:D$254)</f>
        <v>0</v>
      </c>
      <c r="F231" s="5"/>
      <c r="G231" s="3">
        <f t="shared" si="5"/>
        <v>0</v>
      </c>
      <c r="H231" s="109" t="s">
        <v>439</v>
      </c>
    </row>
    <row r="232" spans="1:8" x14ac:dyDescent="0.75">
      <c r="A232" s="14">
        <v>6545</v>
      </c>
      <c r="B232" s="18" t="s">
        <v>679</v>
      </c>
      <c r="C232" s="3">
        <f>SUMIF('Raw Data 04-30-2020'!$A$6:$A$254,'Q2 TB-20'!A232,'Raw Data 04-30-2020'!C$6:C$254)</f>
        <v>0</v>
      </c>
      <c r="D232" s="4"/>
      <c r="E232" s="3">
        <f>SUMIF('Raw Data 04-30-2020'!$A$6:$A$254,'Q2 TB-20'!A232,'Raw Data 04-30-2020'!D$6:D$254)</f>
        <v>0</v>
      </c>
      <c r="F232" s="5"/>
      <c r="G232" s="3">
        <f t="shared" si="5"/>
        <v>0</v>
      </c>
      <c r="H232" s="109" t="s">
        <v>439</v>
      </c>
    </row>
    <row r="233" spans="1:8" x14ac:dyDescent="0.75">
      <c r="A233" s="14">
        <v>6550</v>
      </c>
      <c r="B233" s="18" t="s">
        <v>680</v>
      </c>
      <c r="C233" s="3">
        <f>SUMIF('Raw Data 04-30-2020'!$A$6:$A$254,'Q2 TB-20'!A233,'Raw Data 04-30-2020'!C$6:C$254)</f>
        <v>7092.6</v>
      </c>
      <c r="D233" s="4"/>
      <c r="E233" s="3">
        <f>SUMIF('Raw Data 04-30-2020'!$A$6:$A$254,'Q2 TB-20'!A233,'Raw Data 04-30-2020'!D$6:D$254)</f>
        <v>0</v>
      </c>
      <c r="F233" s="5"/>
      <c r="G233" s="3">
        <f t="shared" si="5"/>
        <v>7092.6</v>
      </c>
      <c r="H233" s="109" t="s">
        <v>439</v>
      </c>
    </row>
    <row r="234" spans="1:8" x14ac:dyDescent="0.75">
      <c r="A234" s="14">
        <v>6555</v>
      </c>
      <c r="B234" s="18" t="s">
        <v>681</v>
      </c>
      <c r="C234" s="3">
        <f>SUMIF('Raw Data 04-30-2020'!$A$6:$A$254,'Q2 TB-20'!A234,'Raw Data 04-30-2020'!C$6:C$254)</f>
        <v>1783.04</v>
      </c>
      <c r="D234" s="4"/>
      <c r="E234" s="3">
        <f>SUMIF('Raw Data 04-30-2020'!$A$6:$A$254,'Q2 TB-20'!A234,'Raw Data 04-30-2020'!D$6:D$254)</f>
        <v>0</v>
      </c>
      <c r="F234" s="5"/>
      <c r="G234" s="3">
        <f t="shared" si="5"/>
        <v>1783.04</v>
      </c>
      <c r="H234" s="109" t="s">
        <v>439</v>
      </c>
    </row>
    <row r="235" spans="1:8" x14ac:dyDescent="0.75">
      <c r="A235" s="14">
        <v>6560</v>
      </c>
      <c r="B235" s="18" t="s">
        <v>682</v>
      </c>
      <c r="C235" s="3">
        <f>SUMIF('Raw Data 04-30-2020'!$A$6:$A$254,'Q2 TB-20'!A235,'Raw Data 04-30-2020'!C$6:C$254)</f>
        <v>0</v>
      </c>
      <c r="D235" s="4"/>
      <c r="E235" s="3">
        <f>SUMIF('Raw Data 04-30-2020'!$A$6:$A$254,'Q2 TB-20'!A235,'Raw Data 04-30-2020'!D$6:D$254)</f>
        <v>0</v>
      </c>
      <c r="F235" s="5"/>
      <c r="G235" s="3">
        <f t="shared" si="5"/>
        <v>0</v>
      </c>
      <c r="H235" s="109" t="s">
        <v>439</v>
      </c>
    </row>
    <row r="236" spans="1:8" x14ac:dyDescent="0.75">
      <c r="A236" s="14">
        <v>6565</v>
      </c>
      <c r="B236" s="18" t="s">
        <v>683</v>
      </c>
      <c r="C236" s="3">
        <f>SUMIF('Raw Data 04-30-2020'!$A$6:$A$254,'Q2 TB-20'!A236,'Raw Data 04-30-2020'!C$6:C$254)</f>
        <v>0</v>
      </c>
      <c r="D236" s="4"/>
      <c r="E236" s="3">
        <f>SUMIF('Raw Data 04-30-2020'!$A$6:$A$254,'Q2 TB-20'!A236,'Raw Data 04-30-2020'!D$6:D$254)</f>
        <v>0</v>
      </c>
      <c r="F236" s="5"/>
      <c r="G236" s="3">
        <f t="shared" si="5"/>
        <v>0</v>
      </c>
      <c r="H236" s="109" t="s">
        <v>439</v>
      </c>
    </row>
    <row r="237" spans="1:8" x14ac:dyDescent="0.75">
      <c r="A237" s="14">
        <v>6570</v>
      </c>
      <c r="B237" s="18" t="s">
        <v>684</v>
      </c>
      <c r="C237" s="3">
        <f>SUMIF('Raw Data 04-30-2020'!$A$6:$A$254,'Q2 TB-20'!A237,'Raw Data 04-30-2020'!C$6:C$254)</f>
        <v>0</v>
      </c>
      <c r="D237" s="4"/>
      <c r="E237" s="3">
        <f>SUMIF('Raw Data 04-30-2020'!$A$6:$A$254,'Q2 TB-20'!A237,'Raw Data 04-30-2020'!D$6:D$254)</f>
        <v>0</v>
      </c>
      <c r="F237" s="5"/>
      <c r="G237" s="3">
        <f t="shared" si="5"/>
        <v>0</v>
      </c>
      <c r="H237" s="109" t="s">
        <v>439</v>
      </c>
    </row>
    <row r="238" spans="1:8" x14ac:dyDescent="0.75">
      <c r="A238" s="14">
        <v>6575</v>
      </c>
      <c r="B238" s="18" t="s">
        <v>685</v>
      </c>
      <c r="C238" s="3">
        <f>SUMIF('Raw Data 04-30-2020'!$A$6:$A$254,'Q2 TB-20'!A238,'Raw Data 04-30-2020'!C$6:C$254)</f>
        <v>0</v>
      </c>
      <c r="D238" s="4"/>
      <c r="E238" s="3">
        <f>SUMIF('Raw Data 04-30-2020'!$A$6:$A$254,'Q2 TB-20'!A238,'Raw Data 04-30-2020'!D$6:D$254)</f>
        <v>0</v>
      </c>
      <c r="F238" s="5"/>
      <c r="G238" s="3">
        <f t="shared" si="5"/>
        <v>0</v>
      </c>
      <c r="H238" s="109" t="s">
        <v>439</v>
      </c>
    </row>
    <row r="239" spans="1:8" x14ac:dyDescent="0.75">
      <c r="A239" s="14">
        <v>6580</v>
      </c>
      <c r="B239" s="18" t="s">
        <v>686</v>
      </c>
      <c r="C239" s="3">
        <f>SUMIF('Raw Data 04-30-2020'!$A$6:$A$254,'Q2 TB-20'!A239,'Raw Data 04-30-2020'!C$6:C$254)</f>
        <v>0</v>
      </c>
      <c r="D239" s="4"/>
      <c r="E239" s="3">
        <f>SUMIF('Raw Data 04-30-2020'!$A$6:$A$254,'Q2 TB-20'!A239,'Raw Data 04-30-2020'!D$6:D$254)</f>
        <v>0</v>
      </c>
      <c r="F239" s="5"/>
      <c r="G239" s="3">
        <f t="shared" si="5"/>
        <v>0</v>
      </c>
      <c r="H239" s="109" t="s">
        <v>439</v>
      </c>
    </row>
    <row r="240" spans="1:8" x14ac:dyDescent="0.75">
      <c r="A240" s="14">
        <v>6585</v>
      </c>
      <c r="B240" s="18" t="s">
        <v>687</v>
      </c>
      <c r="C240" s="3">
        <f>SUMIF('Raw Data 04-30-2020'!$A$6:$A$254,'Q2 TB-20'!A240,'Raw Data 04-30-2020'!C$6:C$254)</f>
        <v>0</v>
      </c>
      <c r="D240" s="4"/>
      <c r="E240" s="3">
        <f>SUMIF('Raw Data 04-30-2020'!$A$6:$A$254,'Q2 TB-20'!A240,'Raw Data 04-30-2020'!D$6:D$254)</f>
        <v>0</v>
      </c>
      <c r="F240" s="5"/>
      <c r="G240" s="3">
        <f t="shared" si="5"/>
        <v>0</v>
      </c>
      <c r="H240" s="109" t="s">
        <v>439</v>
      </c>
    </row>
    <row r="241" spans="1:8" x14ac:dyDescent="0.75">
      <c r="A241" s="14">
        <v>6590</v>
      </c>
      <c r="B241" s="18" t="s">
        <v>688</v>
      </c>
      <c r="C241" s="3">
        <f>SUMIF('Raw Data 04-30-2020'!$A$6:$A$254,'Q2 TB-20'!A241,'Raw Data 04-30-2020'!C$6:C$254)</f>
        <v>0</v>
      </c>
      <c r="D241" s="4"/>
      <c r="E241" s="3">
        <f>SUMIF('Raw Data 04-30-2020'!$A$6:$A$254,'Q2 TB-20'!A241,'Raw Data 04-30-2020'!D$6:D$254)</f>
        <v>0</v>
      </c>
      <c r="F241" s="5"/>
      <c r="G241" s="3">
        <f t="shared" si="5"/>
        <v>0</v>
      </c>
      <c r="H241" s="109" t="s">
        <v>439</v>
      </c>
    </row>
    <row r="242" spans="1:8" x14ac:dyDescent="0.75">
      <c r="A242" s="14">
        <v>7100</v>
      </c>
      <c r="B242" s="18" t="s">
        <v>689</v>
      </c>
      <c r="C242" s="3">
        <f>SUMIF('Raw Data 04-30-2020'!$A$6:$A$254,'Q2 TB-20'!A242,'Raw Data 04-30-2020'!C$6:C$254)</f>
        <v>0</v>
      </c>
      <c r="D242" s="4"/>
      <c r="E242" s="3">
        <f>SUMIF('Raw Data 04-30-2020'!$A$6:$A$254,'Q2 TB-20'!A242,'Raw Data 04-30-2020'!D$6:D$254)</f>
        <v>117.7</v>
      </c>
      <c r="F242" s="5"/>
      <c r="G242" s="3">
        <f t="shared" si="5"/>
        <v>-117.7</v>
      </c>
      <c r="H242" s="109" t="s">
        <v>439</v>
      </c>
    </row>
    <row r="243" spans="1:8" x14ac:dyDescent="0.75">
      <c r="A243" s="14">
        <v>7200</v>
      </c>
      <c r="B243" s="18" t="s">
        <v>690</v>
      </c>
      <c r="C243" s="3">
        <f>SUMIF('Raw Data 04-30-2020'!$A$6:$A$254,'Q2 TB-20'!A243,'Raw Data 04-30-2020'!C$6:C$254)</f>
        <v>0</v>
      </c>
      <c r="D243" s="4"/>
      <c r="E243" s="3">
        <f>SUMIF('Raw Data 04-30-2020'!$A$6:$A$254,'Q2 TB-20'!A243,'Raw Data 04-30-2020'!D$6:D$254)</f>
        <v>0</v>
      </c>
      <c r="F243" s="5"/>
      <c r="G243" s="3">
        <f t="shared" si="5"/>
        <v>0</v>
      </c>
      <c r="H243" s="109" t="s">
        <v>439</v>
      </c>
    </row>
    <row r="244" spans="1:8" x14ac:dyDescent="0.75">
      <c r="A244" s="14">
        <v>7300</v>
      </c>
      <c r="B244" s="18" t="s">
        <v>691</v>
      </c>
      <c r="C244" s="3">
        <f>SUMIF('Raw Data 04-30-2020'!$A$6:$A$254,'Q2 TB-20'!A244,'Raw Data 04-30-2020'!C$6:C$254)</f>
        <v>0</v>
      </c>
      <c r="D244" s="4"/>
      <c r="E244" s="3">
        <f>SUMIF('Raw Data 04-30-2020'!$A$6:$A$254,'Q2 TB-20'!A244,'Raw Data 04-30-2020'!D$6:D$254)</f>
        <v>0</v>
      </c>
      <c r="F244" s="5"/>
      <c r="G244" s="3">
        <f t="shared" si="5"/>
        <v>0</v>
      </c>
      <c r="H244" s="109" t="s">
        <v>439</v>
      </c>
    </row>
    <row r="245" spans="1:8" x14ac:dyDescent="0.75">
      <c r="A245" s="14">
        <v>7310</v>
      </c>
      <c r="B245" s="18" t="s">
        <v>692</v>
      </c>
      <c r="C245" s="3">
        <f>SUMIF('Raw Data 04-30-2020'!$A$6:$A$254,'Q2 TB-20'!A245,'Raw Data 04-30-2020'!C$6:C$254)</f>
        <v>0</v>
      </c>
      <c r="D245" s="4"/>
      <c r="E245" s="3">
        <f>SUMIF('Raw Data 04-30-2020'!$A$6:$A$254,'Q2 TB-20'!A245,'Raw Data 04-30-2020'!D$6:D$254)</f>
        <v>0</v>
      </c>
      <c r="F245" s="5"/>
      <c r="G245" s="3">
        <f t="shared" si="5"/>
        <v>0</v>
      </c>
      <c r="H245" s="109" t="s">
        <v>439</v>
      </c>
    </row>
    <row r="246" spans="1:8" x14ac:dyDescent="0.75">
      <c r="A246" s="14">
        <v>7400</v>
      </c>
      <c r="B246" s="18" t="s">
        <v>693</v>
      </c>
      <c r="C246" s="3">
        <f>SUMIF('Raw Data 04-30-2020'!$A$6:$A$254,'Q2 TB-20'!A246,'Raw Data 04-30-2020'!C$6:C$254)</f>
        <v>0</v>
      </c>
      <c r="D246" s="4"/>
      <c r="E246" s="3">
        <f>SUMIF('Raw Data 04-30-2020'!$A$6:$A$254,'Q2 TB-20'!A246,'Raw Data 04-30-2020'!D$6:D$254)</f>
        <v>0</v>
      </c>
      <c r="F246" s="5"/>
      <c r="G246" s="3">
        <f t="shared" si="5"/>
        <v>0</v>
      </c>
      <c r="H246" s="109" t="s">
        <v>951</v>
      </c>
    </row>
    <row r="247" spans="1:8" x14ac:dyDescent="0.75">
      <c r="A247" s="12">
        <v>7500</v>
      </c>
      <c r="B247" s="13" t="s">
        <v>620</v>
      </c>
      <c r="C247" s="3">
        <f>SUMIF('Raw Data 04-30-2020'!$A$6:$A$254,'Q2 TB-20'!A247,'Raw Data 04-30-2020'!C$6:C$254)</f>
        <v>0</v>
      </c>
      <c r="D247" s="4"/>
      <c r="E247" s="3">
        <f>SUMIF('Raw Data 04-30-2020'!$A$6:$A$254,'Q2 TB-20'!A247,'Raw Data 04-30-2020'!D$6:D$254)</f>
        <v>0</v>
      </c>
      <c r="F247" s="5"/>
      <c r="G247" s="3">
        <f t="shared" si="5"/>
        <v>0</v>
      </c>
      <c r="H247" s="109" t="s">
        <v>441</v>
      </c>
    </row>
    <row r="248" spans="1:8" x14ac:dyDescent="0.75">
      <c r="A248" s="12">
        <v>7510</v>
      </c>
      <c r="B248" s="13" t="s">
        <v>621</v>
      </c>
      <c r="C248" s="3">
        <f>SUMIF('Raw Data 04-30-2020'!$A$6:$A$254,'Q2 TB-20'!A248,'Raw Data 04-30-2020'!C$6:C$254)</f>
        <v>2879.28</v>
      </c>
      <c r="D248" s="4"/>
      <c r="E248" s="3">
        <f>SUMIF('Raw Data 04-30-2020'!$A$6:$A$254,'Q2 TB-20'!A248,'Raw Data 04-30-2020'!D$6:D$254)</f>
        <v>0</v>
      </c>
      <c r="F248" s="5"/>
      <c r="G248" s="3">
        <f t="shared" si="5"/>
        <v>2879.28</v>
      </c>
      <c r="H248" s="109" t="s">
        <v>441</v>
      </c>
    </row>
    <row r="249" spans="1:8" x14ac:dyDescent="0.75">
      <c r="A249" s="12">
        <v>7520</v>
      </c>
      <c r="B249" s="13" t="s">
        <v>622</v>
      </c>
      <c r="C249" s="3">
        <f>SUMIF('Raw Data 04-30-2020'!$A$6:$A$254,'Q2 TB-20'!A249,'Raw Data 04-30-2020'!C$6:C$254)</f>
        <v>7439.03</v>
      </c>
      <c r="D249" s="4"/>
      <c r="E249" s="3">
        <f>SUMIF('Raw Data 04-30-2020'!$A$6:$A$254,'Q2 TB-20'!A249,'Raw Data 04-30-2020'!D$6:D$254)</f>
        <v>0</v>
      </c>
      <c r="F249" s="5"/>
      <c r="G249" s="3">
        <f t="shared" si="5"/>
        <v>7439.03</v>
      </c>
      <c r="H249" s="109" t="s">
        <v>441</v>
      </c>
    </row>
    <row r="250" spans="1:8" x14ac:dyDescent="0.75">
      <c r="A250" s="12">
        <v>7530</v>
      </c>
      <c r="B250" s="13" t="s">
        <v>623</v>
      </c>
      <c r="C250" s="3">
        <f>SUMIF('Raw Data 04-30-2020'!$A$6:$A$254,'Q2 TB-20'!A250,'Raw Data 04-30-2020'!C$6:C$254)</f>
        <v>18487.28</v>
      </c>
      <c r="D250" s="4"/>
      <c r="E250" s="3">
        <f>SUMIF('Raw Data 04-30-2020'!$A$6:$A$254,'Q2 TB-20'!A250,'Raw Data 04-30-2020'!D$6:D$254)</f>
        <v>0</v>
      </c>
      <c r="F250" s="5"/>
      <c r="G250" s="3">
        <f t="shared" si="5"/>
        <v>18487.28</v>
      </c>
      <c r="H250" s="109" t="s">
        <v>441</v>
      </c>
    </row>
    <row r="251" spans="1:8" x14ac:dyDescent="0.75">
      <c r="A251" s="12">
        <v>7540</v>
      </c>
      <c r="B251" s="13" t="s">
        <v>624</v>
      </c>
      <c r="C251" s="3">
        <f>SUMIF('Raw Data 04-30-2020'!$A$6:$A$254,'Q2 TB-20'!A251,'Raw Data 04-30-2020'!C$6:C$254)</f>
        <v>43432.03</v>
      </c>
      <c r="D251" s="4"/>
      <c r="E251" s="3">
        <f>SUMIF('Raw Data 04-30-2020'!$A$6:$A$254,'Q2 TB-20'!A251,'Raw Data 04-30-2020'!D$6:D$254)</f>
        <v>0</v>
      </c>
      <c r="F251" s="5"/>
      <c r="G251" s="3">
        <f t="shared" si="5"/>
        <v>43432.03</v>
      </c>
      <c r="H251" s="109" t="s">
        <v>441</v>
      </c>
    </row>
    <row r="252" spans="1:8" x14ac:dyDescent="0.75">
      <c r="A252" s="12" t="s">
        <v>945</v>
      </c>
      <c r="B252" s="13" t="s">
        <v>946</v>
      </c>
      <c r="C252" s="3">
        <f>SUMIF('Raw Data 04-30-2020'!$A$6:$A$254,'Q2 TB-20'!A252,'Raw Data 04-30-2020'!C$6:C$254)</f>
        <v>75041</v>
      </c>
      <c r="D252" s="4"/>
      <c r="E252" s="3">
        <f>SUMIF('Raw Data 04-30-2020'!$A$6:$A$254,'Q2 TB-20'!A252,'Raw Data 04-30-2020'!D$6:D$254)</f>
        <v>0</v>
      </c>
      <c r="F252" s="5"/>
      <c r="G252" s="3">
        <f t="shared" si="5"/>
        <v>75041</v>
      </c>
      <c r="H252" s="109" t="s">
        <v>441</v>
      </c>
    </row>
    <row r="253" spans="1:8" x14ac:dyDescent="0.75">
      <c r="A253" s="14">
        <v>7600</v>
      </c>
      <c r="B253" s="18" t="s">
        <v>694</v>
      </c>
      <c r="C253" s="3">
        <f>SUMIF('Raw Data 04-30-2020'!$A$6:$A$254,'Q2 TB-20'!A253,'Raw Data 04-30-2020'!C$6:C$254)</f>
        <v>0</v>
      </c>
      <c r="D253" s="4"/>
      <c r="E253" s="3">
        <f>SUMIF('Raw Data 04-30-2020'!$A$6:$A$254,'Q2 TB-20'!A253,'Raw Data 04-30-2020'!D$6:D$254)</f>
        <v>0</v>
      </c>
      <c r="F253" s="5"/>
      <c r="G253" s="3">
        <f t="shared" si="5"/>
        <v>0</v>
      </c>
      <c r="H253" s="109" t="s">
        <v>439</v>
      </c>
    </row>
    <row r="254" spans="1:8" x14ac:dyDescent="0.75">
      <c r="A254" s="14">
        <v>7700</v>
      </c>
      <c r="B254" s="18" t="s">
        <v>695</v>
      </c>
      <c r="C254" s="3">
        <f>SUMIF('Raw Data 04-30-2020'!$A$6:$A$254,'Q2 TB-20'!A254,'Raw Data 04-30-2020'!C$6:C$254)</f>
        <v>0</v>
      </c>
      <c r="D254" s="4"/>
      <c r="E254" s="3">
        <f>SUMIF('Raw Data 04-30-2020'!$A$6:$A$254,'Q2 TB-20'!A254,'Raw Data 04-30-2020'!D$6:D$254)</f>
        <v>0</v>
      </c>
      <c r="F254" s="5"/>
      <c r="G254" s="3">
        <f t="shared" si="5"/>
        <v>0</v>
      </c>
      <c r="H254" s="109" t="s">
        <v>439</v>
      </c>
    </row>
    <row r="255" spans="1:8" x14ac:dyDescent="0.75">
      <c r="C255" s="51">
        <f>SUM(C6:C254)</f>
        <v>12300599.859999998</v>
      </c>
      <c r="E255" s="51">
        <f>SUM(E6:E254)</f>
        <v>12300599.859999999</v>
      </c>
      <c r="G255" s="51">
        <f>SUM(G6:G254)</f>
        <v>1.1641532182693481E-10</v>
      </c>
    </row>
  </sheetData>
  <mergeCells count="3">
    <mergeCell ref="B1:D1"/>
    <mergeCell ref="B2:D2"/>
    <mergeCell ref="B3:D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56321" r:id="rId4" name="FILT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56321" r:id="rId4" name="FILTER"/>
      </mc:Fallback>
    </mc:AlternateContent>
    <mc:AlternateContent xmlns:mc="http://schemas.openxmlformats.org/markup-compatibility/2006">
      <mc:Choice Requires="x14">
        <control shapeId="56322" r:id="rId6" name="HEAD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56322" r:id="rId6" name="HEADER"/>
      </mc:Fallback>
    </mc:AlternateContent>
  </control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64E9-D553-4E67-9D43-FF6F68166049}">
  <sheetPr codeName="Sheet17"/>
  <dimension ref="A1:J255"/>
  <sheetViews>
    <sheetView zoomScaleNormal="100" workbookViewId="0">
      <pane xSplit="2" ySplit="5" topLeftCell="C78" activePane="bottomRight" state="frozenSplit"/>
      <selection pane="topRight" activeCell="C1" sqref="C1"/>
      <selection pane="bottomLeft" activeCell="A3" sqref="A3"/>
      <selection pane="bottomRight" activeCell="H91" sqref="H91"/>
    </sheetView>
  </sheetViews>
  <sheetFormatPr defaultColWidth="9.1328125" defaultRowHeight="14.75" x14ac:dyDescent="0.75"/>
  <cols>
    <col min="1" max="1" width="11.86328125" style="14" customWidth="1"/>
    <col min="2" max="2" width="40.26953125" style="18" customWidth="1"/>
    <col min="3" max="3" width="14.1328125" style="10" customWidth="1"/>
    <col min="4" max="4" width="2.1328125" style="10" customWidth="1"/>
    <col min="5" max="5" width="15.40625" style="10" customWidth="1"/>
    <col min="6" max="6" width="4.26953125" style="10" customWidth="1"/>
    <col min="7" max="7" width="15.40625" style="10" customWidth="1"/>
    <col min="8" max="8" width="17.54296875" style="85" bestFit="1" customWidth="1"/>
    <col min="9" max="16384" width="9.1328125" style="85"/>
  </cols>
  <sheetData>
    <row r="1" spans="1:10" ht="18" x14ac:dyDescent="0.8">
      <c r="B1" s="195" t="s">
        <v>696</v>
      </c>
      <c r="C1" s="197"/>
      <c r="D1" s="197"/>
    </row>
    <row r="2" spans="1:10" ht="18" x14ac:dyDescent="0.8">
      <c r="B2" s="195" t="s">
        <v>697</v>
      </c>
      <c r="C2" s="197"/>
      <c r="D2" s="197"/>
    </row>
    <row r="3" spans="1:10" ht="15.75" x14ac:dyDescent="0.75">
      <c r="B3" s="196" t="str">
        <f>'Raw Data 07-31-2020'!B3:D3</f>
        <v>As of July 31, 2020</v>
      </c>
      <c r="C3" s="196"/>
      <c r="D3" s="196"/>
    </row>
    <row r="4" spans="1:10" ht="15.5" thickBot="1" x14ac:dyDescent="0.9">
      <c r="A4" s="12"/>
      <c r="B4" s="13"/>
      <c r="C4" s="15"/>
      <c r="D4" s="1"/>
      <c r="E4" s="2"/>
      <c r="F4" s="2"/>
      <c r="G4" s="2"/>
    </row>
    <row r="5" spans="1:10" s="9" customFormat="1" ht="16.25" thickTop="1" thickBot="1" x14ac:dyDescent="0.9">
      <c r="A5" s="12" t="s">
        <v>4</v>
      </c>
      <c r="B5" s="17" t="s">
        <v>3</v>
      </c>
      <c r="C5" s="7" t="s">
        <v>0</v>
      </c>
      <c r="D5" s="8"/>
      <c r="E5" s="7" t="s">
        <v>1</v>
      </c>
      <c r="F5" s="15"/>
      <c r="G5" s="15" t="s">
        <v>170</v>
      </c>
      <c r="H5" s="35" t="s">
        <v>799</v>
      </c>
    </row>
    <row r="6" spans="1:10" ht="15.5" thickTop="1" x14ac:dyDescent="0.75">
      <c r="A6" s="12">
        <v>1005</v>
      </c>
      <c r="B6" s="13" t="s">
        <v>457</v>
      </c>
      <c r="C6" s="3">
        <f>SUMIF('Raw Data 07-31-2020'!$A$6:$A$254,'Q3 TB-20'!A6,'Raw Data 07-31-2020'!C$6:C$254)</f>
        <v>0</v>
      </c>
      <c r="D6" s="4"/>
      <c r="E6" s="3">
        <f>SUMIF('Raw Data 07-31-2020'!$A$6:$A$254,'Q3 TB-20'!A6,'Raw Data 07-31-2020'!D$6:D$254)</f>
        <v>0</v>
      </c>
      <c r="F6" s="3"/>
      <c r="G6" s="3">
        <f>C6-E6</f>
        <v>0</v>
      </c>
      <c r="H6" s="109" t="s">
        <v>171</v>
      </c>
      <c r="J6" s="19"/>
    </row>
    <row r="7" spans="1:10" x14ac:dyDescent="0.75">
      <c r="A7" s="12">
        <v>1010</v>
      </c>
      <c r="B7" s="13" t="s">
        <v>458</v>
      </c>
      <c r="C7" s="3">
        <f>SUMIF('Raw Data 07-31-2020'!$A$6:$A$254,'Q3 TB-20'!A7,'Raw Data 07-31-2020'!C$6:C$254)</f>
        <v>8372.06</v>
      </c>
      <c r="D7" s="4"/>
      <c r="E7" s="3">
        <f>SUMIF('Raw Data 07-31-2020'!$A$6:$A$254,'Q3 TB-20'!A7,'Raw Data 07-31-2020'!D$6:D$254)</f>
        <v>0</v>
      </c>
      <c r="F7" s="3"/>
      <c r="G7" s="3">
        <f t="shared" ref="G7:G72" si="0">C7-E7</f>
        <v>8372.06</v>
      </c>
      <c r="H7" s="109" t="s">
        <v>171</v>
      </c>
      <c r="J7" s="19"/>
    </row>
    <row r="8" spans="1:10" x14ac:dyDescent="0.75">
      <c r="A8" s="12">
        <v>1020</v>
      </c>
      <c r="B8" s="13" t="s">
        <v>459</v>
      </c>
      <c r="C8" s="3">
        <f>SUMIF('Raw Data 07-31-2020'!$A$6:$A$254,'Q3 TB-20'!A8,'Raw Data 07-31-2020'!C$6:C$254)</f>
        <v>350788.48</v>
      </c>
      <c r="D8" s="4"/>
      <c r="E8" s="3">
        <f>SUMIF('Raw Data 07-31-2020'!$A$6:$A$254,'Q3 TB-20'!A8,'Raw Data 07-31-2020'!D$6:D$254)</f>
        <v>0</v>
      </c>
      <c r="F8" s="3"/>
      <c r="G8" s="3">
        <f t="shared" si="0"/>
        <v>350788.48</v>
      </c>
      <c r="H8" s="109" t="s">
        <v>171</v>
      </c>
      <c r="J8" s="19"/>
    </row>
    <row r="9" spans="1:10" x14ac:dyDescent="0.75">
      <c r="A9" s="12">
        <v>1200</v>
      </c>
      <c r="B9" s="13" t="s">
        <v>460</v>
      </c>
      <c r="C9" s="3">
        <f>SUMIF('Raw Data 07-31-2020'!$A$6:$A$254,'Q3 TB-20'!A9,'Raw Data 07-31-2020'!C$6:C$254)</f>
        <v>245143.78</v>
      </c>
      <c r="D9" s="4"/>
      <c r="E9" s="3">
        <f>SUMIF('Raw Data 07-31-2020'!$A$6:$A$254,'Q3 TB-20'!A9,'Raw Data 07-31-2020'!D$6:D$254)</f>
        <v>0</v>
      </c>
      <c r="F9" s="3"/>
      <c r="G9" s="3">
        <f t="shared" si="0"/>
        <v>245143.78</v>
      </c>
      <c r="H9" s="109" t="s">
        <v>172</v>
      </c>
      <c r="J9" s="19"/>
    </row>
    <row r="10" spans="1:10" x14ac:dyDescent="0.75">
      <c r="A10" s="12">
        <v>1210</v>
      </c>
      <c r="B10" s="13" t="s">
        <v>461</v>
      </c>
      <c r="C10" s="3">
        <f>SUMIF('Raw Data 07-31-2020'!$A$6:$A$254,'Q3 TB-20'!A10,'Raw Data 07-31-2020'!C$6:C$254)</f>
        <v>0</v>
      </c>
      <c r="D10" s="4"/>
      <c r="E10" s="3">
        <f>SUMIF('Raw Data 07-31-2020'!$A$6:$A$254,'Q3 TB-20'!A10,'Raw Data 07-31-2020'!D$6:D$254)</f>
        <v>0</v>
      </c>
      <c r="F10" s="3"/>
      <c r="G10" s="3">
        <f t="shared" si="0"/>
        <v>0</v>
      </c>
      <c r="H10" s="109" t="s">
        <v>172</v>
      </c>
      <c r="J10" s="19"/>
    </row>
    <row r="11" spans="1:10" x14ac:dyDescent="0.75">
      <c r="A11" s="12">
        <v>1250</v>
      </c>
      <c r="B11" s="13" t="s">
        <v>462</v>
      </c>
      <c r="C11" s="3">
        <f>SUMIF('Raw Data 07-31-2020'!$A$6:$A$254,'Q3 TB-20'!A11,'Raw Data 07-31-2020'!C$6:C$254)</f>
        <v>0</v>
      </c>
      <c r="D11" s="4"/>
      <c r="E11" s="3">
        <f>SUMIF('Raw Data 07-31-2020'!$A$6:$A$254,'Q3 TB-20'!A11,'Raw Data 07-31-2020'!D$6:D$254)</f>
        <v>0</v>
      </c>
      <c r="F11" s="3"/>
      <c r="G11" s="3">
        <f t="shared" si="0"/>
        <v>0</v>
      </c>
      <c r="H11" s="109" t="s">
        <v>172</v>
      </c>
      <c r="J11" s="19"/>
    </row>
    <row r="12" spans="1:10" x14ac:dyDescent="0.75">
      <c r="A12" s="12">
        <v>1280</v>
      </c>
      <c r="B12" s="13" t="s">
        <v>468</v>
      </c>
      <c r="C12" s="3">
        <f>SUMIF('Raw Data 07-31-2020'!$A$6:$A$254,'Q3 TB-20'!A12,'Raw Data 07-31-2020'!C$6:C$254)</f>
        <v>0</v>
      </c>
      <c r="D12" s="4"/>
      <c r="E12" s="3">
        <f>SUMIF('Raw Data 07-31-2020'!$A$6:$A$254,'Q3 TB-20'!A12,'Raw Data 07-31-2020'!D$6:D$254)</f>
        <v>0</v>
      </c>
      <c r="F12" s="3"/>
      <c r="G12" s="3">
        <f t="shared" si="0"/>
        <v>0</v>
      </c>
      <c r="H12" s="109" t="s">
        <v>175</v>
      </c>
      <c r="J12" s="19"/>
    </row>
    <row r="13" spans="1:10" x14ac:dyDescent="0.75">
      <c r="A13" s="12">
        <v>1290</v>
      </c>
      <c r="B13" s="13" t="s">
        <v>469</v>
      </c>
      <c r="C13" s="3">
        <f>SUMIF('Raw Data 07-31-2020'!$A$6:$A$254,'Q3 TB-20'!A13,'Raw Data 07-31-2020'!C$6:C$254)</f>
        <v>0</v>
      </c>
      <c r="D13" s="4"/>
      <c r="E13" s="3">
        <f>SUMIF('Raw Data 07-31-2020'!$A$6:$A$254,'Q3 TB-20'!A13,'Raw Data 07-31-2020'!D$6:D$254)</f>
        <v>0</v>
      </c>
      <c r="F13" s="3"/>
      <c r="G13" s="3">
        <f t="shared" si="0"/>
        <v>0</v>
      </c>
      <c r="H13" s="109" t="s">
        <v>172</v>
      </c>
      <c r="J13" s="19"/>
    </row>
    <row r="14" spans="1:10" x14ac:dyDescent="0.75">
      <c r="A14" s="12">
        <v>1300</v>
      </c>
      <c r="B14" s="13" t="s">
        <v>463</v>
      </c>
      <c r="C14" s="3">
        <f>SUMIF('Raw Data 07-31-2020'!$A$6:$A$254,'Q3 TB-20'!A14,'Raw Data 07-31-2020'!C$6:C$254)</f>
        <v>0</v>
      </c>
      <c r="D14" s="4"/>
      <c r="E14" s="3">
        <f>SUMIF('Raw Data 07-31-2020'!$A$6:$A$254,'Q3 TB-20'!A14,'Raw Data 07-31-2020'!D$6:D$254)</f>
        <v>0</v>
      </c>
      <c r="F14" s="3"/>
      <c r="G14" s="3">
        <f t="shared" si="0"/>
        <v>0</v>
      </c>
      <c r="H14" s="109" t="s">
        <v>174</v>
      </c>
      <c r="J14" s="19"/>
    </row>
    <row r="15" spans="1:10" x14ac:dyDescent="0.75">
      <c r="A15" s="12">
        <v>1310</v>
      </c>
      <c r="B15" s="13" t="s">
        <v>467</v>
      </c>
      <c r="C15" s="3">
        <f>SUMIF('Raw Data 07-31-2020'!$A$6:$A$254,'Q3 TB-20'!A15,'Raw Data 07-31-2020'!C$6:C$254)</f>
        <v>70901.440000000002</v>
      </c>
      <c r="D15" s="4"/>
      <c r="E15" s="3">
        <f>SUMIF('Raw Data 07-31-2020'!$A$6:$A$254,'Q3 TB-20'!A15,'Raw Data 07-31-2020'!D$6:D$254)</f>
        <v>0</v>
      </c>
      <c r="F15" s="3"/>
      <c r="G15" s="3">
        <f t="shared" si="0"/>
        <v>70901.440000000002</v>
      </c>
      <c r="H15" s="109" t="s">
        <v>174</v>
      </c>
      <c r="J15" s="19"/>
    </row>
    <row r="16" spans="1:10" x14ac:dyDescent="0.75">
      <c r="A16" s="12">
        <v>1320</v>
      </c>
      <c r="B16" s="13" t="s">
        <v>466</v>
      </c>
      <c r="C16" s="3">
        <f>SUMIF('Raw Data 07-31-2020'!$A$6:$A$254,'Q3 TB-20'!A16,'Raw Data 07-31-2020'!C$6:C$254)</f>
        <v>0</v>
      </c>
      <c r="D16" s="4"/>
      <c r="E16" s="3">
        <f>SUMIF('Raw Data 07-31-2020'!$A$6:$A$254,'Q3 TB-20'!A16,'Raw Data 07-31-2020'!D$6:D$254)</f>
        <v>0</v>
      </c>
      <c r="F16" s="3"/>
      <c r="G16" s="3">
        <f t="shared" si="0"/>
        <v>0</v>
      </c>
      <c r="H16" s="109" t="s">
        <v>174</v>
      </c>
      <c r="J16" s="19"/>
    </row>
    <row r="17" spans="1:10" x14ac:dyDescent="0.75">
      <c r="A17" s="12">
        <v>1330</v>
      </c>
      <c r="B17" s="13" t="s">
        <v>464</v>
      </c>
      <c r="C17" s="3">
        <f>SUMIF('Raw Data 07-31-2020'!$A$6:$A$254,'Q3 TB-20'!A17,'Raw Data 07-31-2020'!C$6:C$254)</f>
        <v>0</v>
      </c>
      <c r="D17" s="4"/>
      <c r="E17" s="3">
        <f>SUMIF('Raw Data 07-31-2020'!$A$6:$A$254,'Q3 TB-20'!A17,'Raw Data 07-31-2020'!D$6:D$254)</f>
        <v>0</v>
      </c>
      <c r="F17" s="3"/>
      <c r="G17" s="3">
        <f t="shared" si="0"/>
        <v>0</v>
      </c>
      <c r="H17" s="109" t="s">
        <v>174</v>
      </c>
      <c r="J17" s="19"/>
    </row>
    <row r="18" spans="1:10" x14ac:dyDescent="0.75">
      <c r="A18" s="12">
        <v>1340</v>
      </c>
      <c r="B18" s="13" t="s">
        <v>465</v>
      </c>
      <c r="C18" s="3">
        <f>SUMIF('Raw Data 07-31-2020'!$A$6:$A$254,'Q3 TB-20'!A18,'Raw Data 07-31-2020'!C$6:C$254)</f>
        <v>11380.4</v>
      </c>
      <c r="D18" s="4"/>
      <c r="E18" s="3">
        <f>SUMIF('Raw Data 07-31-2020'!$A$6:$A$254,'Q3 TB-20'!A18,'Raw Data 07-31-2020'!D$6:D$254)</f>
        <v>0</v>
      </c>
      <c r="F18" s="3"/>
      <c r="G18" s="3">
        <f t="shared" si="0"/>
        <v>11380.4</v>
      </c>
      <c r="H18" s="109" t="s">
        <v>174</v>
      </c>
      <c r="J18" s="19"/>
    </row>
    <row r="19" spans="1:10" x14ac:dyDescent="0.75">
      <c r="A19" s="12">
        <v>1410</v>
      </c>
      <c r="B19" s="13" t="s">
        <v>470</v>
      </c>
      <c r="C19" s="3">
        <f>SUMIF('Raw Data 07-31-2020'!$A$6:$A$254,'Q3 TB-20'!A19,'Raw Data 07-31-2020'!C$6:C$254)</f>
        <v>21250</v>
      </c>
      <c r="D19" s="4"/>
      <c r="E19" s="3">
        <f>SUMIF('Raw Data 07-31-2020'!$A$6:$A$254,'Q3 TB-20'!A19,'Raw Data 07-31-2020'!D$6:D$254)</f>
        <v>0</v>
      </c>
      <c r="F19" s="3"/>
      <c r="G19" s="3">
        <f t="shared" si="0"/>
        <v>21250</v>
      </c>
      <c r="H19" s="109" t="s">
        <v>175</v>
      </c>
      <c r="J19" s="19"/>
    </row>
    <row r="20" spans="1:10" x14ac:dyDescent="0.75">
      <c r="A20" s="12">
        <v>1420</v>
      </c>
      <c r="B20" s="13" t="s">
        <v>471</v>
      </c>
      <c r="C20" s="3">
        <f>SUMIF('Raw Data 07-31-2020'!$A$6:$A$254,'Q3 TB-20'!A20,'Raw Data 07-31-2020'!C$6:C$254)</f>
        <v>0</v>
      </c>
      <c r="D20" s="4"/>
      <c r="E20" s="3">
        <f>SUMIF('Raw Data 07-31-2020'!$A$6:$A$254,'Q3 TB-20'!A20,'Raw Data 07-31-2020'!D$6:D$254)</f>
        <v>0</v>
      </c>
      <c r="F20" s="3"/>
      <c r="G20" s="3">
        <f t="shared" si="0"/>
        <v>0</v>
      </c>
      <c r="H20" s="109" t="s">
        <v>175</v>
      </c>
      <c r="J20" s="19"/>
    </row>
    <row r="21" spans="1:10" x14ac:dyDescent="0.75">
      <c r="A21" s="12">
        <v>1430</v>
      </c>
      <c r="B21" s="13" t="s">
        <v>472</v>
      </c>
      <c r="C21" s="3">
        <f>SUMIF('Raw Data 07-31-2020'!$A$6:$A$254,'Q3 TB-20'!A21,'Raw Data 07-31-2020'!C$6:C$254)</f>
        <v>0</v>
      </c>
      <c r="D21" s="4"/>
      <c r="E21" s="3">
        <f>SUMIF('Raw Data 07-31-2020'!$A$6:$A$254,'Q3 TB-20'!A21,'Raw Data 07-31-2020'!D$6:D$254)</f>
        <v>0</v>
      </c>
      <c r="F21" s="3"/>
      <c r="G21" s="3">
        <f t="shared" si="0"/>
        <v>0</v>
      </c>
      <c r="H21" s="109" t="s">
        <v>175</v>
      </c>
      <c r="J21" s="19"/>
    </row>
    <row r="22" spans="1:10" x14ac:dyDescent="0.75">
      <c r="A22" s="12">
        <v>1710</v>
      </c>
      <c r="B22" s="13" t="s">
        <v>481</v>
      </c>
      <c r="C22" s="3">
        <f>SUMIF('Raw Data 07-31-2020'!$A$6:$A$254,'Q3 TB-20'!A22,'Raw Data 07-31-2020'!C$6:C$254)</f>
        <v>97384.17</v>
      </c>
      <c r="D22" s="4"/>
      <c r="E22" s="3">
        <f>SUMIF('Raw Data 07-31-2020'!$A$6:$A$254,'Q3 TB-20'!A22,'Raw Data 07-31-2020'!D$6:D$254)</f>
        <v>0</v>
      </c>
      <c r="F22" s="3"/>
      <c r="G22" s="3">
        <f t="shared" si="0"/>
        <v>97384.17</v>
      </c>
      <c r="H22" s="109" t="s">
        <v>173</v>
      </c>
      <c r="J22" s="19"/>
    </row>
    <row r="23" spans="1:10" x14ac:dyDescent="0.75">
      <c r="A23" s="12">
        <v>1715</v>
      </c>
      <c r="B23" s="13" t="s">
        <v>483</v>
      </c>
      <c r="C23" s="3">
        <f>SUMIF('Raw Data 07-31-2020'!$A$6:$A$254,'Q3 TB-20'!A23,'Raw Data 07-31-2020'!C$6:C$254)</f>
        <v>0</v>
      </c>
      <c r="D23" s="4"/>
      <c r="E23" s="3">
        <f>SUMIF('Raw Data 07-31-2020'!$A$6:$A$254,'Q3 TB-20'!A23,'Raw Data 07-31-2020'!D$6:D$254)</f>
        <v>0</v>
      </c>
      <c r="F23" s="3"/>
      <c r="G23" s="3">
        <f t="shared" si="0"/>
        <v>0</v>
      </c>
      <c r="H23" s="109" t="s">
        <v>173</v>
      </c>
      <c r="J23" s="19"/>
    </row>
    <row r="24" spans="1:10" x14ac:dyDescent="0.75">
      <c r="A24" s="12">
        <v>1720</v>
      </c>
      <c r="B24" s="13" t="s">
        <v>484</v>
      </c>
      <c r="C24" s="3">
        <f>SUMIF('Raw Data 07-31-2020'!$A$6:$A$254,'Q3 TB-20'!A24,'Raw Data 07-31-2020'!C$6:C$254)</f>
        <v>3937.6</v>
      </c>
      <c r="D24" s="4"/>
      <c r="E24" s="3">
        <f>SUMIF('Raw Data 07-31-2020'!$A$6:$A$254,'Q3 TB-20'!A24,'Raw Data 07-31-2020'!D$6:D$254)</f>
        <v>0</v>
      </c>
      <c r="F24" s="3"/>
      <c r="G24" s="3">
        <f t="shared" si="0"/>
        <v>3937.6</v>
      </c>
      <c r="H24" s="109" t="s">
        <v>173</v>
      </c>
      <c r="J24" s="19"/>
    </row>
    <row r="25" spans="1:10" x14ac:dyDescent="0.75">
      <c r="A25" s="12">
        <v>1725</v>
      </c>
      <c r="B25" s="13" t="s">
        <v>485</v>
      </c>
      <c r="C25" s="3">
        <f>SUMIF('Raw Data 07-31-2020'!$A$6:$A$254,'Q3 TB-20'!A25,'Raw Data 07-31-2020'!C$6:C$254)</f>
        <v>2446.33</v>
      </c>
      <c r="D25" s="4"/>
      <c r="E25" s="3">
        <f>SUMIF('Raw Data 07-31-2020'!$A$6:$A$254,'Q3 TB-20'!A25,'Raw Data 07-31-2020'!D$6:D$254)</f>
        <v>0</v>
      </c>
      <c r="F25" s="3"/>
      <c r="G25" s="3">
        <f t="shared" si="0"/>
        <v>2446.33</v>
      </c>
      <c r="H25" s="109" t="s">
        <v>173</v>
      </c>
      <c r="J25" s="19"/>
    </row>
    <row r="26" spans="1:10" x14ac:dyDescent="0.75">
      <c r="A26" s="12">
        <v>1735</v>
      </c>
      <c r="B26" s="13" t="s">
        <v>487</v>
      </c>
      <c r="C26" s="3">
        <f>SUMIF('Raw Data 07-31-2020'!$A$6:$A$254,'Q3 TB-20'!A26,'Raw Data 07-31-2020'!C$6:C$254)</f>
        <v>12340.5</v>
      </c>
      <c r="D26" s="4"/>
      <c r="E26" s="3">
        <f>SUMIF('Raw Data 07-31-2020'!$A$6:$A$254,'Q3 TB-20'!A26,'Raw Data 07-31-2020'!D$6:D$254)</f>
        <v>0</v>
      </c>
      <c r="F26" s="3"/>
      <c r="G26" s="3">
        <f t="shared" si="0"/>
        <v>12340.5</v>
      </c>
      <c r="H26" s="109" t="s">
        <v>173</v>
      </c>
      <c r="J26" s="19"/>
    </row>
    <row r="27" spans="1:10" x14ac:dyDescent="0.75">
      <c r="A27" s="12">
        <v>1740</v>
      </c>
      <c r="B27" s="13" t="s">
        <v>488</v>
      </c>
      <c r="C27" s="3">
        <f>SUMIF('Raw Data 07-31-2020'!$A$6:$A$254,'Q3 TB-20'!A27,'Raw Data 07-31-2020'!C$6:C$254)</f>
        <v>0</v>
      </c>
      <c r="D27" s="4"/>
      <c r="E27" s="3">
        <f>SUMIF('Raw Data 07-31-2020'!$A$6:$A$254,'Q3 TB-20'!A27,'Raw Data 07-31-2020'!D$6:D$254)</f>
        <v>0</v>
      </c>
      <c r="F27" s="3"/>
      <c r="G27" s="3">
        <f t="shared" si="0"/>
        <v>0</v>
      </c>
      <c r="H27" s="109" t="s">
        <v>173</v>
      </c>
      <c r="J27" s="19"/>
    </row>
    <row r="28" spans="1:10" x14ac:dyDescent="0.75">
      <c r="A28" s="12">
        <v>1745</v>
      </c>
      <c r="B28" s="13" t="s">
        <v>489</v>
      </c>
      <c r="C28" s="3">
        <f>SUMIF('Raw Data 07-31-2020'!$A$6:$A$254,'Q3 TB-20'!A28,'Raw Data 07-31-2020'!C$6:C$254)</f>
        <v>315246.63</v>
      </c>
      <c r="D28" s="4"/>
      <c r="E28" s="3">
        <f>SUMIF('Raw Data 07-31-2020'!$A$6:$A$254,'Q3 TB-20'!A28,'Raw Data 07-31-2020'!D$6:D$254)</f>
        <v>0</v>
      </c>
      <c r="F28" s="3"/>
      <c r="G28" s="3">
        <f t="shared" si="0"/>
        <v>315246.63</v>
      </c>
      <c r="H28" s="109" t="s">
        <v>173</v>
      </c>
      <c r="J28" s="19"/>
    </row>
    <row r="29" spans="1:10" x14ac:dyDescent="0.75">
      <c r="A29" s="12">
        <v>1750</v>
      </c>
      <c r="B29" s="13" t="s">
        <v>490</v>
      </c>
      <c r="C29" s="3">
        <f>SUMIF('Raw Data 07-31-2020'!$A$6:$A$254,'Q3 TB-20'!A29,'Raw Data 07-31-2020'!C$6:C$254)</f>
        <v>10394.01</v>
      </c>
      <c r="D29" s="4"/>
      <c r="E29" s="3">
        <f>SUMIF('Raw Data 07-31-2020'!$A$6:$A$254,'Q3 TB-20'!A29,'Raw Data 07-31-2020'!D$6:D$254)</f>
        <v>0</v>
      </c>
      <c r="F29" s="3"/>
      <c r="G29" s="3">
        <f t="shared" si="0"/>
        <v>10394.01</v>
      </c>
      <c r="H29" s="109" t="s">
        <v>173</v>
      </c>
      <c r="J29" s="19"/>
    </row>
    <row r="30" spans="1:10" x14ac:dyDescent="0.75">
      <c r="A30" s="12">
        <v>1755</v>
      </c>
      <c r="B30" s="13" t="s">
        <v>491</v>
      </c>
      <c r="C30" s="3">
        <f>SUMIF('Raw Data 07-31-2020'!$A$6:$A$254,'Q3 TB-20'!A30,'Raw Data 07-31-2020'!C$6:C$254)</f>
        <v>12839.91</v>
      </c>
      <c r="D30" s="4"/>
      <c r="E30" s="3">
        <f>SUMIF('Raw Data 07-31-2020'!$A$6:$A$254,'Q3 TB-20'!A30,'Raw Data 07-31-2020'!D$6:D$254)</f>
        <v>0</v>
      </c>
      <c r="F30" s="3"/>
      <c r="G30" s="3">
        <f t="shared" si="0"/>
        <v>12839.91</v>
      </c>
      <c r="H30" s="109" t="s">
        <v>173</v>
      </c>
      <c r="J30" s="19"/>
    </row>
    <row r="31" spans="1:10" x14ac:dyDescent="0.75">
      <c r="A31" s="12">
        <v>1760</v>
      </c>
      <c r="B31" s="13" t="s">
        <v>492</v>
      </c>
      <c r="C31" s="3">
        <f>SUMIF('Raw Data 07-31-2020'!$A$6:$A$254,'Q3 TB-20'!A31,'Raw Data 07-31-2020'!C$6:C$254)</f>
        <v>20105.95</v>
      </c>
      <c r="D31" s="4"/>
      <c r="E31" s="3">
        <f>SUMIF('Raw Data 07-31-2020'!$A$6:$A$254,'Q3 TB-20'!A31,'Raw Data 07-31-2020'!D$6:D$254)</f>
        <v>0</v>
      </c>
      <c r="F31" s="3"/>
      <c r="G31" s="3">
        <f t="shared" si="0"/>
        <v>20105.95</v>
      </c>
      <c r="H31" s="109" t="s">
        <v>173</v>
      </c>
      <c r="J31" s="19"/>
    </row>
    <row r="32" spans="1:10" x14ac:dyDescent="0.75">
      <c r="A32" s="12">
        <v>1765</v>
      </c>
      <c r="B32" s="13" t="s">
        <v>493</v>
      </c>
      <c r="C32" s="3">
        <f>SUMIF('Raw Data 07-31-2020'!$A$6:$A$254,'Q3 TB-20'!A32,'Raw Data 07-31-2020'!C$6:C$254)</f>
        <v>1015.31</v>
      </c>
      <c r="D32" s="4"/>
      <c r="E32" s="3">
        <f>SUMIF('Raw Data 07-31-2020'!$A$6:$A$254,'Q3 TB-20'!A32,'Raw Data 07-31-2020'!D$6:D$254)</f>
        <v>0</v>
      </c>
      <c r="F32" s="3"/>
      <c r="G32" s="3">
        <f t="shared" si="0"/>
        <v>1015.31</v>
      </c>
      <c r="H32" s="109" t="s">
        <v>173</v>
      </c>
      <c r="J32" s="19"/>
    </row>
    <row r="33" spans="1:10" x14ac:dyDescent="0.75">
      <c r="A33" s="12">
        <v>1781</v>
      </c>
      <c r="B33" s="13" t="s">
        <v>482</v>
      </c>
      <c r="C33" s="3">
        <f>SUMIF('Raw Data 07-31-2020'!$A$6:$A$254,'Q3 TB-20'!A33,'Raw Data 07-31-2020'!C$6:C$254)</f>
        <v>0</v>
      </c>
      <c r="D33" s="4"/>
      <c r="E33" s="3">
        <f>SUMIF('Raw Data 07-31-2020'!$A$6:$A$254,'Q3 TB-20'!A33,'Raw Data 07-31-2020'!D$6:D$254)</f>
        <v>57632.56</v>
      </c>
      <c r="F33" s="3"/>
      <c r="G33" s="3">
        <f t="shared" si="0"/>
        <v>-57632.56</v>
      </c>
      <c r="H33" s="109" t="s">
        <v>173</v>
      </c>
      <c r="J33" s="19"/>
    </row>
    <row r="34" spans="1:10" x14ac:dyDescent="0.75">
      <c r="A34" s="12">
        <v>1782</v>
      </c>
      <c r="B34" s="13" t="s">
        <v>473</v>
      </c>
      <c r="C34" s="3">
        <f>SUMIF('Raw Data 07-31-2020'!$A$6:$A$254,'Q3 TB-20'!A34,'Raw Data 07-31-2020'!C$6:C$254)</f>
        <v>0</v>
      </c>
      <c r="D34" s="4"/>
      <c r="E34" s="3">
        <f>SUMIF('Raw Data 07-31-2020'!$A$6:$A$254,'Q3 TB-20'!A34,'Raw Data 07-31-2020'!D$6:D$254)</f>
        <v>0</v>
      </c>
      <c r="F34" s="3"/>
      <c r="G34" s="3">
        <f t="shared" si="0"/>
        <v>0</v>
      </c>
      <c r="H34" s="109" t="s">
        <v>173</v>
      </c>
      <c r="J34" s="19"/>
    </row>
    <row r="35" spans="1:10" x14ac:dyDescent="0.75">
      <c r="A35" s="12">
        <v>1783</v>
      </c>
      <c r="B35" s="13" t="s">
        <v>474</v>
      </c>
      <c r="C35" s="3">
        <f>SUMIF('Raw Data 07-31-2020'!$A$6:$A$254,'Q3 TB-20'!A35,'Raw Data 07-31-2020'!C$6:C$254)</f>
        <v>0</v>
      </c>
      <c r="D35" s="4"/>
      <c r="E35" s="3">
        <f>SUMIF('Raw Data 07-31-2020'!$A$6:$A$254,'Q3 TB-20'!A35,'Raw Data 07-31-2020'!D$6:D$254)</f>
        <v>1968.78</v>
      </c>
      <c r="F35" s="3"/>
      <c r="G35" s="3">
        <f t="shared" si="0"/>
        <v>-1968.78</v>
      </c>
      <c r="H35" s="109" t="s">
        <v>173</v>
      </c>
      <c r="J35" s="19"/>
    </row>
    <row r="36" spans="1:10" x14ac:dyDescent="0.75">
      <c r="A36" s="12">
        <v>1784</v>
      </c>
      <c r="B36" s="13" t="s">
        <v>486</v>
      </c>
      <c r="C36" s="3">
        <f>SUMIF('Raw Data 07-31-2020'!$A$6:$A$254,'Q3 TB-20'!A36,'Raw Data 07-31-2020'!C$6:C$254)</f>
        <v>0</v>
      </c>
      <c r="D36" s="4"/>
      <c r="E36" s="3">
        <f>SUMIF('Raw Data 07-31-2020'!$A$6:$A$254,'Q3 TB-20'!A36,'Raw Data 07-31-2020'!D$6:D$254)</f>
        <v>803.74</v>
      </c>
      <c r="F36" s="3"/>
      <c r="G36" s="3">
        <f t="shared" si="0"/>
        <v>-803.74</v>
      </c>
      <c r="H36" s="109" t="s">
        <v>173</v>
      </c>
      <c r="J36" s="19"/>
    </row>
    <row r="37" spans="1:10" x14ac:dyDescent="0.75">
      <c r="A37" s="12">
        <v>1785</v>
      </c>
      <c r="B37" s="13" t="s">
        <v>476</v>
      </c>
      <c r="C37" s="3">
        <f>SUMIF('Raw Data 07-31-2020'!$A$6:$A$254,'Q3 TB-20'!A37,'Raw Data 07-31-2020'!C$6:C$254)</f>
        <v>0</v>
      </c>
      <c r="D37" s="4"/>
      <c r="E37" s="3">
        <f>SUMIF('Raw Data 07-31-2020'!$A$6:$A$254,'Q3 TB-20'!A37,'Raw Data 07-31-2020'!D$6:D$254)</f>
        <v>4706.6899999999996</v>
      </c>
      <c r="F37" s="3"/>
      <c r="G37" s="3">
        <f t="shared" si="0"/>
        <v>-4706.6899999999996</v>
      </c>
      <c r="H37" s="109" t="s">
        <v>173</v>
      </c>
      <c r="J37" s="19"/>
    </row>
    <row r="38" spans="1:10" x14ac:dyDescent="0.75">
      <c r="A38" s="12">
        <v>1786</v>
      </c>
      <c r="B38" s="13" t="s">
        <v>475</v>
      </c>
      <c r="C38" s="3">
        <f>SUMIF('Raw Data 07-31-2020'!$A$6:$A$254,'Q3 TB-20'!A38,'Raw Data 07-31-2020'!C$6:C$254)</f>
        <v>0</v>
      </c>
      <c r="D38" s="4"/>
      <c r="E38" s="3">
        <f>SUMIF('Raw Data 07-31-2020'!$A$6:$A$254,'Q3 TB-20'!A38,'Raw Data 07-31-2020'!D$6:D$254)</f>
        <v>0</v>
      </c>
      <c r="F38" s="3"/>
      <c r="G38" s="3">
        <f t="shared" si="0"/>
        <v>0</v>
      </c>
      <c r="H38" s="109" t="s">
        <v>173</v>
      </c>
      <c r="J38" s="19"/>
    </row>
    <row r="39" spans="1:10" x14ac:dyDescent="0.75">
      <c r="A39" s="12">
        <v>1787</v>
      </c>
      <c r="B39" s="13" t="s">
        <v>477</v>
      </c>
      <c r="C39" s="3">
        <f>SUMIF('Raw Data 07-31-2020'!$A$6:$A$254,'Q3 TB-20'!A39,'Raw Data 07-31-2020'!C$6:C$254)</f>
        <v>0</v>
      </c>
      <c r="D39" s="4"/>
      <c r="E39" s="3">
        <f>SUMIF('Raw Data 07-31-2020'!$A$6:$A$254,'Q3 TB-20'!A39,'Raw Data 07-31-2020'!D$6:D$254)</f>
        <v>216481.36</v>
      </c>
      <c r="F39" s="3"/>
      <c r="G39" s="3">
        <f t="shared" si="0"/>
        <v>-216481.36</v>
      </c>
      <c r="H39" s="109" t="s">
        <v>173</v>
      </c>
      <c r="J39" s="19"/>
    </row>
    <row r="40" spans="1:10" x14ac:dyDescent="0.75">
      <c r="A40" s="12" t="s">
        <v>863</v>
      </c>
      <c r="B40" s="13" t="s">
        <v>864</v>
      </c>
      <c r="C40" s="3">
        <f>SUMIF('Raw Data 07-31-2020'!$A$6:$A$254,'Q3 TB-20'!A40,'Raw Data 07-31-2020'!C$6:C$254)</f>
        <v>0</v>
      </c>
      <c r="D40" s="4"/>
      <c r="E40" s="3">
        <f>SUMIF('Raw Data 07-31-2020'!$A$6:$A$254,'Q3 TB-20'!A40,'Raw Data 07-31-2020'!D$6:D$254)</f>
        <v>10394.01</v>
      </c>
      <c r="F40" s="3"/>
      <c r="G40" s="3">
        <f t="shared" si="0"/>
        <v>-10394.01</v>
      </c>
      <c r="H40" s="109" t="s">
        <v>173</v>
      </c>
      <c r="J40" s="19"/>
    </row>
    <row r="41" spans="1:10" x14ac:dyDescent="0.75">
      <c r="A41" s="12">
        <v>1789</v>
      </c>
      <c r="B41" s="13" t="s">
        <v>478</v>
      </c>
      <c r="C41" s="3">
        <f>SUMIF('Raw Data 07-31-2020'!$A$6:$A$254,'Q3 TB-20'!A41,'Raw Data 07-31-2020'!C$6:C$254)</f>
        <v>0</v>
      </c>
      <c r="D41" s="4"/>
      <c r="E41" s="3">
        <f>SUMIF('Raw Data 07-31-2020'!$A$6:$A$254,'Q3 TB-20'!A41,'Raw Data 07-31-2020'!D$6:D$254)</f>
        <v>787.91</v>
      </c>
      <c r="F41" s="3"/>
      <c r="G41" s="3">
        <f t="shared" si="0"/>
        <v>-787.91</v>
      </c>
      <c r="H41" s="109" t="s">
        <v>173</v>
      </c>
      <c r="J41" s="19"/>
    </row>
    <row r="42" spans="1:10" x14ac:dyDescent="0.75">
      <c r="A42" s="12">
        <v>1790</v>
      </c>
      <c r="B42" s="13" t="s">
        <v>479</v>
      </c>
      <c r="C42" s="3">
        <f>SUMIF('Raw Data 07-31-2020'!$A$6:$A$254,'Q3 TB-20'!A42,'Raw Data 07-31-2020'!C$6:C$254)</f>
        <v>0</v>
      </c>
      <c r="D42" s="4"/>
      <c r="E42" s="3">
        <f>SUMIF('Raw Data 07-31-2020'!$A$6:$A$254,'Q3 TB-20'!A42,'Raw Data 07-31-2020'!D$6:D$254)</f>
        <v>1015.31</v>
      </c>
      <c r="F42" s="3"/>
      <c r="G42" s="3">
        <f t="shared" si="0"/>
        <v>-1015.31</v>
      </c>
      <c r="H42" s="109" t="s">
        <v>173</v>
      </c>
      <c r="J42" s="19"/>
    </row>
    <row r="43" spans="1:10" x14ac:dyDescent="0.75">
      <c r="A43" s="12">
        <v>1791</v>
      </c>
      <c r="B43" s="13" t="s">
        <v>480</v>
      </c>
      <c r="C43" s="3">
        <f>SUMIF('Raw Data 07-31-2020'!$A$6:$A$254,'Q3 TB-20'!A43,'Raw Data 07-31-2020'!C$6:C$254)</f>
        <v>0</v>
      </c>
      <c r="D43" s="4"/>
      <c r="E43" s="3">
        <f>SUMIF('Raw Data 07-31-2020'!$A$6:$A$254,'Q3 TB-20'!A43,'Raw Data 07-31-2020'!D$6:D$254)</f>
        <v>20105.95</v>
      </c>
      <c r="F43" s="3"/>
      <c r="G43" s="3">
        <f t="shared" si="0"/>
        <v>-20105.95</v>
      </c>
      <c r="H43" s="109" t="s">
        <v>173</v>
      </c>
      <c r="J43" s="19"/>
    </row>
    <row r="44" spans="1:10" x14ac:dyDescent="0.75">
      <c r="A44" s="12" t="s">
        <v>67</v>
      </c>
      <c r="B44" s="13" t="s">
        <v>921</v>
      </c>
      <c r="C44" s="3">
        <f>SUMIF('Raw Data 07-31-2020'!$A$6:$A$254,'Q3 TB-20'!A44,'Raw Data 07-31-2020'!C$6:C$254)</f>
        <v>411287</v>
      </c>
      <c r="D44" s="4"/>
      <c r="E44" s="3">
        <f>SUMIF('Raw Data 07-31-2020'!$A$6:$A$254,'Q3 TB-20'!A44,'Raw Data 07-31-2020'!D$6:D$254)</f>
        <v>0</v>
      </c>
      <c r="F44" s="3"/>
      <c r="G44" s="3">
        <f t="shared" si="0"/>
        <v>411287</v>
      </c>
      <c r="H44" s="109" t="s">
        <v>922</v>
      </c>
      <c r="J44" s="19"/>
    </row>
    <row r="45" spans="1:10" x14ac:dyDescent="0.75">
      <c r="A45" s="12">
        <v>1820</v>
      </c>
      <c r="B45" s="13" t="s">
        <v>495</v>
      </c>
      <c r="C45" s="3">
        <f>SUMIF('Raw Data 07-31-2020'!$A$6:$A$254,'Q3 TB-20'!A45,'Raw Data 07-31-2020'!C$6:C$254)</f>
        <v>0</v>
      </c>
      <c r="D45" s="4"/>
      <c r="E45" s="3">
        <f>SUMIF('Raw Data 07-31-2020'!$A$6:$A$254,'Q3 TB-20'!A45,'Raw Data 07-31-2020'!D$6:D$254)</f>
        <v>0</v>
      </c>
      <c r="F45" s="3"/>
      <c r="G45" s="3">
        <f t="shared" si="0"/>
        <v>0</v>
      </c>
      <c r="H45" s="109" t="s">
        <v>444</v>
      </c>
      <c r="J45" s="19"/>
    </row>
    <row r="46" spans="1:10" x14ac:dyDescent="0.75">
      <c r="A46" s="12">
        <v>1830</v>
      </c>
      <c r="B46" s="13" t="s">
        <v>496</v>
      </c>
      <c r="C46" s="3">
        <f>SUMIF('Raw Data 07-31-2020'!$A$6:$A$254,'Q3 TB-20'!A46,'Raw Data 07-31-2020'!C$6:C$254)</f>
        <v>0</v>
      </c>
      <c r="D46" s="4"/>
      <c r="E46" s="3">
        <f>SUMIF('Raw Data 07-31-2020'!$A$6:$A$254,'Q3 TB-20'!A46,'Raw Data 07-31-2020'!D$6:D$254)</f>
        <v>0</v>
      </c>
      <c r="F46" s="3"/>
      <c r="G46" s="3">
        <f t="shared" si="0"/>
        <v>0</v>
      </c>
      <c r="H46" s="109" t="s">
        <v>444</v>
      </c>
      <c r="J46" s="19"/>
    </row>
    <row r="47" spans="1:10" x14ac:dyDescent="0.75">
      <c r="A47" s="12">
        <v>1840</v>
      </c>
      <c r="B47" s="13" t="s">
        <v>497</v>
      </c>
      <c r="C47" s="3">
        <f>SUMIF('Raw Data 07-31-2020'!$A$6:$A$254,'Q3 TB-20'!A47,'Raw Data 07-31-2020'!C$6:C$254)</f>
        <v>0</v>
      </c>
      <c r="D47" s="4"/>
      <c r="E47" s="3">
        <f>SUMIF('Raw Data 07-31-2020'!$A$6:$A$254,'Q3 TB-20'!A47,'Raw Data 07-31-2020'!D$6:D$254)</f>
        <v>0</v>
      </c>
      <c r="F47" s="3"/>
      <c r="G47" s="3">
        <f t="shared" si="0"/>
        <v>0</v>
      </c>
      <c r="H47" s="109" t="s">
        <v>444</v>
      </c>
      <c r="J47" s="19"/>
    </row>
    <row r="48" spans="1:10" x14ac:dyDescent="0.75">
      <c r="A48" s="12">
        <v>1900</v>
      </c>
      <c r="B48" s="13" t="s">
        <v>498</v>
      </c>
      <c r="C48" s="3">
        <f>SUMIF('Raw Data 07-31-2020'!$A$6:$A$254,'Q3 TB-20'!A48,'Raw Data 07-31-2020'!C$6:C$254)</f>
        <v>0</v>
      </c>
      <c r="D48" s="4"/>
      <c r="E48" s="3">
        <f>SUMIF('Raw Data 07-31-2020'!$A$6:$A$254,'Q3 TB-20'!A48,'Raw Data 07-31-2020'!D$6:D$254)</f>
        <v>0</v>
      </c>
      <c r="F48" s="3"/>
      <c r="G48" s="3">
        <f t="shared" si="0"/>
        <v>0</v>
      </c>
      <c r="H48" s="109" t="s">
        <v>443</v>
      </c>
      <c r="J48" s="19"/>
    </row>
    <row r="49" spans="1:10" x14ac:dyDescent="0.75">
      <c r="A49" s="12">
        <v>1902</v>
      </c>
      <c r="B49" s="13" t="s">
        <v>499</v>
      </c>
      <c r="C49" s="3">
        <f>SUMIF('Raw Data 07-31-2020'!$A$6:$A$254,'Q3 TB-20'!A49,'Raw Data 07-31-2020'!C$6:C$254)</f>
        <v>0</v>
      </c>
      <c r="D49" s="4"/>
      <c r="E49" s="3">
        <f>SUMIF('Raw Data 07-31-2020'!$A$6:$A$254,'Q3 TB-20'!A49,'Raw Data 07-31-2020'!D$6:D$254)</f>
        <v>0</v>
      </c>
      <c r="F49" s="3"/>
      <c r="G49" s="3">
        <f t="shared" si="0"/>
        <v>0</v>
      </c>
      <c r="H49" s="109" t="s">
        <v>443</v>
      </c>
      <c r="J49" s="19"/>
    </row>
    <row r="50" spans="1:10" x14ac:dyDescent="0.75">
      <c r="A50" s="12">
        <v>1904</v>
      </c>
      <c r="B50" s="13" t="s">
        <v>500</v>
      </c>
      <c r="C50" s="3">
        <f>SUMIF('Raw Data 07-31-2020'!$A$6:$A$254,'Q3 TB-20'!A50,'Raw Data 07-31-2020'!C$6:C$254)</f>
        <v>0</v>
      </c>
      <c r="D50" s="4"/>
      <c r="E50" s="3">
        <f>SUMIF('Raw Data 07-31-2020'!$A$6:$A$254,'Q3 TB-20'!A50,'Raw Data 07-31-2020'!D$6:D$254)</f>
        <v>0</v>
      </c>
      <c r="F50" s="3"/>
      <c r="G50" s="3">
        <f t="shared" si="0"/>
        <v>0</v>
      </c>
      <c r="H50" s="109" t="s">
        <v>176</v>
      </c>
      <c r="J50" s="19"/>
    </row>
    <row r="51" spans="1:10" x14ac:dyDescent="0.75">
      <c r="A51" s="12">
        <v>1906</v>
      </c>
      <c r="B51" s="13" t="s">
        <v>501</v>
      </c>
      <c r="C51" s="3">
        <f>SUMIF('Raw Data 07-31-2020'!$A$6:$A$254,'Q3 TB-20'!A51,'Raw Data 07-31-2020'!C$6:C$254)</f>
        <v>0</v>
      </c>
      <c r="D51" s="4"/>
      <c r="E51" s="3">
        <f>SUMIF('Raw Data 07-31-2020'!$A$6:$A$254,'Q3 TB-20'!A51,'Raw Data 07-31-2020'!D$6:D$254)</f>
        <v>0</v>
      </c>
      <c r="F51" s="3"/>
      <c r="G51" s="3">
        <f t="shared" si="0"/>
        <v>0</v>
      </c>
      <c r="H51" s="109" t="s">
        <v>176</v>
      </c>
      <c r="J51" s="19"/>
    </row>
    <row r="52" spans="1:10" x14ac:dyDescent="0.75">
      <c r="A52" s="12">
        <v>1908</v>
      </c>
      <c r="B52" s="13" t="s">
        <v>502</v>
      </c>
      <c r="C52" s="3">
        <f>SUMIF('Raw Data 07-31-2020'!$A$6:$A$254,'Q3 TB-20'!A52,'Raw Data 07-31-2020'!C$6:C$254)</f>
        <v>0</v>
      </c>
      <c r="D52" s="4"/>
      <c r="E52" s="3">
        <f>SUMIF('Raw Data 07-31-2020'!$A$6:$A$254,'Q3 TB-20'!A52,'Raw Data 07-31-2020'!D$6:D$254)</f>
        <v>0</v>
      </c>
      <c r="F52" s="3"/>
      <c r="G52" s="3">
        <f t="shared" si="0"/>
        <v>0</v>
      </c>
      <c r="H52" s="109" t="s">
        <v>176</v>
      </c>
      <c r="J52" s="19"/>
    </row>
    <row r="53" spans="1:10" x14ac:dyDescent="0.75">
      <c r="A53" s="12">
        <v>1910</v>
      </c>
      <c r="B53" s="13" t="s">
        <v>503</v>
      </c>
      <c r="C53" s="3">
        <f>SUMIF('Raw Data 07-31-2020'!$A$6:$A$254,'Q3 TB-20'!A53,'Raw Data 07-31-2020'!C$6:C$254)</f>
        <v>0</v>
      </c>
      <c r="D53" s="4"/>
      <c r="E53" s="3">
        <f>SUMIF('Raw Data 07-31-2020'!$A$6:$A$254,'Q3 TB-20'!A53,'Raw Data 07-31-2020'!D$6:D$254)</f>
        <v>0</v>
      </c>
      <c r="F53" s="3"/>
      <c r="G53" s="3">
        <f t="shared" si="0"/>
        <v>0</v>
      </c>
      <c r="H53" s="109" t="s">
        <v>443</v>
      </c>
      <c r="J53" s="19"/>
    </row>
    <row r="54" spans="1:10" x14ac:dyDescent="0.75">
      <c r="A54" s="12">
        <v>1912</v>
      </c>
      <c r="B54" s="13" t="s">
        <v>504</v>
      </c>
      <c r="C54" s="3">
        <f>SUMIF('Raw Data 07-31-2020'!$A$6:$A$254,'Q3 TB-20'!A54,'Raw Data 07-31-2020'!C$6:C$254)</f>
        <v>0</v>
      </c>
      <c r="D54" s="4"/>
      <c r="E54" s="3">
        <f>SUMIF('Raw Data 07-31-2020'!$A$6:$A$254,'Q3 TB-20'!A54,'Raw Data 07-31-2020'!D$6:D$254)</f>
        <v>0</v>
      </c>
      <c r="F54" s="3"/>
      <c r="G54" s="3">
        <f t="shared" si="0"/>
        <v>0</v>
      </c>
      <c r="H54" s="109" t="s">
        <v>176</v>
      </c>
      <c r="J54" s="19"/>
    </row>
    <row r="55" spans="1:10" x14ac:dyDescent="0.75">
      <c r="A55" s="12">
        <v>1914</v>
      </c>
      <c r="B55" s="13" t="s">
        <v>505</v>
      </c>
      <c r="C55" s="3">
        <f>SUMIF('Raw Data 07-31-2020'!$A$6:$A$254,'Q3 TB-20'!A55,'Raw Data 07-31-2020'!C$6:C$254)</f>
        <v>0</v>
      </c>
      <c r="D55" s="4"/>
      <c r="E55" s="3">
        <f>SUMIF('Raw Data 07-31-2020'!$A$6:$A$254,'Q3 TB-20'!A55,'Raw Data 07-31-2020'!D$6:D$254)</f>
        <v>0</v>
      </c>
      <c r="F55" s="3"/>
      <c r="G55" s="3">
        <f t="shared" si="0"/>
        <v>0</v>
      </c>
      <c r="H55" s="109" t="s">
        <v>176</v>
      </c>
      <c r="J55" s="19"/>
    </row>
    <row r="56" spans="1:10" x14ac:dyDescent="0.75">
      <c r="A56" s="12">
        <v>1916</v>
      </c>
      <c r="B56" s="13" t="s">
        <v>506</v>
      </c>
      <c r="C56" s="3">
        <f>SUMIF('Raw Data 07-31-2020'!$A$6:$A$254,'Q3 TB-20'!A56,'Raw Data 07-31-2020'!C$6:C$254)</f>
        <v>0</v>
      </c>
      <c r="D56" s="4"/>
      <c r="E56" s="3">
        <f>SUMIF('Raw Data 07-31-2020'!$A$6:$A$254,'Q3 TB-20'!A56,'Raw Data 07-31-2020'!D$6:D$254)</f>
        <v>0</v>
      </c>
      <c r="F56" s="3"/>
      <c r="G56" s="3">
        <f t="shared" si="0"/>
        <v>0</v>
      </c>
      <c r="H56" s="109" t="s">
        <v>176</v>
      </c>
      <c r="J56" s="19"/>
    </row>
    <row r="57" spans="1:10" x14ac:dyDescent="0.75">
      <c r="A57" s="12">
        <v>1918</v>
      </c>
      <c r="B57" s="13" t="s">
        <v>507</v>
      </c>
      <c r="C57" s="3">
        <f>SUMIF('Raw Data 07-31-2020'!$A$6:$A$254,'Q3 TB-20'!A57,'Raw Data 07-31-2020'!C$6:C$254)</f>
        <v>0</v>
      </c>
      <c r="D57" s="4"/>
      <c r="E57" s="3">
        <f>SUMIF('Raw Data 07-31-2020'!$A$6:$A$254,'Q3 TB-20'!A57,'Raw Data 07-31-2020'!D$6:D$254)</f>
        <v>0</v>
      </c>
      <c r="F57" s="3"/>
      <c r="G57" s="3">
        <f t="shared" si="0"/>
        <v>0</v>
      </c>
      <c r="H57" s="109" t="s">
        <v>176</v>
      </c>
      <c r="J57" s="19"/>
    </row>
    <row r="58" spans="1:10" x14ac:dyDescent="0.75">
      <c r="A58" s="12">
        <v>1920</v>
      </c>
      <c r="B58" s="13" t="s">
        <v>508</v>
      </c>
      <c r="C58" s="3">
        <f>SUMIF('Raw Data 07-31-2020'!$A$6:$A$254,'Q3 TB-20'!A58,'Raw Data 07-31-2020'!C$6:C$254)</f>
        <v>0</v>
      </c>
      <c r="D58" s="4"/>
      <c r="E58" s="3">
        <f>SUMIF('Raw Data 07-31-2020'!$A$6:$A$254,'Q3 TB-20'!A58,'Raw Data 07-31-2020'!D$6:D$254)</f>
        <v>0</v>
      </c>
      <c r="F58" s="3"/>
      <c r="G58" s="3">
        <f t="shared" si="0"/>
        <v>0</v>
      </c>
      <c r="H58" s="109" t="s">
        <v>176</v>
      </c>
      <c r="J58" s="19"/>
    </row>
    <row r="59" spans="1:10" x14ac:dyDescent="0.75">
      <c r="A59" s="12">
        <v>1922</v>
      </c>
      <c r="B59" s="13" t="s">
        <v>509</v>
      </c>
      <c r="C59" s="3">
        <f>SUMIF('Raw Data 07-31-2020'!$A$6:$A$254,'Q3 TB-20'!A59,'Raw Data 07-31-2020'!C$6:C$254)</f>
        <v>0</v>
      </c>
      <c r="D59" s="4"/>
      <c r="E59" s="3">
        <f>SUMIF('Raw Data 07-31-2020'!$A$6:$A$254,'Q3 TB-20'!A59,'Raw Data 07-31-2020'!D$6:D$254)</f>
        <v>0</v>
      </c>
      <c r="F59" s="3"/>
      <c r="G59" s="3">
        <f t="shared" si="0"/>
        <v>0</v>
      </c>
      <c r="H59" s="109" t="s">
        <v>176</v>
      </c>
      <c r="J59" s="19"/>
    </row>
    <row r="60" spans="1:10" x14ac:dyDescent="0.75">
      <c r="A60" s="12">
        <v>1924</v>
      </c>
      <c r="B60" s="13" t="s">
        <v>510</v>
      </c>
      <c r="C60" s="3">
        <f>SUMIF('Raw Data 07-31-2020'!$A$6:$A$254,'Q3 TB-20'!A60,'Raw Data 07-31-2020'!C$6:C$254)</f>
        <v>0</v>
      </c>
      <c r="D60" s="4"/>
      <c r="E60" s="3">
        <f>SUMIF('Raw Data 07-31-2020'!$A$6:$A$254,'Q3 TB-20'!A60,'Raw Data 07-31-2020'!D$6:D$254)</f>
        <v>0</v>
      </c>
      <c r="F60" s="3"/>
      <c r="G60" s="3">
        <f t="shared" si="0"/>
        <v>0</v>
      </c>
      <c r="H60" s="109" t="s">
        <v>176</v>
      </c>
      <c r="J60" s="19"/>
    </row>
    <row r="61" spans="1:10" x14ac:dyDescent="0.75">
      <c r="A61" s="12">
        <v>1926</v>
      </c>
      <c r="B61" s="13" t="s">
        <v>511</v>
      </c>
      <c r="C61" s="3">
        <f>SUMIF('Raw Data 07-31-2020'!$A$6:$A$254,'Q3 TB-20'!A61,'Raw Data 07-31-2020'!C$6:C$254)</f>
        <v>0</v>
      </c>
      <c r="D61" s="4"/>
      <c r="E61" s="3">
        <f>SUMIF('Raw Data 07-31-2020'!$A$6:$A$254,'Q3 TB-20'!A61,'Raw Data 07-31-2020'!D$6:D$254)</f>
        <v>0</v>
      </c>
      <c r="F61" s="3"/>
      <c r="G61" s="3">
        <f t="shared" si="0"/>
        <v>0</v>
      </c>
      <c r="H61" s="109" t="s">
        <v>176</v>
      </c>
      <c r="J61" s="19"/>
    </row>
    <row r="62" spans="1:10" x14ac:dyDescent="0.75">
      <c r="A62" s="12">
        <v>1928</v>
      </c>
      <c r="B62" s="13" t="s">
        <v>512</v>
      </c>
      <c r="C62" s="3">
        <f>SUMIF('Raw Data 07-31-2020'!$A$6:$A$254,'Q3 TB-20'!A62,'Raw Data 07-31-2020'!C$6:C$254)</f>
        <v>43132.88</v>
      </c>
      <c r="D62" s="4"/>
      <c r="E62" s="3">
        <f>SUMIF('Raw Data 07-31-2020'!$A$6:$A$254,'Q3 TB-20'!A62,'Raw Data 07-31-2020'!D$6:D$254)</f>
        <v>0</v>
      </c>
      <c r="F62" s="3"/>
      <c r="G62" s="3">
        <f t="shared" si="0"/>
        <v>43132.88</v>
      </c>
      <c r="H62" s="109" t="s">
        <v>176</v>
      </c>
      <c r="J62" s="19"/>
    </row>
    <row r="63" spans="1:10" x14ac:dyDescent="0.75">
      <c r="A63" s="12">
        <v>1930</v>
      </c>
      <c r="B63" s="13" t="s">
        <v>513</v>
      </c>
      <c r="C63" s="3">
        <f>SUMIF('Raw Data 07-31-2020'!$A$6:$A$254,'Q3 TB-20'!A63,'Raw Data 07-31-2020'!C$6:C$254)</f>
        <v>0</v>
      </c>
      <c r="D63" s="4"/>
      <c r="E63" s="3">
        <f>SUMIF('Raw Data 07-31-2020'!$A$6:$A$254,'Q3 TB-20'!A63,'Raw Data 07-31-2020'!D$6:D$254)</f>
        <v>0</v>
      </c>
      <c r="F63" s="3"/>
      <c r="G63" s="3">
        <f t="shared" si="0"/>
        <v>0</v>
      </c>
      <c r="H63" s="109" t="s">
        <v>176</v>
      </c>
      <c r="J63" s="19"/>
    </row>
    <row r="64" spans="1:10" x14ac:dyDescent="0.75">
      <c r="A64" s="12">
        <v>1932</v>
      </c>
      <c r="B64" s="13" t="s">
        <v>514</v>
      </c>
      <c r="C64" s="3">
        <f>SUMIF('Raw Data 07-31-2020'!$A$6:$A$254,'Q3 TB-20'!A64,'Raw Data 07-31-2020'!C$6:C$254)</f>
        <v>0</v>
      </c>
      <c r="D64" s="4"/>
      <c r="E64" s="3">
        <f>SUMIF('Raw Data 07-31-2020'!$A$6:$A$254,'Q3 TB-20'!A64,'Raw Data 07-31-2020'!D$6:D$254)</f>
        <v>0</v>
      </c>
      <c r="F64" s="3"/>
      <c r="G64" s="3">
        <f t="shared" si="0"/>
        <v>0</v>
      </c>
      <c r="H64" s="109" t="s">
        <v>176</v>
      </c>
      <c r="J64" s="19"/>
    </row>
    <row r="65" spans="1:10" x14ac:dyDescent="0.75">
      <c r="A65" s="12">
        <v>1950</v>
      </c>
      <c r="B65" s="13" t="s">
        <v>494</v>
      </c>
      <c r="C65" s="3">
        <f>SUMIF('Raw Data 07-31-2020'!$A$6:$A$254,'Q3 TB-20'!A65,'Raw Data 07-31-2020'!C$6:C$254)</f>
        <v>0</v>
      </c>
      <c r="D65" s="4"/>
      <c r="E65" s="3">
        <f>SUMIF('Raw Data 07-31-2020'!$A$6:$A$254,'Q3 TB-20'!A65,'Raw Data 07-31-2020'!D$6:D$254)</f>
        <v>43132.89</v>
      </c>
      <c r="F65" s="3"/>
      <c r="G65" s="3">
        <f t="shared" si="0"/>
        <v>-43132.89</v>
      </c>
      <c r="H65" s="109" t="s">
        <v>176</v>
      </c>
      <c r="J65" s="19"/>
    </row>
    <row r="66" spans="1:10" x14ac:dyDescent="0.75">
      <c r="A66" s="12">
        <v>1960</v>
      </c>
      <c r="B66" s="13" t="s">
        <v>515</v>
      </c>
      <c r="C66" s="3">
        <f>SUMIF('Raw Data 07-31-2020'!$A$6:$A$254,'Q3 TB-20'!A66,'Raw Data 07-31-2020'!C$6:C$254)</f>
        <v>0</v>
      </c>
      <c r="D66" s="4"/>
      <c r="E66" s="3">
        <f>SUMIF('Raw Data 07-31-2020'!$A$6:$A$254,'Q3 TB-20'!A66,'Raw Data 07-31-2020'!D$6:D$254)</f>
        <v>0</v>
      </c>
      <c r="F66" s="3"/>
      <c r="G66" s="3">
        <f t="shared" si="0"/>
        <v>0</v>
      </c>
      <c r="H66" s="109" t="s">
        <v>444</v>
      </c>
      <c r="J66" s="19"/>
    </row>
    <row r="67" spans="1:10" x14ac:dyDescent="0.75">
      <c r="A67" s="12">
        <v>1980</v>
      </c>
      <c r="B67" s="13" t="s">
        <v>516</v>
      </c>
      <c r="C67" s="3">
        <f>SUMIF('Raw Data 07-31-2020'!$A$6:$A$254,'Q3 TB-20'!A67,'Raw Data 07-31-2020'!C$6:C$254)</f>
        <v>0</v>
      </c>
      <c r="D67" s="4"/>
      <c r="E67" s="3">
        <f>SUMIF('Raw Data 07-31-2020'!$A$6:$A$254,'Q3 TB-20'!A67,'Raw Data 07-31-2020'!D$6:D$254)</f>
        <v>0</v>
      </c>
      <c r="F67" s="3"/>
      <c r="G67" s="3">
        <f t="shared" si="0"/>
        <v>0</v>
      </c>
      <c r="H67" s="109" t="s">
        <v>444</v>
      </c>
      <c r="J67" s="19"/>
    </row>
    <row r="68" spans="1:10" x14ac:dyDescent="0.75">
      <c r="A68" s="12">
        <v>2000</v>
      </c>
      <c r="B68" s="13" t="s">
        <v>517</v>
      </c>
      <c r="C68" s="3">
        <f>SUMIF('Raw Data 07-31-2020'!$A$6:$A$254,'Q3 TB-20'!A68,'Raw Data 07-31-2020'!C$6:C$254)</f>
        <v>0</v>
      </c>
      <c r="D68" s="4"/>
      <c r="E68" s="3">
        <f>SUMIF('Raw Data 07-31-2020'!$A$6:$A$254,'Q3 TB-20'!A68,'Raw Data 07-31-2020'!D$6:D$254)</f>
        <v>39160.239999999998</v>
      </c>
      <c r="F68" s="3"/>
      <c r="G68" s="3">
        <f t="shared" si="0"/>
        <v>-39160.239999999998</v>
      </c>
      <c r="H68" s="109" t="s">
        <v>177</v>
      </c>
      <c r="J68" s="19"/>
    </row>
    <row r="69" spans="1:10" x14ac:dyDescent="0.75">
      <c r="A69" s="12">
        <v>2010</v>
      </c>
      <c r="B69" s="13" t="s">
        <v>524</v>
      </c>
      <c r="C69" s="3">
        <f>SUMIF('Raw Data 07-31-2020'!$A$6:$A$254,'Q3 TB-20'!A69,'Raw Data 07-31-2020'!C$6:C$254)</f>
        <v>0</v>
      </c>
      <c r="D69" s="4"/>
      <c r="E69" s="3">
        <f>SUMIF('Raw Data 07-31-2020'!$A$6:$A$254,'Q3 TB-20'!A69,'Raw Data 07-31-2020'!D$6:D$254)</f>
        <v>13489.05</v>
      </c>
      <c r="F69" s="3"/>
      <c r="G69" s="3">
        <f t="shared" si="0"/>
        <v>-13489.05</v>
      </c>
      <c r="H69" s="109" t="s">
        <v>177</v>
      </c>
      <c r="J69" s="19"/>
    </row>
    <row r="70" spans="1:10" x14ac:dyDescent="0.75">
      <c r="A70" s="12">
        <v>2020</v>
      </c>
      <c r="B70" s="13" t="s">
        <v>525</v>
      </c>
      <c r="C70" s="3">
        <f>SUMIF('Raw Data 07-31-2020'!$A$6:$A$254,'Q3 TB-20'!A70,'Raw Data 07-31-2020'!C$6:C$254)</f>
        <v>0</v>
      </c>
      <c r="D70" s="4"/>
      <c r="E70" s="3">
        <f>SUMIF('Raw Data 07-31-2020'!$A$6:$A$254,'Q3 TB-20'!A70,'Raw Data 07-31-2020'!D$6:D$254)</f>
        <v>0</v>
      </c>
      <c r="F70" s="3"/>
      <c r="G70" s="3">
        <f t="shared" si="0"/>
        <v>0</v>
      </c>
      <c r="H70" s="109" t="s">
        <v>177</v>
      </c>
      <c r="J70" s="19"/>
    </row>
    <row r="71" spans="1:10" x14ac:dyDescent="0.75">
      <c r="A71" s="12">
        <v>2101</v>
      </c>
      <c r="B71" s="13" t="s">
        <v>518</v>
      </c>
      <c r="C71" s="3">
        <f>SUMIF('Raw Data 07-31-2020'!$A$6:$A$254,'Q3 TB-20'!A71,'Raw Data 07-31-2020'!C$6:C$254)</f>
        <v>0</v>
      </c>
      <c r="D71" s="4"/>
      <c r="E71" s="3">
        <f>SUMIF('Raw Data 07-31-2020'!$A$6:$A$254,'Q3 TB-20'!A71,'Raw Data 07-31-2020'!D$6:D$254)</f>
        <v>0</v>
      </c>
      <c r="F71" s="3"/>
      <c r="G71" s="3">
        <f t="shared" si="0"/>
        <v>0</v>
      </c>
      <c r="H71" s="109" t="s">
        <v>178</v>
      </c>
      <c r="J71" s="19"/>
    </row>
    <row r="72" spans="1:10" x14ac:dyDescent="0.75">
      <c r="A72" s="12">
        <v>2102</v>
      </c>
      <c r="B72" s="13" t="s">
        <v>519</v>
      </c>
      <c r="C72" s="3">
        <f>SUMIF('Raw Data 07-31-2020'!$A$6:$A$254,'Q3 TB-20'!A72,'Raw Data 07-31-2020'!C$6:C$254)</f>
        <v>0</v>
      </c>
      <c r="D72" s="4"/>
      <c r="E72" s="3">
        <f>SUMIF('Raw Data 07-31-2020'!$A$6:$A$254,'Q3 TB-20'!A72,'Raw Data 07-31-2020'!D$6:D$254)</f>
        <v>11766.22</v>
      </c>
      <c r="F72" s="3"/>
      <c r="G72" s="3">
        <f t="shared" si="0"/>
        <v>-11766.22</v>
      </c>
      <c r="H72" s="109" t="s">
        <v>178</v>
      </c>
      <c r="J72" s="19"/>
    </row>
    <row r="73" spans="1:10" x14ac:dyDescent="0.75">
      <c r="A73" s="12">
        <v>2103</v>
      </c>
      <c r="B73" s="13" t="s">
        <v>520</v>
      </c>
      <c r="C73" s="3">
        <f>SUMIF('Raw Data 07-31-2020'!$A$6:$A$254,'Q3 TB-20'!A73,'Raw Data 07-31-2020'!C$6:C$254)</f>
        <v>0</v>
      </c>
      <c r="D73" s="4"/>
      <c r="E73" s="3">
        <f>SUMIF('Raw Data 07-31-2020'!$A$6:$A$254,'Q3 TB-20'!A73,'Raw Data 07-31-2020'!D$6:D$254)</f>
        <v>10687.12</v>
      </c>
      <c r="F73" s="3"/>
      <c r="G73" s="3">
        <f t="shared" ref="G73:G141" si="1">C73-E73</f>
        <v>-10687.12</v>
      </c>
      <c r="H73" s="109" t="s">
        <v>178</v>
      </c>
      <c r="J73" s="19"/>
    </row>
    <row r="74" spans="1:10" x14ac:dyDescent="0.75">
      <c r="A74" s="12">
        <v>2104</v>
      </c>
      <c r="B74" s="13" t="s">
        <v>521</v>
      </c>
      <c r="C74" s="3">
        <f>SUMIF('Raw Data 07-31-2020'!$A$6:$A$254,'Q3 TB-20'!A74,'Raw Data 07-31-2020'!C$6:C$254)</f>
        <v>0</v>
      </c>
      <c r="D74" s="4"/>
      <c r="E74" s="3">
        <f>SUMIF('Raw Data 07-31-2020'!$A$6:$A$254,'Q3 TB-20'!A74,'Raw Data 07-31-2020'!D$6:D$254)</f>
        <v>5657.97</v>
      </c>
      <c r="F74" s="3"/>
      <c r="G74" s="3">
        <f t="shared" si="1"/>
        <v>-5657.97</v>
      </c>
      <c r="H74" s="109" t="s">
        <v>178</v>
      </c>
      <c r="J74" s="19"/>
    </row>
    <row r="75" spans="1:10" x14ac:dyDescent="0.75">
      <c r="A75" s="12">
        <v>2105</v>
      </c>
      <c r="B75" s="13" t="s">
        <v>522</v>
      </c>
      <c r="C75" s="3">
        <f>SUMIF('Raw Data 07-31-2020'!$A$6:$A$254,'Q3 TB-20'!A75,'Raw Data 07-31-2020'!C$6:C$254)</f>
        <v>0</v>
      </c>
      <c r="D75" s="4"/>
      <c r="E75" s="3">
        <f>SUMIF('Raw Data 07-31-2020'!$A$6:$A$254,'Q3 TB-20'!A75,'Raw Data 07-31-2020'!D$6:D$254)</f>
        <v>0</v>
      </c>
      <c r="F75" s="3"/>
      <c r="G75" s="3">
        <f t="shared" si="1"/>
        <v>0</v>
      </c>
      <c r="H75" s="109" t="s">
        <v>178</v>
      </c>
      <c r="J75" s="19"/>
    </row>
    <row r="76" spans="1:10" x14ac:dyDescent="0.75">
      <c r="A76" s="12">
        <v>2106</v>
      </c>
      <c r="B76" s="13" t="s">
        <v>546</v>
      </c>
      <c r="C76" s="3">
        <f>SUMIF('Raw Data 07-31-2020'!$A$6:$A$254,'Q3 TB-20'!A76,'Raw Data 07-31-2020'!C$6:C$254)</f>
        <v>0</v>
      </c>
      <c r="D76" s="4"/>
      <c r="E76" s="3">
        <f>SUMIF('Raw Data 07-31-2020'!$A$6:$A$254,'Q3 TB-20'!A76,'Raw Data 07-31-2020'!D$6:D$254)</f>
        <v>6432.81</v>
      </c>
      <c r="F76" s="3"/>
      <c r="G76" s="3">
        <f t="shared" si="1"/>
        <v>-6432.81</v>
      </c>
      <c r="H76" s="109" t="s">
        <v>178</v>
      </c>
      <c r="J76" s="19"/>
    </row>
    <row r="77" spans="1:10" x14ac:dyDescent="0.75">
      <c r="A77" s="12">
        <v>2210</v>
      </c>
      <c r="B77" s="13" t="s">
        <v>526</v>
      </c>
      <c r="C77" s="3">
        <f>SUMIF('Raw Data 07-31-2020'!$A$6:$A$254,'Q3 TB-20'!A77,'Raw Data 07-31-2020'!C$6:C$254)</f>
        <v>0</v>
      </c>
      <c r="D77" s="4"/>
      <c r="E77" s="3">
        <f>SUMIF('Raw Data 07-31-2020'!$A$6:$A$254,'Q3 TB-20'!A77,'Raw Data 07-31-2020'!D$6:D$254)</f>
        <v>696534.7</v>
      </c>
      <c r="F77" s="3"/>
      <c r="G77" s="3">
        <f t="shared" si="1"/>
        <v>-696534.7</v>
      </c>
      <c r="H77" s="109" t="s">
        <v>446</v>
      </c>
      <c r="J77" s="19"/>
    </row>
    <row r="78" spans="1:10" s="89" customFormat="1" x14ac:dyDescent="0.75">
      <c r="A78" s="12" t="s">
        <v>93</v>
      </c>
      <c r="B78" s="13" t="s">
        <v>1005</v>
      </c>
      <c r="C78" s="3">
        <f>SUMIF('Raw Data 07-31-2020'!$A$6:$A$254,'Q3 TB-20'!A78,'Raw Data 07-31-2020'!C$6:C$254)</f>
        <v>0</v>
      </c>
      <c r="D78" s="4"/>
      <c r="E78" s="3">
        <f>SUMIF('Raw Data 07-31-2020'!$A$6:$A$254,'Q3 TB-20'!A78,'Raw Data 07-31-2020'!D$6:D$254)</f>
        <v>27720</v>
      </c>
      <c r="F78" s="3"/>
      <c r="G78" s="3">
        <f t="shared" ref="G78" si="2">C78-E78</f>
        <v>-27720</v>
      </c>
      <c r="H78" s="109" t="s">
        <v>178</v>
      </c>
      <c r="J78" s="19"/>
    </row>
    <row r="79" spans="1:10" x14ac:dyDescent="0.75">
      <c r="A79" s="12">
        <v>2231</v>
      </c>
      <c r="B79" s="13" t="s">
        <v>534</v>
      </c>
      <c r="C79" s="3">
        <f>SUMIF('Raw Data 07-31-2020'!$A$6:$A$254,'Q3 TB-20'!A79,'Raw Data 07-31-2020'!C$6:C$254)</f>
        <v>0</v>
      </c>
      <c r="D79" s="4"/>
      <c r="E79" s="3">
        <f>SUMIF('Raw Data 07-31-2020'!$A$6:$A$254,'Q3 TB-20'!A79,'Raw Data 07-31-2020'!D$6:D$254)</f>
        <v>0</v>
      </c>
      <c r="F79" s="3"/>
      <c r="G79" s="3">
        <f t="shared" si="1"/>
        <v>0</v>
      </c>
      <c r="H79" s="109" t="s">
        <v>178</v>
      </c>
      <c r="J79" s="19"/>
    </row>
    <row r="80" spans="1:10" x14ac:dyDescent="0.75">
      <c r="A80" s="12">
        <v>2232</v>
      </c>
      <c r="B80" s="13" t="s">
        <v>535</v>
      </c>
      <c r="C80" s="3">
        <f>SUMIF('Raw Data 07-31-2020'!$A$6:$A$254,'Q3 TB-20'!A80,'Raw Data 07-31-2020'!C$6:C$254)</f>
        <v>0</v>
      </c>
      <c r="D80" s="4"/>
      <c r="E80" s="3">
        <f>SUMIF('Raw Data 07-31-2020'!$A$6:$A$254,'Q3 TB-20'!A80,'Raw Data 07-31-2020'!D$6:D$254)</f>
        <v>0</v>
      </c>
      <c r="F80" s="3"/>
      <c r="G80" s="3">
        <f t="shared" si="1"/>
        <v>0</v>
      </c>
      <c r="H80" s="109" t="s">
        <v>178</v>
      </c>
      <c r="J80" s="19"/>
    </row>
    <row r="81" spans="1:10" x14ac:dyDescent="0.75">
      <c r="A81" s="12">
        <v>2233</v>
      </c>
      <c r="B81" s="13" t="s">
        <v>537</v>
      </c>
      <c r="C81" s="3">
        <f>SUMIF('Raw Data 07-31-2020'!$A$6:$A$254,'Q3 TB-20'!A81,'Raw Data 07-31-2020'!C$6:C$254)</f>
        <v>0</v>
      </c>
      <c r="D81" s="4"/>
      <c r="E81" s="3">
        <f>SUMIF('Raw Data 07-31-2020'!$A$6:$A$254,'Q3 TB-20'!A81,'Raw Data 07-31-2020'!D$6:D$254)</f>
        <v>0</v>
      </c>
      <c r="F81" s="3"/>
      <c r="G81" s="3">
        <f t="shared" si="1"/>
        <v>0</v>
      </c>
      <c r="H81" s="109" t="s">
        <v>178</v>
      </c>
      <c r="J81" s="19"/>
    </row>
    <row r="82" spans="1:10" x14ac:dyDescent="0.75">
      <c r="A82" s="12">
        <v>2235</v>
      </c>
      <c r="B82" s="13" t="s">
        <v>543</v>
      </c>
      <c r="C82" s="3">
        <f>SUMIF('Raw Data 07-31-2020'!$A$6:$A$254,'Q3 TB-20'!A82,'Raw Data 07-31-2020'!C$6:C$254)</f>
        <v>0</v>
      </c>
      <c r="D82" s="4"/>
      <c r="E82" s="3">
        <f>SUMIF('Raw Data 07-31-2020'!$A$6:$A$254,'Q3 TB-20'!A82,'Raw Data 07-31-2020'!D$6:D$254)</f>
        <v>0</v>
      </c>
      <c r="F82" s="3"/>
      <c r="G82" s="3">
        <f t="shared" si="1"/>
        <v>0</v>
      </c>
      <c r="H82" s="109" t="s">
        <v>178</v>
      </c>
      <c r="J82" s="19"/>
    </row>
    <row r="83" spans="1:10" x14ac:dyDescent="0.75">
      <c r="A83" s="12">
        <v>2236</v>
      </c>
      <c r="B83" s="13" t="s">
        <v>523</v>
      </c>
      <c r="C83" s="3">
        <f>SUMIF('Raw Data 07-31-2020'!$A$6:$A$254,'Q3 TB-20'!A83,'Raw Data 07-31-2020'!C$6:C$254)</f>
        <v>0</v>
      </c>
      <c r="D83" s="4"/>
      <c r="E83" s="3">
        <f>SUMIF('Raw Data 07-31-2020'!$A$6:$A$254,'Q3 TB-20'!A83,'Raw Data 07-31-2020'!D$6:D$254)</f>
        <v>0</v>
      </c>
      <c r="F83" s="3"/>
      <c r="G83" s="3">
        <f t="shared" si="1"/>
        <v>0</v>
      </c>
      <c r="H83" s="109" t="s">
        <v>178</v>
      </c>
      <c r="J83" s="19"/>
    </row>
    <row r="84" spans="1:10" x14ac:dyDescent="0.75">
      <c r="A84" s="12">
        <v>2250</v>
      </c>
      <c r="B84" s="13" t="s">
        <v>536</v>
      </c>
      <c r="C84" s="3">
        <f>SUMIF('Raw Data 07-31-2020'!$A$6:$A$254,'Q3 TB-20'!A84,'Raw Data 07-31-2020'!C$6:C$254)</f>
        <v>0</v>
      </c>
      <c r="D84" s="4"/>
      <c r="E84" s="3">
        <f>SUMIF('Raw Data 07-31-2020'!$A$6:$A$254,'Q3 TB-20'!A84,'Raw Data 07-31-2020'!D$6:D$254)</f>
        <v>0</v>
      </c>
      <c r="F84" s="3"/>
      <c r="G84" s="3">
        <f t="shared" si="1"/>
        <v>0</v>
      </c>
      <c r="H84" s="109" t="s">
        <v>178</v>
      </c>
      <c r="J84" s="19"/>
    </row>
    <row r="85" spans="1:10" x14ac:dyDescent="0.75">
      <c r="A85" s="12">
        <v>2270</v>
      </c>
      <c r="B85" s="13" t="s">
        <v>544</v>
      </c>
      <c r="C85" s="3">
        <f>SUMIF('Raw Data 07-31-2020'!$A$6:$A$254,'Q3 TB-20'!A85,'Raw Data 07-31-2020'!C$6:C$254)</f>
        <v>0</v>
      </c>
      <c r="D85" s="4"/>
      <c r="E85" s="3">
        <f>SUMIF('Raw Data 07-31-2020'!$A$6:$A$254,'Q3 TB-20'!A85,'Raw Data 07-31-2020'!D$6:D$254)</f>
        <v>0</v>
      </c>
      <c r="F85" s="3"/>
      <c r="G85" s="3">
        <f t="shared" si="1"/>
        <v>0</v>
      </c>
      <c r="H85" s="109" t="s">
        <v>178</v>
      </c>
      <c r="J85" s="19"/>
    </row>
    <row r="86" spans="1:10" x14ac:dyDescent="0.75">
      <c r="A86" s="12">
        <v>2280</v>
      </c>
      <c r="B86" s="13" t="s">
        <v>541</v>
      </c>
      <c r="C86" s="3">
        <f>SUMIF('Raw Data 07-31-2020'!$A$6:$A$254,'Q3 TB-20'!A86,'Raw Data 07-31-2020'!C$6:C$254)</f>
        <v>0</v>
      </c>
      <c r="D86" s="4"/>
      <c r="E86" s="3">
        <f>SUMIF('Raw Data 07-31-2020'!$A$6:$A$254,'Q3 TB-20'!A86,'Raw Data 07-31-2020'!D$6:D$254)</f>
        <v>0</v>
      </c>
      <c r="F86" s="3"/>
      <c r="G86" s="3">
        <f t="shared" si="1"/>
        <v>0</v>
      </c>
      <c r="H86" s="109" t="s">
        <v>178</v>
      </c>
      <c r="J86" s="19"/>
    </row>
    <row r="87" spans="1:10" x14ac:dyDescent="0.75">
      <c r="A87" s="12">
        <v>2285</v>
      </c>
      <c r="B87" s="13" t="s">
        <v>545</v>
      </c>
      <c r="C87" s="3">
        <f>SUMIF('Raw Data 07-31-2020'!$A$6:$A$254,'Q3 TB-20'!A87,'Raw Data 07-31-2020'!C$6:C$254)</f>
        <v>0</v>
      </c>
      <c r="D87" s="4"/>
      <c r="E87" s="3">
        <f>SUMIF('Raw Data 07-31-2020'!$A$6:$A$254,'Q3 TB-20'!A87,'Raw Data 07-31-2020'!D$6:D$254)</f>
        <v>0</v>
      </c>
      <c r="F87" s="3"/>
      <c r="G87" s="3">
        <f t="shared" si="1"/>
        <v>0</v>
      </c>
      <c r="H87" s="109" t="s">
        <v>178</v>
      </c>
      <c r="J87" s="19"/>
    </row>
    <row r="88" spans="1:10" x14ac:dyDescent="0.75">
      <c r="A88" s="12">
        <v>2290</v>
      </c>
      <c r="B88" s="13" t="s">
        <v>540</v>
      </c>
      <c r="C88" s="3">
        <f>SUMIF('Raw Data 07-31-2020'!$A$6:$A$254,'Q3 TB-20'!A88,'Raw Data 07-31-2020'!C$6:C$254)</f>
        <v>0</v>
      </c>
      <c r="D88" s="4"/>
      <c r="E88" s="3">
        <f>SUMIF('Raw Data 07-31-2020'!$A$6:$A$254,'Q3 TB-20'!A88,'Raw Data 07-31-2020'!D$6:D$254)</f>
        <v>40000</v>
      </c>
      <c r="F88" s="3"/>
      <c r="G88" s="3">
        <f t="shared" si="1"/>
        <v>-40000</v>
      </c>
      <c r="H88" s="109" t="s">
        <v>178</v>
      </c>
      <c r="J88" s="19"/>
    </row>
    <row r="89" spans="1:10" x14ac:dyDescent="0.75">
      <c r="A89" s="12">
        <v>2305</v>
      </c>
      <c r="B89" s="13" t="s">
        <v>542</v>
      </c>
      <c r="C89" s="3">
        <f>SUMIF('Raw Data 07-31-2020'!$A$6:$A$254,'Q3 TB-20'!A89,'Raw Data 07-31-2020'!C$6:C$254)</f>
        <v>0</v>
      </c>
      <c r="D89" s="4"/>
      <c r="E89" s="3">
        <f>SUMIF('Raw Data 07-31-2020'!$A$6:$A$254,'Q3 TB-20'!A89,'Raw Data 07-31-2020'!D$6:D$254)</f>
        <v>1221957.72</v>
      </c>
      <c r="F89" s="3"/>
      <c r="G89" s="3">
        <f t="shared" si="1"/>
        <v>-1221957.72</v>
      </c>
      <c r="H89" s="109" t="s">
        <v>181</v>
      </c>
      <c r="J89" s="19"/>
    </row>
    <row r="90" spans="1:10" x14ac:dyDescent="0.75">
      <c r="A90" s="12">
        <v>2310</v>
      </c>
      <c r="B90" s="13" t="s">
        <v>538</v>
      </c>
      <c r="C90" s="3">
        <f>SUMIF('Raw Data 07-31-2020'!$A$6:$A$254,'Q3 TB-20'!A90,'Raw Data 07-31-2020'!C$6:C$254)</f>
        <v>0</v>
      </c>
      <c r="D90" s="4"/>
      <c r="E90" s="3">
        <f>SUMIF('Raw Data 07-31-2020'!$A$6:$A$254,'Q3 TB-20'!A90,'Raw Data 07-31-2020'!D$6:D$254)</f>
        <v>35000</v>
      </c>
      <c r="F90" s="3"/>
      <c r="G90" s="3">
        <f t="shared" si="1"/>
        <v>-35000</v>
      </c>
      <c r="H90" s="109" t="s">
        <v>800</v>
      </c>
      <c r="J90" s="19"/>
    </row>
    <row r="91" spans="1:10" x14ac:dyDescent="0.75">
      <c r="A91" s="12">
        <v>2320</v>
      </c>
      <c r="B91" s="13" t="s">
        <v>539</v>
      </c>
      <c r="C91" s="3">
        <f>SUMIF('Raw Data 07-31-2020'!$A$6:$A$254,'Q3 TB-20'!A91,'Raw Data 07-31-2020'!C$6:C$254)</f>
        <v>0</v>
      </c>
      <c r="D91" s="4"/>
      <c r="E91" s="3">
        <f>SUMIF('Raw Data 07-31-2020'!$A$6:$A$254,'Q3 TB-20'!A91,'Raw Data 07-31-2020'!D$6:D$254)</f>
        <v>0</v>
      </c>
      <c r="F91" s="3"/>
      <c r="G91" s="3">
        <f t="shared" si="1"/>
        <v>0</v>
      </c>
      <c r="H91" s="109" t="s">
        <v>178</v>
      </c>
      <c r="J91" s="19"/>
    </row>
    <row r="92" spans="1:10" x14ac:dyDescent="0.75">
      <c r="A92" s="12">
        <v>2400</v>
      </c>
      <c r="B92" s="13" t="s">
        <v>527</v>
      </c>
      <c r="C92" s="3">
        <f>SUMIF('Raw Data 07-31-2020'!$A$6:$A$254,'Q3 TB-20'!A92,'Raw Data 07-31-2020'!C$6:C$254)</f>
        <v>0</v>
      </c>
      <c r="D92" s="4"/>
      <c r="E92" s="3">
        <f>SUMIF('Raw Data 07-31-2020'!$A$6:$A$254,'Q3 TB-20'!A92,'Raw Data 07-31-2020'!D$6:D$254)</f>
        <v>112099.55</v>
      </c>
      <c r="F92" s="3"/>
      <c r="G92" s="3">
        <f t="shared" si="1"/>
        <v>-112099.55</v>
      </c>
      <c r="H92" s="109" t="s">
        <v>180</v>
      </c>
      <c r="J92" s="19"/>
    </row>
    <row r="93" spans="1:10" x14ac:dyDescent="0.75">
      <c r="A93" s="12">
        <v>2405</v>
      </c>
      <c r="B93" s="13" t="s">
        <v>528</v>
      </c>
      <c r="C93" s="3">
        <f>SUMIF('Raw Data 07-31-2020'!$A$6:$A$254,'Q3 TB-20'!A93,'Raw Data 07-31-2020'!C$6:C$254)</f>
        <v>0</v>
      </c>
      <c r="D93" s="4"/>
      <c r="E93" s="3">
        <f>SUMIF('Raw Data 07-31-2020'!$A$6:$A$254,'Q3 TB-20'!A93,'Raw Data 07-31-2020'!D$6:D$254)</f>
        <v>41717.839999999997</v>
      </c>
      <c r="F93" s="3"/>
      <c r="G93" s="3">
        <f t="shared" si="1"/>
        <v>-41717.839999999997</v>
      </c>
      <c r="H93" s="109" t="s">
        <v>180</v>
      </c>
      <c r="J93" s="19"/>
    </row>
    <row r="94" spans="1:10" x14ac:dyDescent="0.75">
      <c r="A94" s="12">
        <v>2410</v>
      </c>
      <c r="B94" s="13" t="s">
        <v>529</v>
      </c>
      <c r="C94" s="3">
        <f>SUMIF('Raw Data 07-31-2020'!$A$6:$A$254,'Q3 TB-20'!A94,'Raw Data 07-31-2020'!C$6:C$254)</f>
        <v>0</v>
      </c>
      <c r="D94" s="4"/>
      <c r="E94" s="3">
        <f>SUMIF('Raw Data 07-31-2020'!$A$6:$A$254,'Q3 TB-20'!A94,'Raw Data 07-31-2020'!D$6:D$254)</f>
        <v>0</v>
      </c>
      <c r="F94" s="3"/>
      <c r="G94" s="3">
        <f t="shared" si="1"/>
        <v>0</v>
      </c>
      <c r="H94" s="109" t="s">
        <v>180</v>
      </c>
      <c r="J94" s="19"/>
    </row>
    <row r="95" spans="1:10" x14ac:dyDescent="0.75">
      <c r="A95" s="12">
        <v>2415</v>
      </c>
      <c r="B95" s="13" t="s">
        <v>530</v>
      </c>
      <c r="C95" s="3">
        <f>SUMIF('Raw Data 07-31-2020'!$A$6:$A$254,'Q3 TB-20'!A95,'Raw Data 07-31-2020'!C$6:C$254)</f>
        <v>0</v>
      </c>
      <c r="D95" s="4"/>
      <c r="E95" s="3">
        <f>SUMIF('Raw Data 07-31-2020'!$A$6:$A$254,'Q3 TB-20'!A95,'Raw Data 07-31-2020'!D$6:D$254)</f>
        <v>0</v>
      </c>
      <c r="F95" s="3"/>
      <c r="G95" s="3">
        <f t="shared" si="1"/>
        <v>0</v>
      </c>
      <c r="H95" s="109" t="s">
        <v>180</v>
      </c>
      <c r="J95" s="19"/>
    </row>
    <row r="96" spans="1:10" x14ac:dyDescent="0.75">
      <c r="A96" s="12">
        <v>2420</v>
      </c>
      <c r="B96" s="13" t="s">
        <v>531</v>
      </c>
      <c r="C96" s="3">
        <f>SUMIF('Raw Data 07-31-2020'!$A$6:$A$254,'Q3 TB-20'!A96,'Raw Data 07-31-2020'!C$6:C$254)</f>
        <v>0</v>
      </c>
      <c r="D96" s="4"/>
      <c r="E96" s="3">
        <f>SUMIF('Raw Data 07-31-2020'!$A$6:$A$254,'Q3 TB-20'!A96,'Raw Data 07-31-2020'!D$6:D$254)</f>
        <v>0</v>
      </c>
      <c r="F96" s="3"/>
      <c r="G96" s="3">
        <f t="shared" si="1"/>
        <v>0</v>
      </c>
      <c r="H96" s="109" t="s">
        <v>180</v>
      </c>
      <c r="J96" s="19"/>
    </row>
    <row r="97" spans="1:10" x14ac:dyDescent="0.75">
      <c r="A97" s="12">
        <v>2425</v>
      </c>
      <c r="B97" s="13" t="s">
        <v>532</v>
      </c>
      <c r="C97" s="3">
        <f>SUMIF('Raw Data 07-31-2020'!$A$6:$A$254,'Q3 TB-20'!A97,'Raw Data 07-31-2020'!C$6:C$254)</f>
        <v>0</v>
      </c>
      <c r="D97" s="4"/>
      <c r="E97" s="3">
        <f>SUMIF('Raw Data 07-31-2020'!$A$6:$A$254,'Q3 TB-20'!A97,'Raw Data 07-31-2020'!D$6:D$254)</f>
        <v>0</v>
      </c>
      <c r="F97" s="3"/>
      <c r="G97" s="3">
        <f t="shared" si="1"/>
        <v>0</v>
      </c>
      <c r="H97" s="109" t="s">
        <v>180</v>
      </c>
      <c r="J97" s="19"/>
    </row>
    <row r="98" spans="1:10" x14ac:dyDescent="0.75">
      <c r="A98" s="12">
        <v>2430</v>
      </c>
      <c r="B98" s="13" t="s">
        <v>533</v>
      </c>
      <c r="C98" s="3">
        <f>SUMIF('Raw Data 07-31-2020'!$A$6:$A$254,'Q3 TB-20'!A98,'Raw Data 07-31-2020'!C$6:C$254)</f>
        <v>0</v>
      </c>
      <c r="D98" s="4"/>
      <c r="E98" s="3">
        <f>SUMIF('Raw Data 07-31-2020'!$A$6:$A$254,'Q3 TB-20'!A98,'Raw Data 07-31-2020'!D$6:D$254)</f>
        <v>0</v>
      </c>
      <c r="F98" s="3"/>
      <c r="G98" s="3">
        <f t="shared" si="1"/>
        <v>0</v>
      </c>
      <c r="H98" s="109" t="s">
        <v>180</v>
      </c>
      <c r="J98" s="19"/>
    </row>
    <row r="99" spans="1:10" x14ac:dyDescent="0.75">
      <c r="A99" s="12" t="s">
        <v>952</v>
      </c>
      <c r="B99" s="13" t="s">
        <v>953</v>
      </c>
      <c r="C99" s="3">
        <f>SUMIF('Raw Data 07-31-2020'!$A$6:$A$254,'Q3 TB-20'!A99,'Raw Data 07-31-2020'!C$6:C$254)</f>
        <v>0</v>
      </c>
      <c r="D99" s="4"/>
      <c r="E99" s="3">
        <f>SUMIF('Raw Data 07-31-2020'!$A$6:$A$254,'Q3 TB-20'!A99,'Raw Data 07-31-2020'!D$6:D$254)</f>
        <v>411287</v>
      </c>
      <c r="F99" s="3"/>
      <c r="G99" s="3">
        <f t="shared" si="1"/>
        <v>-411287</v>
      </c>
      <c r="H99" s="109" t="s">
        <v>954</v>
      </c>
      <c r="J99" s="19"/>
    </row>
    <row r="100" spans="1:10" x14ac:dyDescent="0.75">
      <c r="A100" s="12">
        <v>2705</v>
      </c>
      <c r="B100" s="13" t="s">
        <v>547</v>
      </c>
      <c r="C100" s="3">
        <f>SUMIF('Raw Data 07-31-2020'!$A$6:$A$254,'Q3 TB-20'!A100,'Raw Data 07-31-2020'!C$6:C$254)</f>
        <v>0</v>
      </c>
      <c r="D100" s="4"/>
      <c r="E100" s="3">
        <f>SUMIF('Raw Data 07-31-2020'!$A$6:$A$254,'Q3 TB-20'!A100,'Raw Data 07-31-2020'!D$6:D$254)</f>
        <v>50000</v>
      </c>
      <c r="F100" s="3"/>
      <c r="G100" s="3">
        <f t="shared" si="1"/>
        <v>-50000</v>
      </c>
      <c r="H100" s="109" t="s">
        <v>800</v>
      </c>
      <c r="J100" s="19"/>
    </row>
    <row r="101" spans="1:10" x14ac:dyDescent="0.75">
      <c r="A101" s="12">
        <v>2710</v>
      </c>
      <c r="B101" s="13" t="s">
        <v>548</v>
      </c>
      <c r="C101" s="3">
        <f>SUMIF('Raw Data 07-31-2020'!$A$6:$A$254,'Q3 TB-20'!A101,'Raw Data 07-31-2020'!C$6:C$254)</f>
        <v>0</v>
      </c>
      <c r="D101" s="4"/>
      <c r="E101" s="3">
        <f>SUMIF('Raw Data 07-31-2020'!$A$6:$A$254,'Q3 TB-20'!A101,'Raw Data 07-31-2020'!D$6:D$254)</f>
        <v>15000</v>
      </c>
      <c r="F101" s="3"/>
      <c r="G101" s="3">
        <f t="shared" si="1"/>
        <v>-15000</v>
      </c>
      <c r="H101" s="109" t="s">
        <v>800</v>
      </c>
      <c r="J101" s="19"/>
    </row>
    <row r="102" spans="1:10" x14ac:dyDescent="0.75">
      <c r="A102" s="12">
        <v>2715</v>
      </c>
      <c r="B102" s="13" t="s">
        <v>549</v>
      </c>
      <c r="C102" s="3">
        <f>SUMIF('Raw Data 07-31-2020'!$A$6:$A$254,'Q3 TB-20'!A102,'Raw Data 07-31-2020'!C$6:C$254)</f>
        <v>0</v>
      </c>
      <c r="D102" s="4"/>
      <c r="E102" s="3">
        <f>SUMIF('Raw Data 07-31-2020'!$A$6:$A$254,'Q3 TB-20'!A102,'Raw Data 07-31-2020'!D$6:D$254)</f>
        <v>25000</v>
      </c>
      <c r="F102" s="3"/>
      <c r="G102" s="3">
        <f t="shared" si="1"/>
        <v>-25000</v>
      </c>
      <c r="H102" s="109" t="s">
        <v>800</v>
      </c>
      <c r="J102" s="19"/>
    </row>
    <row r="103" spans="1:10" x14ac:dyDescent="0.75">
      <c r="A103" s="12">
        <v>2720</v>
      </c>
      <c r="B103" s="13" t="s">
        <v>550</v>
      </c>
      <c r="C103" s="3">
        <f>SUMIF('Raw Data 07-31-2020'!$A$6:$A$254,'Q3 TB-20'!A103,'Raw Data 07-31-2020'!C$6:C$254)</f>
        <v>0</v>
      </c>
      <c r="D103" s="4"/>
      <c r="E103" s="3">
        <f>SUMIF('Raw Data 07-31-2020'!$A$6:$A$254,'Q3 TB-20'!A103,'Raw Data 07-31-2020'!D$6:D$254)</f>
        <v>50000</v>
      </c>
      <c r="F103" s="3"/>
      <c r="G103" s="3">
        <f t="shared" si="1"/>
        <v>-50000</v>
      </c>
      <c r="H103" s="109" t="s">
        <v>800</v>
      </c>
      <c r="J103" s="19"/>
    </row>
    <row r="104" spans="1:10" x14ac:dyDescent="0.75">
      <c r="A104" s="12">
        <v>2725</v>
      </c>
      <c r="B104" s="13" t="s">
        <v>551</v>
      </c>
      <c r="C104" s="3">
        <f>SUMIF('Raw Data 07-31-2020'!$A$6:$A$254,'Q3 TB-20'!A104,'Raw Data 07-31-2020'!C$6:C$254)</f>
        <v>0</v>
      </c>
      <c r="D104" s="4"/>
      <c r="E104" s="3">
        <f>SUMIF('Raw Data 07-31-2020'!$A$6:$A$254,'Q3 TB-20'!A104,'Raw Data 07-31-2020'!D$6:D$254)</f>
        <v>60000</v>
      </c>
      <c r="F104" s="3"/>
      <c r="G104" s="3">
        <f t="shared" si="1"/>
        <v>-60000</v>
      </c>
      <c r="H104" s="109" t="s">
        <v>800</v>
      </c>
      <c r="J104" s="19"/>
    </row>
    <row r="105" spans="1:10" x14ac:dyDescent="0.75">
      <c r="A105" s="12">
        <v>2730</v>
      </c>
      <c r="B105" s="13" t="s">
        <v>552</v>
      </c>
      <c r="C105" s="3">
        <f>SUMIF('Raw Data 07-31-2020'!$A$6:$A$254,'Q3 TB-20'!A105,'Raw Data 07-31-2020'!C$6:C$254)</f>
        <v>0</v>
      </c>
      <c r="D105" s="4"/>
      <c r="E105" s="3">
        <f>SUMIF('Raw Data 07-31-2020'!$A$6:$A$254,'Q3 TB-20'!A105,'Raw Data 07-31-2020'!D$6:D$254)</f>
        <v>108527</v>
      </c>
      <c r="F105" s="3"/>
      <c r="G105" s="3">
        <f t="shared" si="1"/>
        <v>-108527</v>
      </c>
      <c r="H105" s="109" t="s">
        <v>800</v>
      </c>
      <c r="J105" s="19"/>
    </row>
    <row r="106" spans="1:10" x14ac:dyDescent="0.75">
      <c r="A106" s="12">
        <v>2735</v>
      </c>
      <c r="B106" s="13" t="s">
        <v>553</v>
      </c>
      <c r="C106" s="3">
        <f>SUMIF('Raw Data 07-31-2020'!$A$6:$A$254,'Q3 TB-20'!A106,'Raw Data 07-31-2020'!C$6:C$254)</f>
        <v>0</v>
      </c>
      <c r="D106" s="4"/>
      <c r="E106" s="3">
        <f>SUMIF('Raw Data 07-31-2020'!$A$6:$A$254,'Q3 TB-20'!A106,'Raw Data 07-31-2020'!D$6:D$254)</f>
        <v>150000</v>
      </c>
      <c r="F106" s="3"/>
      <c r="G106" s="3">
        <f t="shared" si="1"/>
        <v>-150000</v>
      </c>
      <c r="H106" s="109" t="s">
        <v>800</v>
      </c>
      <c r="J106" s="19"/>
    </row>
    <row r="107" spans="1:10" x14ac:dyDescent="0.75">
      <c r="A107" s="12">
        <v>2740</v>
      </c>
      <c r="B107" s="13" t="s">
        <v>554</v>
      </c>
      <c r="C107" s="3">
        <f>SUMIF('Raw Data 07-31-2020'!$A$6:$A$254,'Q3 TB-20'!A107,'Raw Data 07-31-2020'!C$6:C$254)</f>
        <v>0</v>
      </c>
      <c r="D107" s="4"/>
      <c r="E107" s="3">
        <f>SUMIF('Raw Data 07-31-2020'!$A$6:$A$254,'Q3 TB-20'!A107,'Raw Data 07-31-2020'!D$6:D$254)</f>
        <v>40000</v>
      </c>
      <c r="F107" s="3"/>
      <c r="G107" s="3">
        <f t="shared" si="1"/>
        <v>-40000</v>
      </c>
      <c r="H107" s="109" t="s">
        <v>800</v>
      </c>
      <c r="J107" s="19"/>
    </row>
    <row r="108" spans="1:10" x14ac:dyDescent="0.75">
      <c r="A108" s="12">
        <v>2745</v>
      </c>
      <c r="B108" s="13" t="s">
        <v>939</v>
      </c>
      <c r="C108" s="3">
        <f>SUMIF('Raw Data 07-31-2020'!$A$6:$A$254,'Q3 TB-20'!A108,'Raw Data 07-31-2020'!C$6:C$254)</f>
        <v>0</v>
      </c>
      <c r="D108" s="4"/>
      <c r="E108" s="3">
        <f>SUMIF('Raw Data 07-31-2020'!$A$6:$A$254,'Q3 TB-20'!A108,'Raw Data 07-31-2020'!D$6:D$254)</f>
        <v>180186.32</v>
      </c>
      <c r="F108" s="3"/>
      <c r="G108" s="3">
        <f t="shared" si="1"/>
        <v>-180186.32</v>
      </c>
      <c r="H108" s="109" t="s">
        <v>182</v>
      </c>
      <c r="J108" s="19"/>
    </row>
    <row r="109" spans="1:10" x14ac:dyDescent="0.75">
      <c r="A109" s="12">
        <v>2750</v>
      </c>
      <c r="B109" s="13" t="s">
        <v>555</v>
      </c>
      <c r="C109" s="3">
        <f>SUMIF('Raw Data 07-31-2020'!$A$6:$A$254,'Q3 TB-20'!A109,'Raw Data 07-31-2020'!C$6:C$254)</f>
        <v>0</v>
      </c>
      <c r="D109" s="4"/>
      <c r="E109" s="3">
        <f>SUMIF('Raw Data 07-31-2020'!$A$6:$A$254,'Q3 TB-20'!A109,'Raw Data 07-31-2020'!D$6:D$254)</f>
        <v>50000</v>
      </c>
      <c r="F109" s="3"/>
      <c r="G109" s="3">
        <f t="shared" si="1"/>
        <v>-50000</v>
      </c>
      <c r="H109" s="109" t="s">
        <v>800</v>
      </c>
      <c r="J109" s="19"/>
    </row>
    <row r="110" spans="1:10" x14ac:dyDescent="0.75">
      <c r="A110" s="12">
        <v>2755</v>
      </c>
      <c r="B110" s="13" t="s">
        <v>556</v>
      </c>
      <c r="C110" s="3">
        <f>SUMIF('Raw Data 07-31-2020'!$A$6:$A$254,'Q3 TB-20'!A110,'Raw Data 07-31-2020'!C$6:C$254)</f>
        <v>0</v>
      </c>
      <c r="D110" s="4"/>
      <c r="E110" s="3">
        <f>SUMIF('Raw Data 07-31-2020'!$A$6:$A$254,'Q3 TB-20'!A110,'Raw Data 07-31-2020'!D$6:D$254)</f>
        <v>25000</v>
      </c>
      <c r="F110" s="3"/>
      <c r="G110" s="3">
        <f t="shared" si="1"/>
        <v>-25000</v>
      </c>
      <c r="H110" s="109" t="s">
        <v>800</v>
      </c>
      <c r="J110" s="19"/>
    </row>
    <row r="111" spans="1:10" x14ac:dyDescent="0.75">
      <c r="A111" s="12">
        <v>2760</v>
      </c>
      <c r="B111" s="13" t="s">
        <v>557</v>
      </c>
      <c r="C111" s="3">
        <f>SUMIF('Raw Data 07-31-2020'!$A$6:$A$254,'Q3 TB-20'!A111,'Raw Data 07-31-2020'!C$6:C$254)</f>
        <v>0</v>
      </c>
      <c r="D111" s="4"/>
      <c r="E111" s="3">
        <f>SUMIF('Raw Data 07-31-2020'!$A$6:$A$254,'Q3 TB-20'!A111,'Raw Data 07-31-2020'!D$6:D$254)</f>
        <v>170000</v>
      </c>
      <c r="F111" s="3"/>
      <c r="G111" s="3">
        <f t="shared" si="1"/>
        <v>-170000</v>
      </c>
      <c r="H111" s="109" t="s">
        <v>800</v>
      </c>
      <c r="J111" s="19"/>
    </row>
    <row r="112" spans="1:10" x14ac:dyDescent="0.75">
      <c r="A112" s="12">
        <v>2765</v>
      </c>
      <c r="B112" s="13" t="s">
        <v>558</v>
      </c>
      <c r="C112" s="3">
        <f>SUMIF('Raw Data 07-31-2020'!$A$6:$A$254,'Q3 TB-20'!A112,'Raw Data 07-31-2020'!C$6:C$254)</f>
        <v>0</v>
      </c>
      <c r="D112" s="4"/>
      <c r="E112" s="3">
        <f>SUMIF('Raw Data 07-31-2020'!$A$6:$A$254,'Q3 TB-20'!A112,'Raw Data 07-31-2020'!D$6:D$254)</f>
        <v>50000</v>
      </c>
      <c r="F112" s="3"/>
      <c r="G112" s="3">
        <f t="shared" si="1"/>
        <v>-50000</v>
      </c>
      <c r="H112" s="109" t="s">
        <v>800</v>
      </c>
      <c r="J112" s="19"/>
    </row>
    <row r="113" spans="1:10" x14ac:dyDescent="0.75">
      <c r="A113" s="12">
        <v>2770</v>
      </c>
      <c r="B113" s="13" t="s">
        <v>559</v>
      </c>
      <c r="C113" s="3">
        <f>SUMIF('Raw Data 07-31-2020'!$A$6:$A$254,'Q3 TB-20'!A113,'Raw Data 07-31-2020'!C$6:C$254)</f>
        <v>0</v>
      </c>
      <c r="D113" s="4"/>
      <c r="E113" s="3">
        <f>SUMIF('Raw Data 07-31-2020'!$A$6:$A$254,'Q3 TB-20'!A113,'Raw Data 07-31-2020'!D$6:D$254)</f>
        <v>2500</v>
      </c>
      <c r="F113" s="3"/>
      <c r="G113" s="3">
        <f t="shared" si="1"/>
        <v>-2500</v>
      </c>
      <c r="H113" s="109" t="s">
        <v>800</v>
      </c>
      <c r="J113" s="19"/>
    </row>
    <row r="114" spans="1:10" x14ac:dyDescent="0.75">
      <c r="A114" s="12">
        <v>2775</v>
      </c>
      <c r="B114" s="13" t="s">
        <v>560</v>
      </c>
      <c r="C114" s="3">
        <f>SUMIF('Raw Data 07-31-2020'!$A$6:$A$254,'Q3 TB-20'!A114,'Raw Data 07-31-2020'!C$6:C$254)</f>
        <v>0</v>
      </c>
      <c r="D114" s="4"/>
      <c r="E114" s="3">
        <f>SUMIF('Raw Data 07-31-2020'!$A$6:$A$254,'Q3 TB-20'!A114,'Raw Data 07-31-2020'!D$6:D$254)</f>
        <v>50000</v>
      </c>
      <c r="F114" s="3"/>
      <c r="G114" s="3">
        <f t="shared" si="1"/>
        <v>-50000</v>
      </c>
      <c r="H114" s="109" t="s">
        <v>800</v>
      </c>
      <c r="J114" s="19"/>
    </row>
    <row r="115" spans="1:10" x14ac:dyDescent="0.75">
      <c r="A115" s="12">
        <v>2780</v>
      </c>
      <c r="B115" s="13" t="s">
        <v>561</v>
      </c>
      <c r="C115" s="3">
        <f>SUMIF('Raw Data 07-31-2020'!$A$6:$A$254,'Q3 TB-20'!A115,'Raw Data 07-31-2020'!C$6:C$254)</f>
        <v>0</v>
      </c>
      <c r="D115" s="4"/>
      <c r="E115" s="3">
        <f>SUMIF('Raw Data 07-31-2020'!$A$6:$A$254,'Q3 TB-20'!A115,'Raw Data 07-31-2020'!D$6:D$254)</f>
        <v>25000</v>
      </c>
      <c r="F115" s="3"/>
      <c r="G115" s="3">
        <f t="shared" si="1"/>
        <v>-25000</v>
      </c>
      <c r="H115" s="109" t="s">
        <v>800</v>
      </c>
      <c r="J115" s="19"/>
    </row>
    <row r="116" spans="1:10" x14ac:dyDescent="0.75">
      <c r="A116" s="12" t="s">
        <v>941</v>
      </c>
      <c r="B116" s="13" t="s">
        <v>942</v>
      </c>
      <c r="C116" s="3">
        <f>SUMIF('Raw Data 07-31-2020'!$A$6:$A$254,'Q3 TB-20'!A116,'Raw Data 07-31-2020'!C$6:C$254)</f>
        <v>231865</v>
      </c>
      <c r="D116" s="4"/>
      <c r="E116" s="3">
        <f>SUMIF('Raw Data 07-31-2020'!$A$6:$A$254,'Q3 TB-20'!A116,'Raw Data 07-31-2020'!D$6:D$254)</f>
        <v>0</v>
      </c>
      <c r="F116" s="3"/>
      <c r="G116" s="3">
        <f t="shared" si="1"/>
        <v>231865</v>
      </c>
      <c r="H116" s="109" t="s">
        <v>800</v>
      </c>
      <c r="J116" s="19"/>
    </row>
    <row r="117" spans="1:10" x14ac:dyDescent="0.75">
      <c r="A117" s="12">
        <v>3000</v>
      </c>
      <c r="B117" s="13" t="s">
        <v>563</v>
      </c>
      <c r="C117" s="3">
        <f>SUMIF('Raw Data 07-31-2020'!$A$6:$A$254,'Q3 TB-20'!A117,'Raw Data 07-31-2020'!C$6:C$254)</f>
        <v>0</v>
      </c>
      <c r="D117" s="4"/>
      <c r="E117" s="3">
        <f>SUMIF('Raw Data 07-31-2020'!$A$6:$A$254,'Q3 TB-20'!A117,'Raw Data 07-31-2020'!D$6:D$254)</f>
        <v>46290.14</v>
      </c>
      <c r="F117" s="3"/>
      <c r="G117" s="3">
        <f t="shared" si="1"/>
        <v>-46290.14</v>
      </c>
      <c r="H117" s="109" t="s">
        <v>183</v>
      </c>
      <c r="J117" s="19"/>
    </row>
    <row r="118" spans="1:10" x14ac:dyDescent="0.75">
      <c r="A118" s="12">
        <v>3050</v>
      </c>
      <c r="B118" s="13" t="s">
        <v>569</v>
      </c>
      <c r="C118" s="3">
        <f>SUMIF('Raw Data 07-31-2020'!$A$6:$A$254,'Q3 TB-20'!A118,'Raw Data 07-31-2020'!C$6:C$254)</f>
        <v>0</v>
      </c>
      <c r="D118" s="4"/>
      <c r="E118" s="3">
        <f>SUMIF('Raw Data 07-31-2020'!$A$6:$A$254,'Q3 TB-20'!A118,'Raw Data 07-31-2020'!D$6:D$254)</f>
        <v>38.799999999999997</v>
      </c>
      <c r="F118" s="3"/>
      <c r="G118" s="3">
        <f t="shared" si="1"/>
        <v>-38.799999999999997</v>
      </c>
      <c r="H118" s="109" t="s">
        <v>802</v>
      </c>
      <c r="J118" s="19"/>
    </row>
    <row r="119" spans="1:10" x14ac:dyDescent="0.75">
      <c r="A119" s="12">
        <v>3100</v>
      </c>
      <c r="B119" s="13" t="s">
        <v>567</v>
      </c>
      <c r="C119" s="3">
        <f>SUMIF('Raw Data 07-31-2020'!$A$6:$A$254,'Q3 TB-20'!A119,'Raw Data 07-31-2020'!C$6:C$254)</f>
        <v>0</v>
      </c>
      <c r="D119" s="4"/>
      <c r="E119" s="3">
        <f>SUMIF('Raw Data 07-31-2020'!$A$6:$A$254,'Q3 TB-20'!A119,'Raw Data 07-31-2020'!D$6:D$254)</f>
        <v>8601528.4800000004</v>
      </c>
      <c r="F119" s="3"/>
      <c r="G119" s="3">
        <f t="shared" si="1"/>
        <v>-8601528.4800000004</v>
      </c>
      <c r="H119" s="109" t="s">
        <v>184</v>
      </c>
      <c r="J119" s="19"/>
    </row>
    <row r="120" spans="1:10" s="89" customFormat="1" x14ac:dyDescent="0.75">
      <c r="A120" s="12" t="s">
        <v>1003</v>
      </c>
      <c r="B120" s="13" t="s">
        <v>1004</v>
      </c>
      <c r="C120" s="3">
        <f>SUMIF('Raw Data 07-31-2020'!$A$6:$A$254,'Q3 TB-20'!A120,'Raw Data 07-31-2020'!C$6:C$254)</f>
        <v>0</v>
      </c>
      <c r="D120" s="4"/>
      <c r="E120" s="3">
        <f>SUMIF('Raw Data 07-31-2020'!$A$6:$A$254,'Q3 TB-20'!A120,'Raw Data 07-31-2020'!D$6:D$254)</f>
        <v>0</v>
      </c>
      <c r="F120" s="3"/>
      <c r="G120" s="3">
        <f t="shared" ref="G120" si="3">C120-E120</f>
        <v>0</v>
      </c>
      <c r="H120" s="109" t="s">
        <v>184</v>
      </c>
      <c r="J120" s="19"/>
    </row>
    <row r="121" spans="1:10" x14ac:dyDescent="0.75">
      <c r="A121" s="12">
        <v>3200</v>
      </c>
      <c r="B121" s="13" t="s">
        <v>562</v>
      </c>
      <c r="C121" s="3">
        <f>SUMIF('Raw Data 07-31-2020'!$A$6:$A$254,'Q3 TB-20'!A121,'Raw Data 07-31-2020'!C$6:C$254)</f>
        <v>0</v>
      </c>
      <c r="D121" s="4"/>
      <c r="E121" s="3">
        <f>SUMIF('Raw Data 07-31-2020'!$A$6:$A$254,'Q3 TB-20'!A121,'Raw Data 07-31-2020'!D$6:D$254)</f>
        <v>0</v>
      </c>
      <c r="F121" s="3"/>
      <c r="G121" s="3">
        <f t="shared" si="1"/>
        <v>0</v>
      </c>
      <c r="H121" s="109" t="s">
        <v>184</v>
      </c>
      <c r="J121" s="19"/>
    </row>
    <row r="122" spans="1:10" x14ac:dyDescent="0.75">
      <c r="A122" s="12">
        <v>3300</v>
      </c>
      <c r="B122" s="13" t="s">
        <v>564</v>
      </c>
      <c r="C122" s="3">
        <f>SUMIF('Raw Data 07-31-2020'!$A$6:$A$254,'Q3 TB-20'!A122,'Raw Data 07-31-2020'!C$6:C$254)</f>
        <v>0</v>
      </c>
      <c r="D122" s="4"/>
      <c r="E122" s="3">
        <f>SUMIF('Raw Data 07-31-2020'!$A$6:$A$254,'Q3 TB-20'!A122,'Raw Data 07-31-2020'!D$6:D$254)</f>
        <v>0</v>
      </c>
      <c r="F122" s="3"/>
      <c r="G122" s="3">
        <f t="shared" si="1"/>
        <v>0</v>
      </c>
      <c r="H122" s="109" t="s">
        <v>184</v>
      </c>
      <c r="J122" s="19"/>
    </row>
    <row r="123" spans="1:10" x14ac:dyDescent="0.75">
      <c r="A123" s="12">
        <v>3400</v>
      </c>
      <c r="B123" s="13" t="s">
        <v>565</v>
      </c>
      <c r="C123" s="3">
        <f>SUMIF('Raw Data 07-31-2020'!$A$6:$A$254,'Q3 TB-20'!A123,'Raw Data 07-31-2020'!C$6:C$254)</f>
        <v>0</v>
      </c>
      <c r="D123" s="4"/>
      <c r="E123" s="3">
        <f>SUMIF('Raw Data 07-31-2020'!$A$6:$A$254,'Q3 TB-20'!A123,'Raw Data 07-31-2020'!D$6:D$254)</f>
        <v>0</v>
      </c>
      <c r="F123" s="3"/>
      <c r="G123" s="3">
        <f t="shared" si="1"/>
        <v>0</v>
      </c>
      <c r="H123" s="109" t="s">
        <v>184</v>
      </c>
      <c r="J123" s="19"/>
    </row>
    <row r="124" spans="1:10" x14ac:dyDescent="0.75">
      <c r="A124" s="12">
        <v>3500</v>
      </c>
      <c r="B124" s="13" t="s">
        <v>566</v>
      </c>
      <c r="C124" s="3">
        <f>SUMIF('Raw Data 07-31-2020'!$A$6:$A$254,'Q3 TB-20'!A124,'Raw Data 07-31-2020'!C$6:C$254)</f>
        <v>0</v>
      </c>
      <c r="D124" s="4"/>
      <c r="E124" s="3">
        <f>SUMIF('Raw Data 07-31-2020'!$A$6:$A$254,'Q3 TB-20'!A124,'Raw Data 07-31-2020'!D$6:D$254)</f>
        <v>0</v>
      </c>
      <c r="F124" s="3"/>
      <c r="G124" s="3">
        <f t="shared" si="1"/>
        <v>0</v>
      </c>
      <c r="H124" s="109" t="s">
        <v>184</v>
      </c>
      <c r="J124" s="19"/>
    </row>
    <row r="125" spans="1:10" x14ac:dyDescent="0.75">
      <c r="A125" s="12" t="s">
        <v>382</v>
      </c>
      <c r="B125" s="13" t="s">
        <v>933</v>
      </c>
      <c r="C125" s="3">
        <f>SUMIF('Raw Data 07-31-2020'!$A$6:$A$254,'Q3 TB-20'!A125,'Raw Data 07-31-2020'!C$6:C$254)</f>
        <v>84000</v>
      </c>
      <c r="D125" s="4"/>
      <c r="E125" s="3">
        <f>SUMIF('Raw Data 07-31-2020'!$A$6:$A$254,'Q3 TB-20'!A125,'Raw Data 07-31-2020'!D$6:D$254)</f>
        <v>0</v>
      </c>
      <c r="F125" s="3"/>
      <c r="G125" s="3">
        <f t="shared" si="1"/>
        <v>84000</v>
      </c>
      <c r="H125" s="109" t="s">
        <v>934</v>
      </c>
      <c r="J125" s="19"/>
    </row>
    <row r="126" spans="1:10" x14ac:dyDescent="0.75">
      <c r="A126" s="12">
        <v>3800</v>
      </c>
      <c r="B126" s="13" t="s">
        <v>568</v>
      </c>
      <c r="C126" s="3">
        <f>SUMIF('Raw Data 07-31-2020'!$A$6:$A$254,'Q3 TB-20'!A126,'Raw Data 07-31-2020'!C$6:C$254)</f>
        <v>0</v>
      </c>
      <c r="D126" s="4"/>
      <c r="E126" s="3">
        <f>SUMIF('Raw Data 07-31-2020'!$A$6:$A$254,'Q3 TB-20'!A126,'Raw Data 07-31-2020'!D$6:D$254)</f>
        <v>0</v>
      </c>
      <c r="F126" s="3"/>
      <c r="G126" s="3">
        <f t="shared" si="1"/>
        <v>0</v>
      </c>
      <c r="H126" s="109" t="s">
        <v>185</v>
      </c>
      <c r="J126" s="19"/>
    </row>
    <row r="127" spans="1:10" x14ac:dyDescent="0.75">
      <c r="A127" s="12">
        <v>3900</v>
      </c>
      <c r="B127" s="13" t="s">
        <v>400</v>
      </c>
      <c r="C127" s="3">
        <f>SUMIF('Raw Data 07-31-2020'!$A$6:$A$254,'Q3 TB-20'!A127,'Raw Data 07-31-2020'!C$6:C$254)</f>
        <v>9779200.5199999996</v>
      </c>
      <c r="D127" s="4"/>
      <c r="E127" s="3">
        <f>SUMIF('Raw Data 07-31-2020'!$A$6:$A$254,'Q3 TB-20'!A127,'Raw Data 07-31-2020'!D$6:D$254)</f>
        <v>0</v>
      </c>
      <c r="F127" s="3"/>
      <c r="G127" s="3">
        <f t="shared" si="1"/>
        <v>9779200.5199999996</v>
      </c>
      <c r="H127" s="109" t="s">
        <v>185</v>
      </c>
      <c r="J127" s="19"/>
    </row>
    <row r="128" spans="1:10" x14ac:dyDescent="0.75">
      <c r="A128" s="12">
        <v>4100</v>
      </c>
      <c r="B128" s="13" t="s">
        <v>576</v>
      </c>
      <c r="C128" s="3">
        <f>SUMIF('Raw Data 07-31-2020'!$A$6:$A$254,'Q3 TB-20'!A128,'Raw Data 07-31-2020'!C$6:C$254)</f>
        <v>0</v>
      </c>
      <c r="D128" s="4"/>
      <c r="E128" s="3">
        <f>SUMIF('Raw Data 07-31-2020'!$A$6:$A$254,'Q3 TB-20'!A128,'Raw Data 07-31-2020'!D$6:D$254)</f>
        <v>475540.1</v>
      </c>
      <c r="F128" s="3"/>
      <c r="G128" s="3">
        <f t="shared" si="1"/>
        <v>-475540.1</v>
      </c>
      <c r="H128" s="109" t="s">
        <v>437</v>
      </c>
      <c r="J128" s="19"/>
    </row>
    <row r="129" spans="1:10" x14ac:dyDescent="0.75">
      <c r="A129" s="12">
        <v>4110</v>
      </c>
      <c r="B129" s="13" t="s">
        <v>577</v>
      </c>
      <c r="C129" s="3">
        <f>SUMIF('Raw Data 07-31-2020'!$A$6:$A$254,'Q3 TB-20'!A129,'Raw Data 07-31-2020'!C$6:C$254)</f>
        <v>0</v>
      </c>
      <c r="D129" s="4"/>
      <c r="E129" s="3">
        <f>SUMIF('Raw Data 07-31-2020'!$A$6:$A$254,'Q3 TB-20'!A129,'Raw Data 07-31-2020'!D$6:D$254)</f>
        <v>0</v>
      </c>
      <c r="F129" s="3"/>
      <c r="G129" s="3">
        <f t="shared" si="1"/>
        <v>0</v>
      </c>
      <c r="H129" s="109" t="s">
        <v>437</v>
      </c>
      <c r="J129" s="19"/>
    </row>
    <row r="130" spans="1:10" x14ac:dyDescent="0.75">
      <c r="A130" s="12">
        <v>4200</v>
      </c>
      <c r="B130" s="13" t="s">
        <v>573</v>
      </c>
      <c r="C130" s="3">
        <f>SUMIF('Raw Data 07-31-2020'!$A$6:$A$254,'Q3 TB-20'!A130,'Raw Data 07-31-2020'!C$6:C$254)</f>
        <v>0</v>
      </c>
      <c r="D130" s="4"/>
      <c r="E130" s="3">
        <f>SUMIF('Raw Data 07-31-2020'!$A$6:$A$254,'Q3 TB-20'!A130,'Raw Data 07-31-2020'!D$6:D$254)</f>
        <v>0</v>
      </c>
      <c r="F130" s="3"/>
      <c r="G130" s="3">
        <f t="shared" si="1"/>
        <v>0</v>
      </c>
      <c r="H130" s="109" t="s">
        <v>437</v>
      </c>
      <c r="J130" s="19"/>
    </row>
    <row r="131" spans="1:10" x14ac:dyDescent="0.75">
      <c r="A131" s="12">
        <v>4300</v>
      </c>
      <c r="B131" s="13" t="s">
        <v>571</v>
      </c>
      <c r="C131" s="3">
        <f>SUMIF('Raw Data 07-31-2020'!$A$6:$A$254,'Q3 TB-20'!A131,'Raw Data 07-31-2020'!C$6:C$254)</f>
        <v>0</v>
      </c>
      <c r="D131" s="4"/>
      <c r="E131" s="3">
        <f>SUMIF('Raw Data 07-31-2020'!$A$6:$A$254,'Q3 TB-20'!A131,'Raw Data 07-31-2020'!D$6:D$254)</f>
        <v>0</v>
      </c>
      <c r="F131" s="3"/>
      <c r="G131" s="3">
        <f t="shared" si="1"/>
        <v>0</v>
      </c>
      <c r="H131" s="109" t="s">
        <v>437</v>
      </c>
      <c r="J131" s="19"/>
    </row>
    <row r="132" spans="1:10" x14ac:dyDescent="0.75">
      <c r="A132" s="12">
        <v>4400</v>
      </c>
      <c r="B132" s="13" t="s">
        <v>570</v>
      </c>
      <c r="C132" s="3">
        <f>SUMIF('Raw Data 07-31-2020'!$A$6:$A$254,'Q3 TB-20'!A132,'Raw Data 07-31-2020'!C$6:C$254)</f>
        <v>0</v>
      </c>
      <c r="D132" s="4"/>
      <c r="E132" s="3">
        <f>SUMIF('Raw Data 07-31-2020'!$A$6:$A$254,'Q3 TB-20'!A132,'Raw Data 07-31-2020'!D$6:D$254)</f>
        <v>0</v>
      </c>
      <c r="F132" s="3"/>
      <c r="G132" s="3">
        <f t="shared" si="1"/>
        <v>0</v>
      </c>
      <c r="H132" s="109" t="s">
        <v>437</v>
      </c>
      <c r="J132" s="19"/>
    </row>
    <row r="133" spans="1:10" x14ac:dyDescent="0.75">
      <c r="A133" s="12">
        <v>4420</v>
      </c>
      <c r="B133" s="13" t="s">
        <v>574</v>
      </c>
      <c r="C133" s="3">
        <f>SUMIF('Raw Data 07-31-2020'!$A$6:$A$254,'Q3 TB-20'!A133,'Raw Data 07-31-2020'!C$6:C$254)</f>
        <v>0</v>
      </c>
      <c r="D133" s="4"/>
      <c r="E133" s="3">
        <f>SUMIF('Raw Data 07-31-2020'!$A$6:$A$254,'Q3 TB-20'!A133,'Raw Data 07-31-2020'!D$6:D$254)</f>
        <v>0</v>
      </c>
      <c r="F133" s="3"/>
      <c r="G133" s="3">
        <f t="shared" si="1"/>
        <v>0</v>
      </c>
      <c r="H133" s="109" t="s">
        <v>437</v>
      </c>
      <c r="J133" s="19"/>
    </row>
    <row r="134" spans="1:10" x14ac:dyDescent="0.75">
      <c r="A134" s="12">
        <v>4440</v>
      </c>
      <c r="B134" s="13" t="s">
        <v>575</v>
      </c>
      <c r="C134" s="3">
        <f>SUMIF('Raw Data 07-31-2020'!$A$6:$A$254,'Q3 TB-20'!A134,'Raw Data 07-31-2020'!C$6:C$254)</f>
        <v>0</v>
      </c>
      <c r="D134" s="4"/>
      <c r="E134" s="3">
        <f>SUMIF('Raw Data 07-31-2020'!$A$6:$A$254,'Q3 TB-20'!A134,'Raw Data 07-31-2020'!D$6:D$254)</f>
        <v>0</v>
      </c>
      <c r="F134" s="3"/>
      <c r="G134" s="3">
        <f t="shared" si="1"/>
        <v>0</v>
      </c>
      <c r="H134" s="109" t="s">
        <v>437</v>
      </c>
      <c r="J134" s="19"/>
    </row>
    <row r="135" spans="1:10" x14ac:dyDescent="0.75">
      <c r="A135" s="12">
        <v>4500</v>
      </c>
      <c r="B135" s="13" t="s">
        <v>578</v>
      </c>
      <c r="C135" s="3">
        <f>SUMIF('Raw Data 07-31-2020'!$A$6:$A$254,'Q3 TB-20'!A135,'Raw Data 07-31-2020'!C$6:C$254)</f>
        <v>0</v>
      </c>
      <c r="D135" s="4"/>
      <c r="E135" s="3">
        <f>SUMIF('Raw Data 07-31-2020'!$A$6:$A$254,'Q3 TB-20'!A135,'Raw Data 07-31-2020'!D$6:D$254)</f>
        <v>11280.01</v>
      </c>
      <c r="F135" s="3"/>
      <c r="G135" s="3">
        <f t="shared" si="1"/>
        <v>-11280.01</v>
      </c>
      <c r="H135" s="109" t="s">
        <v>437</v>
      </c>
      <c r="J135" s="19"/>
    </row>
    <row r="136" spans="1:10" x14ac:dyDescent="0.75">
      <c r="A136" s="12">
        <v>4550</v>
      </c>
      <c r="B136" s="13" t="s">
        <v>579</v>
      </c>
      <c r="C136" s="3">
        <f>SUMIF('Raw Data 07-31-2020'!$A$6:$A$254,'Q3 TB-20'!A136,'Raw Data 07-31-2020'!C$6:C$254)</f>
        <v>0</v>
      </c>
      <c r="D136" s="4"/>
      <c r="E136" s="3">
        <f>SUMIF('Raw Data 07-31-2020'!$A$6:$A$254,'Q3 TB-20'!A136,'Raw Data 07-31-2020'!D$6:D$254)</f>
        <v>0</v>
      </c>
      <c r="F136" s="3"/>
      <c r="G136" s="3">
        <f t="shared" si="1"/>
        <v>0</v>
      </c>
      <c r="H136" s="109" t="s">
        <v>437</v>
      </c>
      <c r="J136" s="19"/>
    </row>
    <row r="137" spans="1:10" x14ac:dyDescent="0.75">
      <c r="A137" s="12">
        <v>4900</v>
      </c>
      <c r="B137" s="13" t="s">
        <v>572</v>
      </c>
      <c r="C137" s="3">
        <f>SUMIF('Raw Data 07-31-2020'!$A$6:$A$254,'Q3 TB-20'!A137,'Raw Data 07-31-2020'!C$6:C$254)</f>
        <v>0</v>
      </c>
      <c r="D137" s="4"/>
      <c r="E137" s="3">
        <f>SUMIF('Raw Data 07-31-2020'!$A$6:$A$254,'Q3 TB-20'!A137,'Raw Data 07-31-2020'!D$6:D$254)</f>
        <v>0</v>
      </c>
      <c r="F137" s="3"/>
      <c r="G137" s="3">
        <f t="shared" si="1"/>
        <v>0</v>
      </c>
      <c r="H137" s="109" t="s">
        <v>801</v>
      </c>
      <c r="J137" s="19"/>
    </row>
    <row r="138" spans="1:10" x14ac:dyDescent="0.75">
      <c r="A138" s="12">
        <v>4950</v>
      </c>
      <c r="B138" s="13" t="s">
        <v>580</v>
      </c>
      <c r="C138" s="3">
        <f>SUMIF('Raw Data 07-31-2020'!$A$6:$A$254,'Q3 TB-20'!A138,'Raw Data 07-31-2020'!C$6:C$254)</f>
        <v>0</v>
      </c>
      <c r="D138" s="4"/>
      <c r="E138" s="3">
        <f>SUMIF('Raw Data 07-31-2020'!$A$6:$A$254,'Q3 TB-20'!A138,'Raw Data 07-31-2020'!D$6:D$254)</f>
        <v>0</v>
      </c>
      <c r="F138" s="3"/>
      <c r="G138" s="3">
        <f t="shared" si="1"/>
        <v>0</v>
      </c>
      <c r="H138" s="109" t="s">
        <v>437</v>
      </c>
      <c r="J138" s="19"/>
    </row>
    <row r="139" spans="1:10" x14ac:dyDescent="0.75">
      <c r="A139" s="12">
        <v>4980</v>
      </c>
      <c r="B139" s="13" t="s">
        <v>581</v>
      </c>
      <c r="C139" s="3">
        <f>SUMIF('Raw Data 07-31-2020'!$A$6:$A$254,'Q3 TB-20'!A139,'Raw Data 07-31-2020'!C$6:C$254)</f>
        <v>0</v>
      </c>
      <c r="D139" s="4"/>
      <c r="E139" s="3">
        <f>SUMIF('Raw Data 07-31-2020'!$A$6:$A$254,'Q3 TB-20'!A139,'Raw Data 07-31-2020'!D$6:D$254)</f>
        <v>0</v>
      </c>
      <c r="F139" s="3"/>
      <c r="G139" s="3">
        <f t="shared" si="1"/>
        <v>0</v>
      </c>
      <c r="H139" s="109" t="s">
        <v>437</v>
      </c>
      <c r="J139" s="19"/>
    </row>
    <row r="140" spans="1:10" x14ac:dyDescent="0.75">
      <c r="A140" s="12">
        <v>5000</v>
      </c>
      <c r="B140" s="13" t="s">
        <v>582</v>
      </c>
      <c r="C140" s="3">
        <f>SUMIF('Raw Data 07-31-2020'!$A$6:$A$254,'Q3 TB-20'!A140,'Raw Data 07-31-2020'!C$6:C$254)</f>
        <v>0</v>
      </c>
      <c r="D140" s="4"/>
      <c r="E140" s="3">
        <f>SUMIF('Raw Data 07-31-2020'!$A$6:$A$254,'Q3 TB-20'!A140,'Raw Data 07-31-2020'!D$6:D$254)</f>
        <v>0</v>
      </c>
      <c r="F140" s="3"/>
      <c r="G140" s="3">
        <f t="shared" si="1"/>
        <v>0</v>
      </c>
      <c r="H140" s="109" t="s">
        <v>438</v>
      </c>
      <c r="J140" s="19"/>
    </row>
    <row r="141" spans="1:10" x14ac:dyDescent="0.75">
      <c r="A141" s="12">
        <v>5010</v>
      </c>
      <c r="B141" s="13" t="s">
        <v>583</v>
      </c>
      <c r="C141" s="3">
        <f>SUMIF('Raw Data 07-31-2020'!$A$6:$A$254,'Q3 TB-20'!A141,'Raw Data 07-31-2020'!C$6:C$254)</f>
        <v>36081.25</v>
      </c>
      <c r="D141" s="4"/>
      <c r="E141" s="3">
        <f>SUMIF('Raw Data 07-31-2020'!$A$6:$A$254,'Q3 TB-20'!A141,'Raw Data 07-31-2020'!D$6:D$254)</f>
        <v>0</v>
      </c>
      <c r="F141" s="3"/>
      <c r="G141" s="3">
        <f t="shared" si="1"/>
        <v>36081.25</v>
      </c>
      <c r="H141" s="109" t="s">
        <v>438</v>
      </c>
      <c r="J141" s="19"/>
    </row>
    <row r="142" spans="1:10" x14ac:dyDescent="0.75">
      <c r="A142" s="12">
        <v>5020</v>
      </c>
      <c r="B142" s="13" t="s">
        <v>584</v>
      </c>
      <c r="C142" s="3">
        <f>SUMIF('Raw Data 07-31-2020'!$A$6:$A$254,'Q3 TB-20'!A142,'Raw Data 07-31-2020'!C$6:C$254)</f>
        <v>25000</v>
      </c>
      <c r="D142" s="4"/>
      <c r="E142" s="3">
        <f>SUMIF('Raw Data 07-31-2020'!$A$6:$A$254,'Q3 TB-20'!A142,'Raw Data 07-31-2020'!D$6:D$254)</f>
        <v>0</v>
      </c>
      <c r="F142" s="3"/>
      <c r="G142" s="3">
        <f t="shared" ref="G142:G205" si="4">C142-E142</f>
        <v>25000</v>
      </c>
      <c r="H142" s="109" t="s">
        <v>438</v>
      </c>
      <c r="J142" s="19"/>
    </row>
    <row r="143" spans="1:10" x14ac:dyDescent="0.75">
      <c r="A143" s="12">
        <v>5030</v>
      </c>
      <c r="B143" s="13" t="s">
        <v>585</v>
      </c>
      <c r="C143" s="3">
        <f>SUMIF('Raw Data 07-31-2020'!$A$6:$A$254,'Q3 TB-20'!A143,'Raw Data 07-31-2020'!C$6:C$254)</f>
        <v>41573.050000000003</v>
      </c>
      <c r="D143" s="4"/>
      <c r="E143" s="3">
        <f>SUMIF('Raw Data 07-31-2020'!$A$6:$A$254,'Q3 TB-20'!A143,'Raw Data 07-31-2020'!D$6:D$254)</f>
        <v>0</v>
      </c>
      <c r="F143" s="3"/>
      <c r="G143" s="3">
        <f t="shared" si="4"/>
        <v>41573.050000000003</v>
      </c>
      <c r="H143" s="109" t="s">
        <v>438</v>
      </c>
      <c r="J143" s="19"/>
    </row>
    <row r="144" spans="1:10" x14ac:dyDescent="0.75">
      <c r="A144" s="12">
        <v>5040</v>
      </c>
      <c r="B144" s="13" t="s">
        <v>586</v>
      </c>
      <c r="C144" s="3">
        <f>SUMIF('Raw Data 07-31-2020'!$A$6:$A$254,'Q3 TB-20'!A144,'Raw Data 07-31-2020'!C$6:C$254)</f>
        <v>0</v>
      </c>
      <c r="D144" s="4"/>
      <c r="E144" s="3">
        <f>SUMIF('Raw Data 07-31-2020'!$A$6:$A$254,'Q3 TB-20'!A144,'Raw Data 07-31-2020'!D$6:D$254)</f>
        <v>0</v>
      </c>
      <c r="F144" s="3"/>
      <c r="G144" s="3">
        <f t="shared" si="4"/>
        <v>0</v>
      </c>
      <c r="H144" s="109" t="s">
        <v>438</v>
      </c>
      <c r="J144" s="19"/>
    </row>
    <row r="145" spans="1:10" x14ac:dyDescent="0.75">
      <c r="A145" s="12">
        <v>5050</v>
      </c>
      <c r="B145" s="13" t="s">
        <v>587</v>
      </c>
      <c r="C145" s="3">
        <f>SUMIF('Raw Data 07-31-2020'!$A$6:$A$254,'Q3 TB-20'!A145,'Raw Data 07-31-2020'!C$6:C$254)</f>
        <v>48689.5</v>
      </c>
      <c r="D145" s="4"/>
      <c r="E145" s="3">
        <f>SUMIF('Raw Data 07-31-2020'!$A$6:$A$254,'Q3 TB-20'!A145,'Raw Data 07-31-2020'!D$6:D$254)</f>
        <v>0</v>
      </c>
      <c r="F145" s="3"/>
      <c r="G145" s="3">
        <f t="shared" si="4"/>
        <v>48689.5</v>
      </c>
      <c r="H145" s="109" t="s">
        <v>438</v>
      </c>
      <c r="J145" s="19"/>
    </row>
    <row r="146" spans="1:10" x14ac:dyDescent="0.75">
      <c r="A146" s="12">
        <v>5060</v>
      </c>
      <c r="B146" s="13" t="s">
        <v>588</v>
      </c>
      <c r="C146" s="3">
        <f>SUMIF('Raw Data 07-31-2020'!$A$6:$A$254,'Q3 TB-20'!A146,'Raw Data 07-31-2020'!C$6:C$254)</f>
        <v>0</v>
      </c>
      <c r="D146" s="4"/>
      <c r="E146" s="3">
        <f>SUMIF('Raw Data 07-31-2020'!$A$6:$A$254,'Q3 TB-20'!A146,'Raw Data 07-31-2020'!D$6:D$254)</f>
        <v>0</v>
      </c>
      <c r="F146" s="3"/>
      <c r="G146" s="3">
        <f t="shared" si="4"/>
        <v>0</v>
      </c>
      <c r="H146" s="109" t="s">
        <v>438</v>
      </c>
      <c r="J146" s="19"/>
    </row>
    <row r="147" spans="1:10" x14ac:dyDescent="0.75">
      <c r="A147" s="12">
        <v>5070</v>
      </c>
      <c r="B147" s="13" t="s">
        <v>589</v>
      </c>
      <c r="C147" s="3">
        <f>SUMIF('Raw Data 07-31-2020'!$A$6:$A$254,'Q3 TB-20'!A147,'Raw Data 07-31-2020'!C$6:C$254)</f>
        <v>0</v>
      </c>
      <c r="D147" s="4"/>
      <c r="E147" s="3">
        <f>SUMIF('Raw Data 07-31-2020'!$A$6:$A$254,'Q3 TB-20'!A147,'Raw Data 07-31-2020'!D$6:D$254)</f>
        <v>0</v>
      </c>
      <c r="F147" s="3"/>
      <c r="G147" s="3">
        <f t="shared" si="4"/>
        <v>0</v>
      </c>
      <c r="H147" s="109" t="s">
        <v>438</v>
      </c>
      <c r="J147" s="19"/>
    </row>
    <row r="148" spans="1:10" x14ac:dyDescent="0.75">
      <c r="A148" s="12">
        <v>5080</v>
      </c>
      <c r="B148" s="13" t="s">
        <v>597</v>
      </c>
      <c r="C148" s="3">
        <f>SUMIF('Raw Data 07-31-2020'!$A$6:$A$254,'Q3 TB-20'!A148,'Raw Data 07-31-2020'!C$6:C$254)</f>
        <v>0</v>
      </c>
      <c r="D148" s="4"/>
      <c r="E148" s="3">
        <f>SUMIF('Raw Data 07-31-2020'!$A$6:$A$254,'Q3 TB-20'!A148,'Raw Data 07-31-2020'!D$6:D$254)</f>
        <v>0</v>
      </c>
      <c r="F148" s="3"/>
      <c r="G148" s="3">
        <f t="shared" si="4"/>
        <v>0</v>
      </c>
      <c r="H148" s="109" t="s">
        <v>438</v>
      </c>
      <c r="J148" s="19"/>
    </row>
    <row r="149" spans="1:10" x14ac:dyDescent="0.75">
      <c r="A149" s="12">
        <v>5085</v>
      </c>
      <c r="B149" s="13" t="s">
        <v>598</v>
      </c>
      <c r="C149" s="3">
        <f>SUMIF('Raw Data 07-31-2020'!$A$6:$A$254,'Q3 TB-20'!A149,'Raw Data 07-31-2020'!C$6:C$254)</f>
        <v>0</v>
      </c>
      <c r="D149" s="4"/>
      <c r="E149" s="3">
        <f>SUMIF('Raw Data 07-31-2020'!$A$6:$A$254,'Q3 TB-20'!A149,'Raw Data 07-31-2020'!D$6:D$254)</f>
        <v>0</v>
      </c>
      <c r="F149" s="3"/>
      <c r="G149" s="3">
        <f t="shared" si="4"/>
        <v>0</v>
      </c>
      <c r="H149" s="109" t="s">
        <v>438</v>
      </c>
      <c r="J149" s="19"/>
    </row>
    <row r="150" spans="1:10" x14ac:dyDescent="0.75">
      <c r="A150" s="12">
        <v>6010</v>
      </c>
      <c r="B150" s="13" t="s">
        <v>590</v>
      </c>
      <c r="C150" s="3">
        <f>SUMIF('Raw Data 07-31-2020'!$A$6:$A$254,'Q3 TB-20'!A150,'Raw Data 07-31-2020'!C$6:C$254)</f>
        <v>0</v>
      </c>
      <c r="D150" s="4"/>
      <c r="E150" s="3">
        <f>SUMIF('Raw Data 07-31-2020'!$A$6:$A$254,'Q3 TB-20'!A150,'Raw Data 07-31-2020'!D$6:D$254)</f>
        <v>0</v>
      </c>
      <c r="F150" s="3"/>
      <c r="G150" s="3">
        <f t="shared" si="4"/>
        <v>0</v>
      </c>
      <c r="H150" s="109" t="s">
        <v>439</v>
      </c>
      <c r="J150" s="19"/>
    </row>
    <row r="151" spans="1:10" x14ac:dyDescent="0.75">
      <c r="A151" s="12">
        <v>6015</v>
      </c>
      <c r="B151" s="13" t="s">
        <v>591</v>
      </c>
      <c r="C151" s="3">
        <f>SUMIF('Raw Data 07-31-2020'!$A$6:$A$254,'Q3 TB-20'!A151,'Raw Data 07-31-2020'!C$6:C$254)</f>
        <v>0</v>
      </c>
      <c r="D151" s="4"/>
      <c r="E151" s="3">
        <f>SUMIF('Raw Data 07-31-2020'!$A$6:$A$254,'Q3 TB-20'!A151,'Raw Data 07-31-2020'!D$6:D$254)</f>
        <v>0</v>
      </c>
      <c r="F151" s="3"/>
      <c r="G151" s="3">
        <f t="shared" si="4"/>
        <v>0</v>
      </c>
      <c r="H151" s="109" t="s">
        <v>439</v>
      </c>
      <c r="J151" s="19"/>
    </row>
    <row r="152" spans="1:10" x14ac:dyDescent="0.75">
      <c r="A152" s="12">
        <v>6020</v>
      </c>
      <c r="B152" s="13" t="s">
        <v>592</v>
      </c>
      <c r="C152" s="3">
        <f>SUMIF('Raw Data 07-31-2020'!$A$6:$A$254,'Q3 TB-20'!A152,'Raw Data 07-31-2020'!C$6:C$254)</f>
        <v>0</v>
      </c>
      <c r="D152" s="4"/>
      <c r="E152" s="3">
        <f>SUMIF('Raw Data 07-31-2020'!$A$6:$A$254,'Q3 TB-20'!A152,'Raw Data 07-31-2020'!D$6:D$254)</f>
        <v>0</v>
      </c>
      <c r="F152" s="3"/>
      <c r="G152" s="3">
        <f t="shared" si="4"/>
        <v>0</v>
      </c>
      <c r="H152" s="109" t="s">
        <v>439</v>
      </c>
      <c r="J152" s="19"/>
    </row>
    <row r="153" spans="1:10" x14ac:dyDescent="0.75">
      <c r="A153" s="12">
        <v>6025</v>
      </c>
      <c r="B153" s="13" t="s">
        <v>593</v>
      </c>
      <c r="C153" s="3">
        <f>SUMIF('Raw Data 07-31-2020'!$A$6:$A$254,'Q3 TB-20'!A153,'Raw Data 07-31-2020'!C$6:C$254)</f>
        <v>797.75</v>
      </c>
      <c r="D153" s="4"/>
      <c r="E153" s="3">
        <f>SUMIF('Raw Data 07-31-2020'!$A$6:$A$254,'Q3 TB-20'!A153,'Raw Data 07-31-2020'!D$6:D$254)</f>
        <v>0</v>
      </c>
      <c r="F153" s="3"/>
      <c r="G153" s="3">
        <f t="shared" si="4"/>
        <v>797.75</v>
      </c>
      <c r="H153" s="109" t="s">
        <v>439</v>
      </c>
      <c r="J153" s="19"/>
    </row>
    <row r="154" spans="1:10" x14ac:dyDescent="0.75">
      <c r="A154" s="12">
        <v>6030</v>
      </c>
      <c r="B154" s="13" t="s">
        <v>594</v>
      </c>
      <c r="C154" s="3">
        <f>SUMIF('Raw Data 07-31-2020'!$A$6:$A$254,'Q3 TB-20'!A154,'Raw Data 07-31-2020'!C$6:C$254)</f>
        <v>1347.94</v>
      </c>
      <c r="D154" s="4"/>
      <c r="E154" s="3">
        <f>SUMIF('Raw Data 07-31-2020'!$A$6:$A$254,'Q3 TB-20'!A154,'Raw Data 07-31-2020'!D$6:D$254)</f>
        <v>0</v>
      </c>
      <c r="F154" s="3"/>
      <c r="G154" s="3">
        <f t="shared" si="4"/>
        <v>1347.94</v>
      </c>
      <c r="H154" s="109" t="s">
        <v>439</v>
      </c>
      <c r="J154" s="19"/>
    </row>
    <row r="155" spans="1:10" x14ac:dyDescent="0.75">
      <c r="A155" s="12">
        <v>6035</v>
      </c>
      <c r="B155" s="13" t="s">
        <v>595</v>
      </c>
      <c r="C155" s="3">
        <f>SUMIF('Raw Data 07-31-2020'!$A$6:$A$254,'Q3 TB-20'!A155,'Raw Data 07-31-2020'!C$6:C$254)</f>
        <v>0</v>
      </c>
      <c r="D155" s="4"/>
      <c r="E155" s="3">
        <f>SUMIF('Raw Data 07-31-2020'!$A$6:$A$254,'Q3 TB-20'!A155,'Raw Data 07-31-2020'!D$6:D$254)</f>
        <v>0</v>
      </c>
      <c r="F155" s="3"/>
      <c r="G155" s="3">
        <f t="shared" si="4"/>
        <v>0</v>
      </c>
      <c r="H155" s="109" t="s">
        <v>439</v>
      </c>
      <c r="J155" s="19"/>
    </row>
    <row r="156" spans="1:10" x14ac:dyDescent="0.75">
      <c r="A156" s="12">
        <v>6040</v>
      </c>
      <c r="B156" s="13" t="s">
        <v>596</v>
      </c>
      <c r="C156" s="3">
        <f>SUMIF('Raw Data 07-31-2020'!$A$6:$A$254,'Q3 TB-20'!A156,'Raw Data 07-31-2020'!C$6:C$254)</f>
        <v>0</v>
      </c>
      <c r="D156" s="4"/>
      <c r="E156" s="3">
        <f>SUMIF('Raw Data 07-31-2020'!$A$6:$A$254,'Q3 TB-20'!A156,'Raw Data 07-31-2020'!D$6:D$254)</f>
        <v>0</v>
      </c>
      <c r="F156" s="3"/>
      <c r="G156" s="3">
        <f t="shared" si="4"/>
        <v>0</v>
      </c>
      <c r="H156" s="109" t="s">
        <v>439</v>
      </c>
      <c r="J156" s="19"/>
    </row>
    <row r="157" spans="1:10" x14ac:dyDescent="0.75">
      <c r="A157" s="12">
        <v>6055</v>
      </c>
      <c r="B157" s="13" t="s">
        <v>599</v>
      </c>
      <c r="C157" s="3">
        <f>SUMIF('Raw Data 07-31-2020'!$A$6:$A$254,'Q3 TB-20'!A157,'Raw Data 07-31-2020'!C$6:C$254)</f>
        <v>0</v>
      </c>
      <c r="D157" s="4"/>
      <c r="E157" s="3">
        <f>SUMIF('Raw Data 07-31-2020'!$A$6:$A$254,'Q3 TB-20'!A157,'Raw Data 07-31-2020'!D$6:D$254)</f>
        <v>0</v>
      </c>
      <c r="F157" s="3"/>
      <c r="G157" s="3">
        <f t="shared" si="4"/>
        <v>0</v>
      </c>
      <c r="H157" s="109" t="s">
        <v>439</v>
      </c>
      <c r="J157" s="19"/>
    </row>
    <row r="158" spans="1:10" x14ac:dyDescent="0.75">
      <c r="A158" s="12">
        <v>6060</v>
      </c>
      <c r="B158" s="13" t="s">
        <v>600</v>
      </c>
      <c r="C158" s="3">
        <f>SUMIF('Raw Data 07-31-2020'!$A$6:$A$254,'Q3 TB-20'!A158,'Raw Data 07-31-2020'!C$6:C$254)</f>
        <v>1050</v>
      </c>
      <c r="D158" s="4"/>
      <c r="E158" s="3">
        <f>SUMIF('Raw Data 07-31-2020'!$A$6:$A$254,'Q3 TB-20'!A158,'Raw Data 07-31-2020'!D$6:D$254)</f>
        <v>0</v>
      </c>
      <c r="F158" s="3"/>
      <c r="G158" s="3">
        <f t="shared" si="4"/>
        <v>1050</v>
      </c>
      <c r="H158" s="109" t="s">
        <v>439</v>
      </c>
      <c r="J158" s="19"/>
    </row>
    <row r="159" spans="1:10" x14ac:dyDescent="0.75">
      <c r="A159" s="12">
        <v>6065</v>
      </c>
      <c r="B159" s="13" t="s">
        <v>601</v>
      </c>
      <c r="C159" s="3">
        <f>SUMIF('Raw Data 07-31-2020'!$A$6:$A$254,'Q3 TB-20'!A159,'Raw Data 07-31-2020'!C$6:C$254)</f>
        <v>2500</v>
      </c>
      <c r="D159" s="4"/>
      <c r="E159" s="3">
        <f>SUMIF('Raw Data 07-31-2020'!$A$6:$A$254,'Q3 TB-20'!A159,'Raw Data 07-31-2020'!D$6:D$254)</f>
        <v>0</v>
      </c>
      <c r="F159" s="3"/>
      <c r="G159" s="3">
        <f t="shared" si="4"/>
        <v>2500</v>
      </c>
      <c r="H159" s="109" t="s">
        <v>439</v>
      </c>
      <c r="J159" s="19"/>
    </row>
    <row r="160" spans="1:10" x14ac:dyDescent="0.75">
      <c r="A160" s="12">
        <v>6070</v>
      </c>
      <c r="B160" s="13" t="s">
        <v>602</v>
      </c>
      <c r="C160" s="3">
        <f>SUMIF('Raw Data 07-31-2020'!$A$6:$A$254,'Q3 TB-20'!A160,'Raw Data 07-31-2020'!C$6:C$254)</f>
        <v>0</v>
      </c>
      <c r="D160" s="4"/>
      <c r="E160" s="3">
        <f>SUMIF('Raw Data 07-31-2020'!$A$6:$A$254,'Q3 TB-20'!A160,'Raw Data 07-31-2020'!D$6:D$254)</f>
        <v>0</v>
      </c>
      <c r="F160" s="3"/>
      <c r="G160" s="3">
        <f t="shared" si="4"/>
        <v>0</v>
      </c>
      <c r="H160" s="109" t="s">
        <v>439</v>
      </c>
      <c r="J160" s="19"/>
    </row>
    <row r="161" spans="1:10" x14ac:dyDescent="0.75">
      <c r="A161" s="12">
        <v>6075</v>
      </c>
      <c r="B161" s="13" t="s">
        <v>603</v>
      </c>
      <c r="C161" s="3">
        <f>SUMIF('Raw Data 07-31-2020'!$A$6:$A$254,'Q3 TB-20'!A161,'Raw Data 07-31-2020'!C$6:C$254)</f>
        <v>54984.92</v>
      </c>
      <c r="D161" s="4"/>
      <c r="E161" s="3">
        <f>SUMIF('Raw Data 07-31-2020'!$A$6:$A$254,'Q3 TB-20'!A161,'Raw Data 07-31-2020'!D$6:D$254)</f>
        <v>0</v>
      </c>
      <c r="F161" s="3"/>
      <c r="G161" s="3">
        <f t="shared" si="4"/>
        <v>54984.92</v>
      </c>
      <c r="H161" s="109" t="s">
        <v>439</v>
      </c>
      <c r="J161" s="19"/>
    </row>
    <row r="162" spans="1:10" x14ac:dyDescent="0.75">
      <c r="A162" s="12">
        <v>6080</v>
      </c>
      <c r="B162" s="13" t="s">
        <v>604</v>
      </c>
      <c r="C162" s="3">
        <f>SUMIF('Raw Data 07-31-2020'!$A$6:$A$254,'Q3 TB-20'!A162,'Raw Data 07-31-2020'!C$6:C$254)</f>
        <v>0</v>
      </c>
      <c r="D162" s="4"/>
      <c r="E162" s="3">
        <f>SUMIF('Raw Data 07-31-2020'!$A$6:$A$254,'Q3 TB-20'!A162,'Raw Data 07-31-2020'!D$6:D$254)</f>
        <v>0</v>
      </c>
      <c r="F162" s="3"/>
      <c r="G162" s="3">
        <f t="shared" si="4"/>
        <v>0</v>
      </c>
      <c r="H162" s="109" t="s">
        <v>439</v>
      </c>
      <c r="J162" s="19"/>
    </row>
    <row r="163" spans="1:10" x14ac:dyDescent="0.75">
      <c r="A163" s="12">
        <v>6085</v>
      </c>
      <c r="B163" s="13" t="s">
        <v>605</v>
      </c>
      <c r="C163" s="3">
        <f>SUMIF('Raw Data 07-31-2020'!$A$6:$A$254,'Q3 TB-20'!A163,'Raw Data 07-31-2020'!C$6:C$254)</f>
        <v>2833.1</v>
      </c>
      <c r="D163" s="4"/>
      <c r="E163" s="3">
        <f>SUMIF('Raw Data 07-31-2020'!$A$6:$A$254,'Q3 TB-20'!A163,'Raw Data 07-31-2020'!D$6:D$254)</f>
        <v>0</v>
      </c>
      <c r="F163" s="3"/>
      <c r="G163" s="3">
        <f t="shared" si="4"/>
        <v>2833.1</v>
      </c>
      <c r="H163" s="109" t="s">
        <v>439</v>
      </c>
      <c r="J163" s="19"/>
    </row>
    <row r="164" spans="1:10" x14ac:dyDescent="0.75">
      <c r="A164" s="12">
        <v>6090</v>
      </c>
      <c r="B164" s="13" t="s">
        <v>606</v>
      </c>
      <c r="C164" s="3">
        <f>SUMIF('Raw Data 07-31-2020'!$A$6:$A$254,'Q3 TB-20'!A164,'Raw Data 07-31-2020'!C$6:C$254)</f>
        <v>0</v>
      </c>
      <c r="D164" s="4"/>
      <c r="E164" s="3">
        <f>SUMIF('Raw Data 07-31-2020'!$A$6:$A$254,'Q3 TB-20'!A164,'Raw Data 07-31-2020'!D$6:D$254)</f>
        <v>0</v>
      </c>
      <c r="F164" s="3"/>
      <c r="G164" s="3">
        <f t="shared" si="4"/>
        <v>0</v>
      </c>
      <c r="H164" s="109" t="s">
        <v>439</v>
      </c>
      <c r="J164" s="19"/>
    </row>
    <row r="165" spans="1:10" x14ac:dyDescent="0.75">
      <c r="A165" s="12">
        <v>6095</v>
      </c>
      <c r="B165" s="13" t="s">
        <v>607</v>
      </c>
      <c r="C165" s="3">
        <f>SUMIF('Raw Data 07-31-2020'!$A$6:$A$254,'Q3 TB-20'!A165,'Raw Data 07-31-2020'!C$6:C$254)</f>
        <v>0</v>
      </c>
      <c r="D165" s="4"/>
      <c r="E165" s="3">
        <f>SUMIF('Raw Data 07-31-2020'!$A$6:$A$254,'Q3 TB-20'!A165,'Raw Data 07-31-2020'!D$6:D$254)</f>
        <v>0</v>
      </c>
      <c r="F165" s="3"/>
      <c r="G165" s="3">
        <f t="shared" si="4"/>
        <v>0</v>
      </c>
      <c r="H165" s="109" t="s">
        <v>439</v>
      </c>
      <c r="J165" s="19"/>
    </row>
    <row r="166" spans="1:10" x14ac:dyDescent="0.75">
      <c r="A166" s="12">
        <v>6100</v>
      </c>
      <c r="B166" s="13" t="s">
        <v>608</v>
      </c>
      <c r="C166" s="3">
        <f>SUMIF('Raw Data 07-31-2020'!$A$6:$A$254,'Q3 TB-20'!A166,'Raw Data 07-31-2020'!C$6:C$254)</f>
        <v>540.24</v>
      </c>
      <c r="D166" s="4"/>
      <c r="E166" s="3">
        <f>SUMIF('Raw Data 07-31-2020'!$A$6:$A$254,'Q3 TB-20'!A166,'Raw Data 07-31-2020'!D$6:D$254)</f>
        <v>0</v>
      </c>
      <c r="F166" s="3"/>
      <c r="G166" s="3">
        <f t="shared" si="4"/>
        <v>540.24</v>
      </c>
      <c r="H166" s="109" t="s">
        <v>439</v>
      </c>
      <c r="J166" s="19"/>
    </row>
    <row r="167" spans="1:10" x14ac:dyDescent="0.75">
      <c r="A167" s="12">
        <v>6105</v>
      </c>
      <c r="B167" s="13" t="s">
        <v>609</v>
      </c>
      <c r="C167" s="3">
        <f>SUMIF('Raw Data 07-31-2020'!$A$6:$A$254,'Q3 TB-20'!A167,'Raw Data 07-31-2020'!C$6:C$254)</f>
        <v>3442.38</v>
      </c>
      <c r="D167" s="4"/>
      <c r="E167" s="3">
        <f>SUMIF('Raw Data 07-31-2020'!$A$6:$A$254,'Q3 TB-20'!A167,'Raw Data 07-31-2020'!D$6:D$254)</f>
        <v>0</v>
      </c>
      <c r="F167" s="3"/>
      <c r="G167" s="3">
        <f t="shared" si="4"/>
        <v>3442.38</v>
      </c>
      <c r="H167" s="109" t="s">
        <v>439</v>
      </c>
      <c r="J167" s="19"/>
    </row>
    <row r="168" spans="1:10" x14ac:dyDescent="0.75">
      <c r="A168" s="12">
        <v>6110</v>
      </c>
      <c r="B168" s="13" t="s">
        <v>610</v>
      </c>
      <c r="C168" s="3">
        <f>SUMIF('Raw Data 07-31-2020'!$A$6:$A$254,'Q3 TB-20'!A168,'Raw Data 07-31-2020'!C$6:C$254)</f>
        <v>0</v>
      </c>
      <c r="D168" s="4"/>
      <c r="E168" s="3">
        <f>SUMIF('Raw Data 07-31-2020'!$A$6:$A$254,'Q3 TB-20'!A168,'Raw Data 07-31-2020'!D$6:D$254)</f>
        <v>0</v>
      </c>
      <c r="F168" s="3"/>
      <c r="G168" s="3">
        <f t="shared" si="4"/>
        <v>0</v>
      </c>
      <c r="H168" s="109" t="s">
        <v>439</v>
      </c>
      <c r="J168" s="19"/>
    </row>
    <row r="169" spans="1:10" x14ac:dyDescent="0.75">
      <c r="A169" s="12">
        <v>6115</v>
      </c>
      <c r="B169" s="13" t="s">
        <v>611</v>
      </c>
      <c r="C169" s="3">
        <f>SUMIF('Raw Data 07-31-2020'!$A$6:$A$254,'Q3 TB-20'!A169,'Raw Data 07-31-2020'!C$6:C$254)</f>
        <v>0</v>
      </c>
      <c r="D169" s="4"/>
      <c r="E169" s="3">
        <f>SUMIF('Raw Data 07-31-2020'!$A$6:$A$254,'Q3 TB-20'!A169,'Raw Data 07-31-2020'!D$6:D$254)</f>
        <v>0</v>
      </c>
      <c r="F169" s="3"/>
      <c r="G169" s="3">
        <f t="shared" si="4"/>
        <v>0</v>
      </c>
      <c r="H169" s="109" t="s">
        <v>439</v>
      </c>
      <c r="J169" s="19"/>
    </row>
    <row r="170" spans="1:10" x14ac:dyDescent="0.75">
      <c r="A170" s="12">
        <v>6120</v>
      </c>
      <c r="B170" s="13" t="s">
        <v>612</v>
      </c>
      <c r="C170" s="3">
        <f>SUMIF('Raw Data 07-31-2020'!$A$6:$A$254,'Q3 TB-20'!A170,'Raw Data 07-31-2020'!C$6:C$254)</f>
        <v>1098.92</v>
      </c>
      <c r="D170" s="4"/>
      <c r="E170" s="3">
        <f>SUMIF('Raw Data 07-31-2020'!$A$6:$A$254,'Q3 TB-20'!A170,'Raw Data 07-31-2020'!D$6:D$254)</f>
        <v>0</v>
      </c>
      <c r="F170" s="3"/>
      <c r="G170" s="3">
        <f t="shared" si="4"/>
        <v>1098.92</v>
      </c>
      <c r="H170" s="109" t="s">
        <v>439</v>
      </c>
      <c r="J170" s="19"/>
    </row>
    <row r="171" spans="1:10" x14ac:dyDescent="0.75">
      <c r="A171" s="12">
        <v>6125</v>
      </c>
      <c r="B171" s="13" t="s">
        <v>613</v>
      </c>
      <c r="C171" s="3">
        <f>SUMIF('Raw Data 07-31-2020'!$A$6:$A$254,'Q3 TB-20'!A171,'Raw Data 07-31-2020'!C$6:C$254)</f>
        <v>0</v>
      </c>
      <c r="D171" s="4"/>
      <c r="E171" s="3">
        <f>SUMIF('Raw Data 07-31-2020'!$A$6:$A$254,'Q3 TB-20'!A171,'Raw Data 07-31-2020'!D$6:D$254)</f>
        <v>0</v>
      </c>
      <c r="F171" s="3"/>
      <c r="G171" s="3">
        <f t="shared" si="4"/>
        <v>0</v>
      </c>
      <c r="H171" s="109" t="s">
        <v>439</v>
      </c>
      <c r="J171" s="19"/>
    </row>
    <row r="172" spans="1:10" x14ac:dyDescent="0.75">
      <c r="A172" s="12">
        <v>6130</v>
      </c>
      <c r="B172" s="13" t="s">
        <v>614</v>
      </c>
      <c r="C172" s="3">
        <f>SUMIF('Raw Data 07-31-2020'!$A$6:$A$254,'Q3 TB-20'!A172,'Raw Data 07-31-2020'!C$6:C$254)</f>
        <v>0</v>
      </c>
      <c r="D172" s="4"/>
      <c r="E172" s="3">
        <f>SUMIF('Raw Data 07-31-2020'!$A$6:$A$254,'Q3 TB-20'!A172,'Raw Data 07-31-2020'!D$6:D$254)</f>
        <v>0</v>
      </c>
      <c r="F172" s="3"/>
      <c r="G172" s="3">
        <f t="shared" si="4"/>
        <v>0</v>
      </c>
      <c r="H172" s="109" t="s">
        <v>439</v>
      </c>
      <c r="J172" s="19"/>
    </row>
    <row r="173" spans="1:10" x14ac:dyDescent="0.75">
      <c r="A173" s="12">
        <v>6135</v>
      </c>
      <c r="B173" s="13" t="s">
        <v>615</v>
      </c>
      <c r="C173" s="3">
        <f>SUMIF('Raw Data 07-31-2020'!$A$6:$A$254,'Q3 TB-20'!A173,'Raw Data 07-31-2020'!C$6:C$254)</f>
        <v>15591.88</v>
      </c>
      <c r="D173" s="4"/>
      <c r="E173" s="3">
        <f>SUMIF('Raw Data 07-31-2020'!$A$6:$A$254,'Q3 TB-20'!A173,'Raw Data 07-31-2020'!D$6:D$254)</f>
        <v>0</v>
      </c>
      <c r="F173" s="3"/>
      <c r="G173" s="3">
        <f t="shared" si="4"/>
        <v>15591.88</v>
      </c>
      <c r="H173" s="109" t="s">
        <v>439</v>
      </c>
      <c r="J173" s="19"/>
    </row>
    <row r="174" spans="1:10" x14ac:dyDescent="0.75">
      <c r="A174" s="12">
        <v>6140</v>
      </c>
      <c r="B174" s="13" t="s">
        <v>616</v>
      </c>
      <c r="C174" s="3">
        <f>SUMIF('Raw Data 07-31-2020'!$A$6:$A$254,'Q3 TB-20'!A174,'Raw Data 07-31-2020'!C$6:C$254)</f>
        <v>0</v>
      </c>
      <c r="D174" s="4"/>
      <c r="E174" s="3">
        <f>SUMIF('Raw Data 07-31-2020'!$A$6:$A$254,'Q3 TB-20'!A174,'Raw Data 07-31-2020'!D$6:D$254)</f>
        <v>0</v>
      </c>
      <c r="F174" s="3"/>
      <c r="G174" s="3">
        <f t="shared" si="4"/>
        <v>0</v>
      </c>
      <c r="H174" s="109" t="s">
        <v>439</v>
      </c>
      <c r="J174" s="19"/>
    </row>
    <row r="175" spans="1:10" x14ac:dyDescent="0.75">
      <c r="A175" s="12">
        <v>6145</v>
      </c>
      <c r="B175" s="13" t="s">
        <v>617</v>
      </c>
      <c r="C175" s="3">
        <f>SUMIF('Raw Data 07-31-2020'!$A$6:$A$254,'Q3 TB-20'!A175,'Raw Data 07-31-2020'!C$6:C$254)</f>
        <v>0</v>
      </c>
      <c r="D175" s="4"/>
      <c r="E175" s="3">
        <f>SUMIF('Raw Data 07-31-2020'!$A$6:$A$254,'Q3 TB-20'!A175,'Raw Data 07-31-2020'!D$6:D$254)</f>
        <v>0</v>
      </c>
      <c r="F175" s="3"/>
      <c r="G175" s="3">
        <f t="shared" si="4"/>
        <v>0</v>
      </c>
      <c r="H175" s="109" t="s">
        <v>439</v>
      </c>
      <c r="J175" s="19"/>
    </row>
    <row r="176" spans="1:10" x14ac:dyDescent="0.75">
      <c r="A176" s="12">
        <v>6150</v>
      </c>
      <c r="B176" s="13" t="s">
        <v>618</v>
      </c>
      <c r="C176" s="3">
        <f>SUMIF('Raw Data 07-31-2020'!$A$6:$A$254,'Q3 TB-20'!A176,'Raw Data 07-31-2020'!C$6:C$254)</f>
        <v>6163</v>
      </c>
      <c r="D176" s="4"/>
      <c r="E176" s="3">
        <f>SUMIF('Raw Data 07-31-2020'!$A$6:$A$254,'Q3 TB-20'!A176,'Raw Data 07-31-2020'!D$6:D$254)</f>
        <v>0</v>
      </c>
      <c r="F176" s="3"/>
      <c r="G176" s="3">
        <f t="shared" si="4"/>
        <v>6163</v>
      </c>
      <c r="H176" s="109" t="s">
        <v>439</v>
      </c>
      <c r="J176" s="19"/>
    </row>
    <row r="177" spans="1:10" x14ac:dyDescent="0.75">
      <c r="A177" s="12">
        <v>6155</v>
      </c>
      <c r="B177" s="13" t="s">
        <v>619</v>
      </c>
      <c r="C177" s="3">
        <f>SUMIF('Raw Data 07-31-2020'!$A$6:$A$254,'Q3 TB-20'!A177,'Raw Data 07-31-2020'!C$6:C$254)</f>
        <v>11191.95</v>
      </c>
      <c r="D177" s="4"/>
      <c r="E177" s="3">
        <f>SUMIF('Raw Data 07-31-2020'!$A$6:$A$254,'Q3 TB-20'!A177,'Raw Data 07-31-2020'!D$6:D$254)</f>
        <v>0</v>
      </c>
      <c r="F177" s="3"/>
      <c r="G177" s="3">
        <f t="shared" si="4"/>
        <v>11191.95</v>
      </c>
      <c r="H177" s="109" t="s">
        <v>439</v>
      </c>
      <c r="J177" s="19"/>
    </row>
    <row r="178" spans="1:10" x14ac:dyDescent="0.75">
      <c r="A178" s="12">
        <v>6200</v>
      </c>
      <c r="B178" s="13" t="s">
        <v>625</v>
      </c>
      <c r="C178" s="3">
        <f>SUMIF('Raw Data 07-31-2020'!$A$6:$A$254,'Q3 TB-20'!A178,'Raw Data 07-31-2020'!C$6:C$254)</f>
        <v>0</v>
      </c>
      <c r="D178" s="4"/>
      <c r="E178" s="3">
        <f>SUMIF('Raw Data 07-31-2020'!$A$6:$A$254,'Q3 TB-20'!A178,'Raw Data 07-31-2020'!D$6:D$254)</f>
        <v>0</v>
      </c>
      <c r="F178" s="3"/>
      <c r="G178" s="3">
        <f t="shared" si="4"/>
        <v>0</v>
      </c>
      <c r="H178" s="109" t="s">
        <v>439</v>
      </c>
      <c r="J178" s="19"/>
    </row>
    <row r="179" spans="1:10" x14ac:dyDescent="0.75">
      <c r="A179" s="12">
        <v>6205</v>
      </c>
      <c r="B179" s="13" t="s">
        <v>626</v>
      </c>
      <c r="C179" s="3">
        <f>SUMIF('Raw Data 07-31-2020'!$A$6:$A$254,'Q3 TB-20'!A179,'Raw Data 07-31-2020'!C$6:C$254)</f>
        <v>0</v>
      </c>
      <c r="D179" s="4"/>
      <c r="E179" s="3">
        <f>SUMIF('Raw Data 07-31-2020'!$A$6:$A$254,'Q3 TB-20'!A179,'Raw Data 07-31-2020'!D$6:D$254)</f>
        <v>0</v>
      </c>
      <c r="F179" s="3"/>
      <c r="G179" s="3">
        <f t="shared" si="4"/>
        <v>0</v>
      </c>
      <c r="H179" s="109" t="s">
        <v>439</v>
      </c>
      <c r="J179" s="19"/>
    </row>
    <row r="180" spans="1:10" x14ac:dyDescent="0.75">
      <c r="A180" s="12">
        <v>6210</v>
      </c>
      <c r="B180" s="13" t="s">
        <v>627</v>
      </c>
      <c r="C180" s="3">
        <f>SUMIF('Raw Data 07-31-2020'!$A$6:$A$254,'Q3 TB-20'!A180,'Raw Data 07-31-2020'!C$6:C$254)</f>
        <v>802.67</v>
      </c>
      <c r="D180" s="4"/>
      <c r="E180" s="3">
        <f>SUMIF('Raw Data 07-31-2020'!$A$6:$A$254,'Q3 TB-20'!A180,'Raw Data 07-31-2020'!D$6:D$254)</f>
        <v>0</v>
      </c>
      <c r="F180" s="3"/>
      <c r="G180" s="3">
        <f t="shared" si="4"/>
        <v>802.67</v>
      </c>
      <c r="H180" s="109" t="s">
        <v>439</v>
      </c>
      <c r="J180" s="19"/>
    </row>
    <row r="181" spans="1:10" x14ac:dyDescent="0.75">
      <c r="A181" s="12">
        <v>6215</v>
      </c>
      <c r="B181" s="13" t="s">
        <v>628</v>
      </c>
      <c r="C181" s="3">
        <f>SUMIF('Raw Data 07-31-2020'!$A$6:$A$254,'Q3 TB-20'!A181,'Raw Data 07-31-2020'!C$6:C$254)</f>
        <v>1303.83</v>
      </c>
      <c r="D181" s="4"/>
      <c r="E181" s="3">
        <f>SUMIF('Raw Data 07-31-2020'!$A$6:$A$254,'Q3 TB-20'!A181,'Raw Data 07-31-2020'!D$6:D$254)</f>
        <v>0</v>
      </c>
      <c r="F181" s="3"/>
      <c r="G181" s="3">
        <f t="shared" si="4"/>
        <v>1303.83</v>
      </c>
      <c r="H181" s="109" t="s">
        <v>439</v>
      </c>
      <c r="J181" s="19"/>
    </row>
    <row r="182" spans="1:10" x14ac:dyDescent="0.75">
      <c r="A182" s="12">
        <v>6220</v>
      </c>
      <c r="B182" s="13" t="s">
        <v>629</v>
      </c>
      <c r="C182" s="3">
        <f>SUMIF('Raw Data 07-31-2020'!$A$6:$A$254,'Q3 TB-20'!A182,'Raw Data 07-31-2020'!C$6:C$254)</f>
        <v>5894.99</v>
      </c>
      <c r="D182" s="4"/>
      <c r="E182" s="3">
        <f>SUMIF('Raw Data 07-31-2020'!$A$6:$A$254,'Q3 TB-20'!A182,'Raw Data 07-31-2020'!D$6:D$254)</f>
        <v>0</v>
      </c>
      <c r="F182" s="3"/>
      <c r="G182" s="3">
        <f t="shared" si="4"/>
        <v>5894.99</v>
      </c>
      <c r="H182" s="109" t="s">
        <v>439</v>
      </c>
      <c r="J182" s="19"/>
    </row>
    <row r="183" spans="1:10" x14ac:dyDescent="0.75">
      <c r="A183" s="12">
        <v>6225</v>
      </c>
      <c r="B183" s="13" t="s">
        <v>630</v>
      </c>
      <c r="C183" s="3">
        <f>SUMIF('Raw Data 07-31-2020'!$A$6:$A$254,'Q3 TB-20'!A183,'Raw Data 07-31-2020'!C$6:C$254)</f>
        <v>0</v>
      </c>
      <c r="D183" s="4"/>
      <c r="E183" s="3">
        <f>SUMIF('Raw Data 07-31-2020'!$A$6:$A$254,'Q3 TB-20'!A183,'Raw Data 07-31-2020'!D$6:D$254)</f>
        <v>0</v>
      </c>
      <c r="F183" s="3"/>
      <c r="G183" s="3">
        <f t="shared" si="4"/>
        <v>0</v>
      </c>
      <c r="H183" s="109" t="s">
        <v>439</v>
      </c>
      <c r="J183" s="19"/>
    </row>
    <row r="184" spans="1:10" x14ac:dyDescent="0.75">
      <c r="A184" s="12">
        <v>6230</v>
      </c>
      <c r="B184" s="13" t="s">
        <v>631</v>
      </c>
      <c r="C184" s="3">
        <f>SUMIF('Raw Data 07-31-2020'!$A$6:$A$254,'Q3 TB-20'!A184,'Raw Data 07-31-2020'!C$6:C$254)</f>
        <v>0</v>
      </c>
      <c r="D184" s="4"/>
      <c r="E184" s="3">
        <f>SUMIF('Raw Data 07-31-2020'!$A$6:$A$254,'Q3 TB-20'!A184,'Raw Data 07-31-2020'!D$6:D$254)</f>
        <v>0</v>
      </c>
      <c r="F184" s="3"/>
      <c r="G184" s="3">
        <f t="shared" si="4"/>
        <v>0</v>
      </c>
      <c r="H184" s="109" t="s">
        <v>439</v>
      </c>
      <c r="J184" s="19"/>
    </row>
    <row r="185" spans="1:10" x14ac:dyDescent="0.75">
      <c r="A185" s="12">
        <v>6235</v>
      </c>
      <c r="B185" s="13" t="s">
        <v>632</v>
      </c>
      <c r="C185" s="3">
        <f>SUMIF('Raw Data 07-31-2020'!$A$6:$A$254,'Q3 TB-20'!A185,'Raw Data 07-31-2020'!C$6:C$254)</f>
        <v>0</v>
      </c>
      <c r="D185" s="4"/>
      <c r="E185" s="3">
        <f>SUMIF('Raw Data 07-31-2020'!$A$6:$A$254,'Q3 TB-20'!A185,'Raw Data 07-31-2020'!D$6:D$254)</f>
        <v>0</v>
      </c>
      <c r="F185" s="3"/>
      <c r="G185" s="3">
        <f t="shared" si="4"/>
        <v>0</v>
      </c>
      <c r="H185" s="109" t="s">
        <v>439</v>
      </c>
      <c r="J185" s="19"/>
    </row>
    <row r="186" spans="1:10" x14ac:dyDescent="0.75">
      <c r="A186" s="12">
        <v>6240</v>
      </c>
      <c r="B186" s="13" t="s">
        <v>633</v>
      </c>
      <c r="C186" s="3">
        <f>SUMIF('Raw Data 07-31-2020'!$A$6:$A$254,'Q3 TB-20'!A186,'Raw Data 07-31-2020'!C$6:C$254)</f>
        <v>0</v>
      </c>
      <c r="D186" s="4"/>
      <c r="E186" s="3">
        <f>SUMIF('Raw Data 07-31-2020'!$A$6:$A$254,'Q3 TB-20'!A186,'Raw Data 07-31-2020'!D$6:D$254)</f>
        <v>0</v>
      </c>
      <c r="F186" s="3"/>
      <c r="G186" s="3">
        <f t="shared" si="4"/>
        <v>0</v>
      </c>
      <c r="H186" s="109" t="s">
        <v>439</v>
      </c>
      <c r="J186" s="19"/>
    </row>
    <row r="187" spans="1:10" x14ac:dyDescent="0.75">
      <c r="A187" s="12">
        <v>6245</v>
      </c>
      <c r="B187" s="13" t="s">
        <v>634</v>
      </c>
      <c r="C187" s="3">
        <f>SUMIF('Raw Data 07-31-2020'!$A$6:$A$254,'Q3 TB-20'!A187,'Raw Data 07-31-2020'!C$6:C$254)</f>
        <v>1382.79</v>
      </c>
      <c r="D187" s="4"/>
      <c r="E187" s="3">
        <f>SUMIF('Raw Data 07-31-2020'!$A$6:$A$254,'Q3 TB-20'!A187,'Raw Data 07-31-2020'!D$6:D$254)</f>
        <v>0</v>
      </c>
      <c r="F187" s="3"/>
      <c r="G187" s="3">
        <f t="shared" si="4"/>
        <v>1382.79</v>
      </c>
      <c r="H187" s="109" t="s">
        <v>439</v>
      </c>
      <c r="J187" s="19"/>
    </row>
    <row r="188" spans="1:10" x14ac:dyDescent="0.75">
      <c r="A188" s="12">
        <v>6250</v>
      </c>
      <c r="B188" s="13" t="s">
        <v>635</v>
      </c>
      <c r="C188" s="3">
        <f>SUMIF('Raw Data 07-31-2020'!$A$6:$A$254,'Q3 TB-20'!A188,'Raw Data 07-31-2020'!C$6:C$254)</f>
        <v>0</v>
      </c>
      <c r="D188" s="4"/>
      <c r="E188" s="3">
        <f>SUMIF('Raw Data 07-31-2020'!$A$6:$A$254,'Q3 TB-20'!A188,'Raw Data 07-31-2020'!D$6:D$254)</f>
        <v>0</v>
      </c>
      <c r="F188" s="3"/>
      <c r="G188" s="3">
        <f t="shared" si="4"/>
        <v>0</v>
      </c>
      <c r="H188" s="109" t="s">
        <v>439</v>
      </c>
      <c r="J188" s="19"/>
    </row>
    <row r="189" spans="1:10" x14ac:dyDescent="0.75">
      <c r="A189" s="14">
        <v>6255</v>
      </c>
      <c r="B189" s="13" t="s">
        <v>636</v>
      </c>
      <c r="C189" s="3">
        <f>SUMIF('Raw Data 07-31-2020'!$A$6:$A$254,'Q3 TB-20'!A189,'Raw Data 07-31-2020'!C$6:C$254)</f>
        <v>24.88</v>
      </c>
      <c r="D189" s="4"/>
      <c r="E189" s="3">
        <f>SUMIF('Raw Data 07-31-2020'!$A$6:$A$254,'Q3 TB-20'!A189,'Raw Data 07-31-2020'!D$6:D$254)</f>
        <v>0</v>
      </c>
      <c r="F189" s="3"/>
      <c r="G189" s="3">
        <f t="shared" si="4"/>
        <v>24.88</v>
      </c>
      <c r="H189" s="109" t="s">
        <v>439</v>
      </c>
      <c r="J189" s="19"/>
    </row>
    <row r="190" spans="1:10" x14ac:dyDescent="0.75">
      <c r="A190" s="14">
        <v>6260</v>
      </c>
      <c r="B190" s="13" t="s">
        <v>637</v>
      </c>
      <c r="C190" s="3">
        <f>SUMIF('Raw Data 07-31-2020'!$A$6:$A$254,'Q3 TB-20'!A190,'Raw Data 07-31-2020'!C$6:C$254)</f>
        <v>640.27</v>
      </c>
      <c r="D190" s="4"/>
      <c r="E190" s="3">
        <f>SUMIF('Raw Data 07-31-2020'!$A$6:$A$254,'Q3 TB-20'!A190,'Raw Data 07-31-2020'!D$6:D$254)</f>
        <v>0</v>
      </c>
      <c r="F190" s="3"/>
      <c r="G190" s="3">
        <f t="shared" si="4"/>
        <v>640.27</v>
      </c>
      <c r="H190" s="109" t="s">
        <v>439</v>
      </c>
      <c r="J190" s="19"/>
    </row>
    <row r="191" spans="1:10" x14ac:dyDescent="0.75">
      <c r="A191" s="14">
        <v>6265</v>
      </c>
      <c r="B191" s="13" t="s">
        <v>638</v>
      </c>
      <c r="C191" s="3">
        <f>SUMIF('Raw Data 07-31-2020'!$A$6:$A$254,'Q3 TB-20'!A191,'Raw Data 07-31-2020'!C$6:C$254)</f>
        <v>0</v>
      </c>
      <c r="D191" s="4"/>
      <c r="E191" s="3">
        <f>SUMIF('Raw Data 07-31-2020'!$A$6:$A$254,'Q3 TB-20'!A191,'Raw Data 07-31-2020'!D$6:D$254)</f>
        <v>0</v>
      </c>
      <c r="F191" s="3"/>
      <c r="G191" s="3">
        <f t="shared" si="4"/>
        <v>0</v>
      </c>
      <c r="H191" s="109" t="s">
        <v>439</v>
      </c>
      <c r="J191" s="19"/>
    </row>
    <row r="192" spans="1:10" x14ac:dyDescent="0.75">
      <c r="A192" s="14">
        <v>6270</v>
      </c>
      <c r="B192" s="13" t="s">
        <v>639</v>
      </c>
      <c r="C192" s="3">
        <f>SUMIF('Raw Data 07-31-2020'!$A$6:$A$254,'Q3 TB-20'!A192,'Raw Data 07-31-2020'!C$6:C$254)</f>
        <v>221798.7</v>
      </c>
      <c r="D192" s="4"/>
      <c r="E192" s="3">
        <f>SUMIF('Raw Data 07-31-2020'!$A$6:$A$254,'Q3 TB-20'!A192,'Raw Data 07-31-2020'!D$6:D$254)</f>
        <v>0</v>
      </c>
      <c r="F192" s="3"/>
      <c r="G192" s="3">
        <f t="shared" si="4"/>
        <v>221798.7</v>
      </c>
      <c r="H192" s="109" t="s">
        <v>439</v>
      </c>
      <c r="J192" s="19"/>
    </row>
    <row r="193" spans="1:10" s="6" customFormat="1" x14ac:dyDescent="0.75">
      <c r="A193" s="12">
        <v>6275</v>
      </c>
      <c r="B193" s="13" t="s">
        <v>640</v>
      </c>
      <c r="C193" s="3">
        <f>SUMIF('Raw Data 07-31-2020'!$A$6:$A$254,'Q3 TB-20'!A193,'Raw Data 07-31-2020'!C$6:C$254)</f>
        <v>104693.46</v>
      </c>
      <c r="D193" s="4"/>
      <c r="E193" s="3">
        <f>SUMIF('Raw Data 07-31-2020'!$A$6:$A$254,'Q3 TB-20'!A193,'Raw Data 07-31-2020'!D$6:D$254)</f>
        <v>0</v>
      </c>
      <c r="F193" s="3"/>
      <c r="G193" s="3">
        <f t="shared" si="4"/>
        <v>104693.46</v>
      </c>
      <c r="H193" s="109" t="s">
        <v>439</v>
      </c>
      <c r="I193" s="85"/>
      <c r="J193" s="19"/>
    </row>
    <row r="194" spans="1:10" x14ac:dyDescent="0.75">
      <c r="A194" s="14">
        <v>6280</v>
      </c>
      <c r="B194" s="13" t="s">
        <v>641</v>
      </c>
      <c r="C194" s="3">
        <f>SUMIF('Raw Data 07-31-2020'!$A$6:$A$254,'Q3 TB-20'!A194,'Raw Data 07-31-2020'!C$6:C$254)</f>
        <v>32797.67</v>
      </c>
      <c r="D194" s="4"/>
      <c r="E194" s="3">
        <f>SUMIF('Raw Data 07-31-2020'!$A$6:$A$254,'Q3 TB-20'!A194,'Raw Data 07-31-2020'!D$6:D$254)</f>
        <v>0</v>
      </c>
      <c r="F194" s="3"/>
      <c r="G194" s="3">
        <f t="shared" si="4"/>
        <v>32797.67</v>
      </c>
      <c r="H194" s="109" t="s">
        <v>439</v>
      </c>
      <c r="J194" s="19"/>
    </row>
    <row r="195" spans="1:10" x14ac:dyDescent="0.75">
      <c r="A195" s="12">
        <v>6285</v>
      </c>
      <c r="B195" s="13" t="s">
        <v>642</v>
      </c>
      <c r="C195" s="3">
        <f>SUMIF('Raw Data 07-31-2020'!$A$6:$A$254,'Q3 TB-20'!A195,'Raw Data 07-31-2020'!C$6:C$254)</f>
        <v>0</v>
      </c>
      <c r="D195" s="4"/>
      <c r="E195" s="3">
        <f>SUMIF('Raw Data 07-31-2020'!$A$6:$A$254,'Q3 TB-20'!A195,'Raw Data 07-31-2020'!D$6:D$254)</f>
        <v>0</v>
      </c>
      <c r="F195" s="3"/>
      <c r="G195" s="3">
        <f t="shared" si="4"/>
        <v>0</v>
      </c>
      <c r="H195" s="109" t="s">
        <v>439</v>
      </c>
      <c r="J195" s="19"/>
    </row>
    <row r="196" spans="1:10" x14ac:dyDescent="0.75">
      <c r="A196" s="14">
        <v>6290</v>
      </c>
      <c r="B196" s="13" t="s">
        <v>643</v>
      </c>
      <c r="C196" s="3">
        <f>SUMIF('Raw Data 07-31-2020'!$A$6:$A$254,'Q3 TB-20'!A196,'Raw Data 07-31-2020'!C$6:C$254)</f>
        <v>0</v>
      </c>
      <c r="D196" s="4"/>
      <c r="E196" s="3">
        <f>SUMIF('Raw Data 07-31-2020'!$A$6:$A$254,'Q3 TB-20'!A196,'Raw Data 07-31-2020'!D$6:D$254)</f>
        <v>0</v>
      </c>
      <c r="F196" s="3"/>
      <c r="G196" s="3">
        <f t="shared" si="4"/>
        <v>0</v>
      </c>
      <c r="H196" s="109" t="s">
        <v>439</v>
      </c>
      <c r="J196" s="19"/>
    </row>
    <row r="197" spans="1:10" x14ac:dyDescent="0.75">
      <c r="A197" s="14">
        <v>6295</v>
      </c>
      <c r="B197" s="13" t="s">
        <v>644</v>
      </c>
      <c r="C197" s="3">
        <f>SUMIF('Raw Data 07-31-2020'!$A$6:$A$254,'Q3 TB-20'!A197,'Raw Data 07-31-2020'!C$6:C$254)</f>
        <v>1573.5</v>
      </c>
      <c r="D197" s="4"/>
      <c r="E197" s="3">
        <f>SUMIF('Raw Data 07-31-2020'!$A$6:$A$254,'Q3 TB-20'!A197,'Raw Data 07-31-2020'!D$6:D$254)</f>
        <v>0</v>
      </c>
      <c r="F197" s="3"/>
      <c r="G197" s="3">
        <f t="shared" si="4"/>
        <v>1573.5</v>
      </c>
      <c r="H197" s="109" t="s">
        <v>439</v>
      </c>
      <c r="I197" s="6"/>
      <c r="J197" s="19"/>
    </row>
    <row r="198" spans="1:10" x14ac:dyDescent="0.75">
      <c r="A198" s="14">
        <v>6300</v>
      </c>
      <c r="B198" s="13" t="s">
        <v>645</v>
      </c>
      <c r="C198" s="3">
        <f>SUMIF('Raw Data 07-31-2020'!$A$6:$A$254,'Q3 TB-20'!A198,'Raw Data 07-31-2020'!C$6:C$254)</f>
        <v>6907</v>
      </c>
      <c r="D198" s="4"/>
      <c r="E198" s="3">
        <f>SUMIF('Raw Data 07-31-2020'!$A$6:$A$254,'Q3 TB-20'!A198,'Raw Data 07-31-2020'!D$6:D$254)</f>
        <v>0</v>
      </c>
      <c r="F198" s="3"/>
      <c r="G198" s="3">
        <f t="shared" si="4"/>
        <v>6907</v>
      </c>
      <c r="H198" s="109" t="s">
        <v>439</v>
      </c>
      <c r="J198" s="19"/>
    </row>
    <row r="199" spans="1:10" x14ac:dyDescent="0.75">
      <c r="A199" s="14">
        <v>6305</v>
      </c>
      <c r="B199" s="13" t="s">
        <v>646</v>
      </c>
      <c r="C199" s="3">
        <f>SUMIF('Raw Data 07-31-2020'!$A$6:$A$254,'Q3 TB-20'!A199,'Raw Data 07-31-2020'!C$6:C$254)</f>
        <v>0</v>
      </c>
      <c r="D199" s="4"/>
      <c r="E199" s="3">
        <f>SUMIF('Raw Data 07-31-2020'!$A$6:$A$254,'Q3 TB-20'!A199,'Raw Data 07-31-2020'!D$6:D$254)</f>
        <v>0</v>
      </c>
      <c r="F199" s="3"/>
      <c r="G199" s="3">
        <f t="shared" si="4"/>
        <v>0</v>
      </c>
      <c r="H199" s="109" t="s">
        <v>439</v>
      </c>
      <c r="J199" s="19"/>
    </row>
    <row r="200" spans="1:10" x14ac:dyDescent="0.75">
      <c r="A200" s="12">
        <v>6310</v>
      </c>
      <c r="B200" s="13" t="s">
        <v>647</v>
      </c>
      <c r="C200" s="3">
        <f>SUMIF('Raw Data 07-31-2020'!$A$6:$A$254,'Q3 TB-20'!A200,'Raw Data 07-31-2020'!C$6:C$254)</f>
        <v>0</v>
      </c>
      <c r="D200" s="4"/>
      <c r="E200" s="3">
        <f>SUMIF('Raw Data 07-31-2020'!$A$6:$A$254,'Q3 TB-20'!A200,'Raw Data 07-31-2020'!D$6:D$254)</f>
        <v>0</v>
      </c>
      <c r="F200" s="3"/>
      <c r="G200" s="3">
        <f t="shared" si="4"/>
        <v>0</v>
      </c>
      <c r="H200" s="109" t="s">
        <v>439</v>
      </c>
      <c r="J200" s="19"/>
    </row>
    <row r="201" spans="1:10" x14ac:dyDescent="0.75">
      <c r="A201" s="14">
        <v>6315</v>
      </c>
      <c r="B201" s="13" t="s">
        <v>648</v>
      </c>
      <c r="C201" s="3">
        <f>SUMIF('Raw Data 07-31-2020'!$A$6:$A$254,'Q3 TB-20'!A201,'Raw Data 07-31-2020'!C$6:C$254)</f>
        <v>36132.99</v>
      </c>
      <c r="D201" s="4"/>
      <c r="E201" s="3">
        <f>SUMIF('Raw Data 07-31-2020'!$A$6:$A$254,'Q3 TB-20'!A201,'Raw Data 07-31-2020'!D$6:D$254)</f>
        <v>0</v>
      </c>
      <c r="F201" s="3"/>
      <c r="G201" s="3">
        <f t="shared" si="4"/>
        <v>36132.99</v>
      </c>
      <c r="H201" s="109" t="s">
        <v>439</v>
      </c>
      <c r="J201" s="19"/>
    </row>
    <row r="202" spans="1:10" x14ac:dyDescent="0.75">
      <c r="A202" s="12">
        <v>6320</v>
      </c>
      <c r="B202" s="13" t="s">
        <v>649</v>
      </c>
      <c r="C202" s="3">
        <f>SUMIF('Raw Data 07-31-2020'!$A$6:$A$254,'Q3 TB-20'!A202,'Raw Data 07-31-2020'!C$6:C$254)</f>
        <v>0</v>
      </c>
      <c r="D202" s="4"/>
      <c r="E202" s="3">
        <f>SUMIF('Raw Data 07-31-2020'!$A$6:$A$254,'Q3 TB-20'!A202,'Raw Data 07-31-2020'!D$6:D$254)</f>
        <v>0</v>
      </c>
      <c r="F202" s="3"/>
      <c r="G202" s="3">
        <f t="shared" si="4"/>
        <v>0</v>
      </c>
      <c r="H202" s="109" t="s">
        <v>439</v>
      </c>
      <c r="J202" s="19"/>
    </row>
    <row r="203" spans="1:10" x14ac:dyDescent="0.75">
      <c r="A203" s="12">
        <v>6325</v>
      </c>
      <c r="B203" s="13" t="s">
        <v>650</v>
      </c>
      <c r="C203" s="3">
        <f>SUMIF('Raw Data 07-31-2020'!$A$6:$A$254,'Q3 TB-20'!A203,'Raw Data 07-31-2020'!C$6:C$254)</f>
        <v>0</v>
      </c>
      <c r="D203" s="4"/>
      <c r="E203" s="3">
        <f>SUMIF('Raw Data 07-31-2020'!$A$6:$A$254,'Q3 TB-20'!A203,'Raw Data 07-31-2020'!D$6:D$254)</f>
        <v>0</v>
      </c>
      <c r="F203" s="3"/>
      <c r="G203" s="3">
        <f t="shared" si="4"/>
        <v>0</v>
      </c>
      <c r="H203" s="109" t="s">
        <v>439</v>
      </c>
      <c r="J203" s="19"/>
    </row>
    <row r="204" spans="1:10" x14ac:dyDescent="0.75">
      <c r="A204" s="12">
        <v>6330</v>
      </c>
      <c r="B204" s="13" t="s">
        <v>651</v>
      </c>
      <c r="C204" s="3">
        <f>SUMIF('Raw Data 07-31-2020'!$A$6:$A$254,'Q3 TB-20'!A204,'Raw Data 07-31-2020'!C$6:C$254)</f>
        <v>858.92</v>
      </c>
      <c r="D204" s="4"/>
      <c r="E204" s="3">
        <f>SUMIF('Raw Data 07-31-2020'!$A$6:$A$254,'Q3 TB-20'!A204,'Raw Data 07-31-2020'!D$6:D$254)</f>
        <v>0</v>
      </c>
      <c r="F204" s="3"/>
      <c r="G204" s="3">
        <f t="shared" si="4"/>
        <v>858.92</v>
      </c>
      <c r="H204" s="109" t="s">
        <v>439</v>
      </c>
      <c r="J204" s="19"/>
    </row>
    <row r="205" spans="1:10" x14ac:dyDescent="0.75">
      <c r="A205" s="14">
        <v>6335</v>
      </c>
      <c r="B205" s="18" t="s">
        <v>652</v>
      </c>
      <c r="C205" s="3">
        <f>SUMIF('Raw Data 07-31-2020'!$A$6:$A$254,'Q3 TB-20'!A205,'Raw Data 07-31-2020'!C$6:C$254)</f>
        <v>223.5</v>
      </c>
      <c r="D205" s="4"/>
      <c r="E205" s="3">
        <f>SUMIF('Raw Data 07-31-2020'!$A$6:$A$254,'Q3 TB-20'!A205,'Raw Data 07-31-2020'!D$6:D$254)</f>
        <v>0</v>
      </c>
      <c r="F205" s="3"/>
      <c r="G205" s="3">
        <f t="shared" si="4"/>
        <v>223.5</v>
      </c>
      <c r="H205" s="109" t="s">
        <v>439</v>
      </c>
      <c r="J205" s="19"/>
    </row>
    <row r="206" spans="1:10" x14ac:dyDescent="0.75">
      <c r="A206" s="14">
        <v>6340</v>
      </c>
      <c r="B206" s="18" t="s">
        <v>653</v>
      </c>
      <c r="C206" s="3">
        <f>SUMIF('Raw Data 07-31-2020'!$A$6:$A$254,'Q3 TB-20'!A206,'Raw Data 07-31-2020'!C$6:C$254)</f>
        <v>2867.87</v>
      </c>
      <c r="D206" s="4"/>
      <c r="E206" s="3">
        <f>SUMIF('Raw Data 07-31-2020'!$A$6:$A$254,'Q3 TB-20'!A206,'Raw Data 07-31-2020'!D$6:D$254)</f>
        <v>0</v>
      </c>
      <c r="F206" s="5"/>
      <c r="G206" s="3">
        <f>C206-E206</f>
        <v>2867.87</v>
      </c>
      <c r="H206" s="109" t="s">
        <v>439</v>
      </c>
      <c r="J206" s="19"/>
    </row>
    <row r="207" spans="1:10" x14ac:dyDescent="0.75">
      <c r="A207" s="14">
        <v>6345</v>
      </c>
      <c r="B207" s="18" t="s">
        <v>654</v>
      </c>
      <c r="C207" s="3">
        <f>SUMIF('Raw Data 07-31-2020'!$A$6:$A$254,'Q3 TB-20'!A207,'Raw Data 07-31-2020'!C$6:C$254)</f>
        <v>2117.5</v>
      </c>
      <c r="D207" s="4"/>
      <c r="E207" s="3">
        <f>SUMIF('Raw Data 07-31-2020'!$A$6:$A$254,'Q3 TB-20'!A207,'Raw Data 07-31-2020'!D$6:D$254)</f>
        <v>0</v>
      </c>
      <c r="F207" s="5"/>
      <c r="G207" s="3">
        <f>C207-E207</f>
        <v>2117.5</v>
      </c>
      <c r="H207" s="109" t="s">
        <v>439</v>
      </c>
      <c r="J207" s="19"/>
    </row>
    <row r="208" spans="1:10" x14ac:dyDescent="0.75">
      <c r="A208" s="14">
        <v>6350</v>
      </c>
      <c r="B208" s="18" t="s">
        <v>655</v>
      </c>
      <c r="C208" s="3">
        <f>SUMIF('Raw Data 07-31-2020'!$A$6:$A$254,'Q3 TB-20'!A208,'Raw Data 07-31-2020'!C$6:C$254)</f>
        <v>918.86</v>
      </c>
      <c r="D208" s="4"/>
      <c r="E208" s="3">
        <f>SUMIF('Raw Data 07-31-2020'!$A$6:$A$254,'Q3 TB-20'!A208,'Raw Data 07-31-2020'!D$6:D$254)</f>
        <v>0</v>
      </c>
      <c r="F208" s="5"/>
      <c r="G208" s="3">
        <f>C208-E208</f>
        <v>918.86</v>
      </c>
      <c r="H208" s="109" t="s">
        <v>439</v>
      </c>
      <c r="J208" s="19"/>
    </row>
    <row r="209" spans="1:8" x14ac:dyDescent="0.75">
      <c r="A209" s="14">
        <v>6355</v>
      </c>
      <c r="B209" s="18" t="s">
        <v>656</v>
      </c>
      <c r="C209" s="3">
        <f>SUMIF('Raw Data 07-31-2020'!$A$6:$A$254,'Q3 TB-20'!A209,'Raw Data 07-31-2020'!C$6:C$254)</f>
        <v>0</v>
      </c>
      <c r="D209" s="4"/>
      <c r="E209" s="3">
        <f>SUMIF('Raw Data 07-31-2020'!$A$6:$A$254,'Q3 TB-20'!A209,'Raw Data 07-31-2020'!D$6:D$254)</f>
        <v>0</v>
      </c>
      <c r="F209" s="5"/>
      <c r="G209" s="3">
        <f t="shared" ref="G209:G254" si="5">C209-E209</f>
        <v>0</v>
      </c>
      <c r="H209" s="109" t="s">
        <v>439</v>
      </c>
    </row>
    <row r="210" spans="1:8" x14ac:dyDescent="0.75">
      <c r="A210" s="14">
        <v>6400</v>
      </c>
      <c r="B210" s="18" t="s">
        <v>657</v>
      </c>
      <c r="C210" s="3">
        <f>SUMIF('Raw Data 07-31-2020'!$A$6:$A$254,'Q3 TB-20'!A210,'Raw Data 07-31-2020'!C$6:C$254)</f>
        <v>165041.79</v>
      </c>
      <c r="D210" s="4"/>
      <c r="E210" s="3">
        <f>SUMIF('Raw Data 07-31-2020'!$A$6:$A$254,'Q3 TB-20'!A210,'Raw Data 07-31-2020'!D$6:D$254)</f>
        <v>0</v>
      </c>
      <c r="F210" s="5"/>
      <c r="G210" s="3">
        <f t="shared" si="5"/>
        <v>165041.79</v>
      </c>
      <c r="H210" s="109" t="s">
        <v>439</v>
      </c>
    </row>
    <row r="211" spans="1:8" x14ac:dyDescent="0.75">
      <c r="A211" s="14">
        <v>6405</v>
      </c>
      <c r="B211" s="18" t="s">
        <v>658</v>
      </c>
      <c r="C211" s="3">
        <f>SUMIF('Raw Data 07-31-2020'!$A$6:$A$254,'Q3 TB-20'!A211,'Raw Data 07-31-2020'!C$6:C$254)</f>
        <v>0</v>
      </c>
      <c r="D211" s="4"/>
      <c r="E211" s="3">
        <f>SUMIF('Raw Data 07-31-2020'!$A$6:$A$254,'Q3 TB-20'!A211,'Raw Data 07-31-2020'!D$6:D$254)</f>
        <v>0</v>
      </c>
      <c r="F211" s="5"/>
      <c r="G211" s="3">
        <f t="shared" si="5"/>
        <v>0</v>
      </c>
      <c r="H211" s="109" t="s">
        <v>439</v>
      </c>
    </row>
    <row r="212" spans="1:8" x14ac:dyDescent="0.75">
      <c r="A212" s="14">
        <v>6410</v>
      </c>
      <c r="B212" s="18" t="s">
        <v>659</v>
      </c>
      <c r="C212" s="3">
        <f>SUMIF('Raw Data 07-31-2020'!$A$6:$A$254,'Q3 TB-20'!A212,'Raw Data 07-31-2020'!C$6:C$254)</f>
        <v>0</v>
      </c>
      <c r="D212" s="4"/>
      <c r="E212" s="3">
        <f>SUMIF('Raw Data 07-31-2020'!$A$6:$A$254,'Q3 TB-20'!A212,'Raw Data 07-31-2020'!D$6:D$254)</f>
        <v>0</v>
      </c>
      <c r="F212" s="5"/>
      <c r="G212" s="3">
        <f t="shared" si="5"/>
        <v>0</v>
      </c>
      <c r="H212" s="109" t="s">
        <v>439</v>
      </c>
    </row>
    <row r="213" spans="1:8" x14ac:dyDescent="0.75">
      <c r="A213" s="14">
        <v>6415</v>
      </c>
      <c r="B213" s="18" t="s">
        <v>660</v>
      </c>
      <c r="C213" s="3">
        <f>SUMIF('Raw Data 07-31-2020'!$A$6:$A$254,'Q3 TB-20'!A213,'Raw Data 07-31-2020'!C$6:C$254)</f>
        <v>0</v>
      </c>
      <c r="D213" s="4"/>
      <c r="E213" s="3">
        <f>SUMIF('Raw Data 07-31-2020'!$A$6:$A$254,'Q3 TB-20'!A213,'Raw Data 07-31-2020'!D$6:D$254)</f>
        <v>0</v>
      </c>
      <c r="F213" s="5"/>
      <c r="G213" s="3">
        <f t="shared" si="5"/>
        <v>0</v>
      </c>
      <c r="H213" s="109" t="s">
        <v>439</v>
      </c>
    </row>
    <row r="214" spans="1:8" x14ac:dyDescent="0.75">
      <c r="A214" s="14">
        <v>6420</v>
      </c>
      <c r="B214" s="18" t="s">
        <v>661</v>
      </c>
      <c r="C214" s="3">
        <f>SUMIF('Raw Data 07-31-2020'!$A$6:$A$254,'Q3 TB-20'!A214,'Raw Data 07-31-2020'!C$6:C$254)</f>
        <v>0</v>
      </c>
      <c r="D214" s="4"/>
      <c r="E214" s="3">
        <f>SUMIF('Raw Data 07-31-2020'!$A$6:$A$254,'Q3 TB-20'!A214,'Raw Data 07-31-2020'!D$6:D$254)</f>
        <v>23154.25</v>
      </c>
      <c r="F214" s="5"/>
      <c r="G214" s="3">
        <f t="shared" si="5"/>
        <v>-23154.25</v>
      </c>
      <c r="H214" s="109" t="s">
        <v>439</v>
      </c>
    </row>
    <row r="215" spans="1:8" x14ac:dyDescent="0.75">
      <c r="A215" s="14">
        <v>6425</v>
      </c>
      <c r="B215" s="18" t="s">
        <v>662</v>
      </c>
      <c r="C215" s="3">
        <f>SUMIF('Raw Data 07-31-2020'!$A$6:$A$254,'Q3 TB-20'!A215,'Raw Data 07-31-2020'!C$6:C$254)</f>
        <v>0</v>
      </c>
      <c r="D215" s="4"/>
      <c r="E215" s="3">
        <f>SUMIF('Raw Data 07-31-2020'!$A$6:$A$254,'Q3 TB-20'!A215,'Raw Data 07-31-2020'!D$6:D$254)</f>
        <v>0</v>
      </c>
      <c r="F215" s="5"/>
      <c r="G215" s="3">
        <f t="shared" si="5"/>
        <v>0</v>
      </c>
      <c r="H215" s="109" t="s">
        <v>439</v>
      </c>
    </row>
    <row r="216" spans="1:8" x14ac:dyDescent="0.75">
      <c r="A216" s="14">
        <v>6430</v>
      </c>
      <c r="B216" s="18" t="s">
        <v>663</v>
      </c>
      <c r="C216" s="3">
        <f>SUMIF('Raw Data 07-31-2020'!$A$6:$A$254,'Q3 TB-20'!A216,'Raw Data 07-31-2020'!C$6:C$254)</f>
        <v>151478.57999999999</v>
      </c>
      <c r="D216" s="4"/>
      <c r="E216" s="3">
        <f>SUMIF('Raw Data 07-31-2020'!$A$6:$A$254,'Q3 TB-20'!A216,'Raw Data 07-31-2020'!D$6:D$254)</f>
        <v>0</v>
      </c>
      <c r="F216" s="5"/>
      <c r="G216" s="3">
        <f t="shared" si="5"/>
        <v>151478.57999999999</v>
      </c>
      <c r="H216" s="109" t="s">
        <v>439</v>
      </c>
    </row>
    <row r="217" spans="1:8" x14ac:dyDescent="0.75">
      <c r="A217" s="14">
        <v>6435</v>
      </c>
      <c r="B217" s="18" t="s">
        <v>664</v>
      </c>
      <c r="C217" s="3">
        <f>SUMIF('Raw Data 07-31-2020'!$A$6:$A$254,'Q3 TB-20'!A217,'Raw Data 07-31-2020'!C$6:C$254)</f>
        <v>14862.5</v>
      </c>
      <c r="D217" s="4"/>
      <c r="E217" s="3">
        <f>SUMIF('Raw Data 07-31-2020'!$A$6:$A$254,'Q3 TB-20'!A217,'Raw Data 07-31-2020'!D$6:D$254)</f>
        <v>0</v>
      </c>
      <c r="F217" s="5"/>
      <c r="G217" s="3">
        <f t="shared" si="5"/>
        <v>14862.5</v>
      </c>
      <c r="H217" s="109" t="s">
        <v>439</v>
      </c>
    </row>
    <row r="218" spans="1:8" x14ac:dyDescent="0.75">
      <c r="A218" s="14">
        <v>6440</v>
      </c>
      <c r="B218" s="18" t="s">
        <v>665</v>
      </c>
      <c r="C218" s="3">
        <f>SUMIF('Raw Data 07-31-2020'!$A$6:$A$254,'Q3 TB-20'!A218,'Raw Data 07-31-2020'!C$6:C$254)</f>
        <v>224346.82</v>
      </c>
      <c r="D218" s="4"/>
      <c r="E218" s="3">
        <f>SUMIF('Raw Data 07-31-2020'!$A$6:$A$254,'Q3 TB-20'!A218,'Raw Data 07-31-2020'!D$6:D$254)</f>
        <v>0</v>
      </c>
      <c r="F218" s="5"/>
      <c r="G218" s="3">
        <f t="shared" si="5"/>
        <v>224346.82</v>
      </c>
      <c r="H218" s="109" t="s">
        <v>439</v>
      </c>
    </row>
    <row r="219" spans="1:8" x14ac:dyDescent="0.75">
      <c r="A219" s="14">
        <v>6445</v>
      </c>
      <c r="B219" s="18" t="s">
        <v>666</v>
      </c>
      <c r="C219" s="3">
        <f>SUMIF('Raw Data 07-31-2020'!$A$6:$A$254,'Q3 TB-20'!A219,'Raw Data 07-31-2020'!C$6:C$254)</f>
        <v>24601.06</v>
      </c>
      <c r="D219" s="4"/>
      <c r="E219" s="3">
        <f>SUMIF('Raw Data 07-31-2020'!$A$6:$A$254,'Q3 TB-20'!A219,'Raw Data 07-31-2020'!D$6:D$254)</f>
        <v>0</v>
      </c>
      <c r="F219" s="5"/>
      <c r="G219" s="3">
        <f t="shared" si="5"/>
        <v>24601.06</v>
      </c>
      <c r="H219" s="109" t="s">
        <v>439</v>
      </c>
    </row>
    <row r="220" spans="1:8" x14ac:dyDescent="0.75">
      <c r="A220" s="14">
        <v>6450</v>
      </c>
      <c r="B220" s="18" t="s">
        <v>667</v>
      </c>
      <c r="C220" s="3">
        <f>SUMIF('Raw Data 07-31-2020'!$A$6:$A$254,'Q3 TB-20'!A220,'Raw Data 07-31-2020'!C$6:C$254)</f>
        <v>0</v>
      </c>
      <c r="D220" s="4"/>
      <c r="E220" s="3">
        <f>SUMIF('Raw Data 07-31-2020'!$A$6:$A$254,'Q3 TB-20'!A220,'Raw Data 07-31-2020'!D$6:D$254)</f>
        <v>0</v>
      </c>
      <c r="F220" s="5"/>
      <c r="G220" s="3">
        <f t="shared" si="5"/>
        <v>0</v>
      </c>
      <c r="H220" s="109" t="s">
        <v>439</v>
      </c>
    </row>
    <row r="221" spans="1:8" x14ac:dyDescent="0.75">
      <c r="A221" s="14">
        <v>6455</v>
      </c>
      <c r="B221" s="18" t="s">
        <v>668</v>
      </c>
      <c r="C221" s="3">
        <f>SUMIF('Raw Data 07-31-2020'!$A$6:$A$254,'Q3 TB-20'!A221,'Raw Data 07-31-2020'!C$6:C$254)</f>
        <v>0</v>
      </c>
      <c r="D221" s="4"/>
      <c r="E221" s="3">
        <f>SUMIF('Raw Data 07-31-2020'!$A$6:$A$254,'Q3 TB-20'!A221,'Raw Data 07-31-2020'!D$6:D$254)</f>
        <v>0</v>
      </c>
      <c r="F221" s="5"/>
      <c r="G221" s="3">
        <f t="shared" si="5"/>
        <v>0</v>
      </c>
      <c r="H221" s="109" t="s">
        <v>439</v>
      </c>
    </row>
    <row r="222" spans="1:8" x14ac:dyDescent="0.75">
      <c r="A222" s="14">
        <v>6460</v>
      </c>
      <c r="B222" s="18" t="s">
        <v>669</v>
      </c>
      <c r="C222" s="3">
        <f>SUMIF('Raw Data 07-31-2020'!$A$6:$A$254,'Q3 TB-20'!A222,'Raw Data 07-31-2020'!C$6:C$254)</f>
        <v>0</v>
      </c>
      <c r="D222" s="4"/>
      <c r="E222" s="3">
        <f>SUMIF('Raw Data 07-31-2020'!$A$6:$A$254,'Q3 TB-20'!A222,'Raw Data 07-31-2020'!D$6:D$254)</f>
        <v>0</v>
      </c>
      <c r="F222" s="5"/>
      <c r="G222" s="3">
        <f t="shared" si="5"/>
        <v>0</v>
      </c>
      <c r="H222" s="109" t="s">
        <v>439</v>
      </c>
    </row>
    <row r="223" spans="1:8" x14ac:dyDescent="0.75">
      <c r="A223" s="14">
        <v>6500</v>
      </c>
      <c r="B223" s="18" t="s">
        <v>670</v>
      </c>
      <c r="C223" s="3">
        <f>SUMIF('Raw Data 07-31-2020'!$A$6:$A$254,'Q3 TB-20'!A223,'Raw Data 07-31-2020'!C$6:C$254)</f>
        <v>0</v>
      </c>
      <c r="D223" s="4"/>
      <c r="E223" s="3">
        <f>SUMIF('Raw Data 07-31-2020'!$A$6:$A$254,'Q3 TB-20'!A223,'Raw Data 07-31-2020'!D$6:D$254)</f>
        <v>0</v>
      </c>
      <c r="F223" s="5"/>
      <c r="G223" s="3">
        <f t="shared" si="5"/>
        <v>0</v>
      </c>
      <c r="H223" s="109" t="s">
        <v>439</v>
      </c>
    </row>
    <row r="224" spans="1:8" x14ac:dyDescent="0.75">
      <c r="A224" s="14">
        <v>6505</v>
      </c>
      <c r="B224" s="18" t="s">
        <v>671</v>
      </c>
      <c r="C224" s="3">
        <f>SUMIF('Raw Data 07-31-2020'!$A$6:$A$254,'Q3 TB-20'!A224,'Raw Data 07-31-2020'!C$6:C$254)</f>
        <v>0</v>
      </c>
      <c r="D224" s="4"/>
      <c r="E224" s="3">
        <f>SUMIF('Raw Data 07-31-2020'!$A$6:$A$254,'Q3 TB-20'!A224,'Raw Data 07-31-2020'!D$6:D$254)</f>
        <v>0</v>
      </c>
      <c r="F224" s="5"/>
      <c r="G224" s="3">
        <f t="shared" si="5"/>
        <v>0</v>
      </c>
      <c r="H224" s="109" t="s">
        <v>439</v>
      </c>
    </row>
    <row r="225" spans="1:8" x14ac:dyDescent="0.75">
      <c r="A225" s="14">
        <v>6510</v>
      </c>
      <c r="B225" s="18" t="s">
        <v>672</v>
      </c>
      <c r="C225" s="3">
        <f>SUMIF('Raw Data 07-31-2020'!$A$6:$A$254,'Q3 TB-20'!A225,'Raw Data 07-31-2020'!C$6:C$254)</f>
        <v>13848.44</v>
      </c>
      <c r="D225" s="4"/>
      <c r="E225" s="3">
        <f>SUMIF('Raw Data 07-31-2020'!$A$6:$A$254,'Q3 TB-20'!A225,'Raw Data 07-31-2020'!D$6:D$254)</f>
        <v>0</v>
      </c>
      <c r="F225" s="5"/>
      <c r="G225" s="3">
        <f t="shared" si="5"/>
        <v>13848.44</v>
      </c>
      <c r="H225" s="109" t="s">
        <v>439</v>
      </c>
    </row>
    <row r="226" spans="1:8" x14ac:dyDescent="0.75">
      <c r="A226" s="14">
        <v>6515</v>
      </c>
      <c r="B226" s="18" t="s">
        <v>673</v>
      </c>
      <c r="C226" s="3">
        <f>SUMIF('Raw Data 07-31-2020'!$A$6:$A$254,'Q3 TB-20'!A226,'Raw Data 07-31-2020'!C$6:C$254)</f>
        <v>0</v>
      </c>
      <c r="D226" s="4"/>
      <c r="E226" s="3">
        <f>SUMIF('Raw Data 07-31-2020'!$A$6:$A$254,'Q3 TB-20'!A226,'Raw Data 07-31-2020'!D$6:D$254)</f>
        <v>0</v>
      </c>
      <c r="F226" s="5"/>
      <c r="G226" s="3">
        <f t="shared" si="5"/>
        <v>0</v>
      </c>
      <c r="H226" s="109" t="s">
        <v>439</v>
      </c>
    </row>
    <row r="227" spans="1:8" x14ac:dyDescent="0.75">
      <c r="A227" s="14">
        <v>6520</v>
      </c>
      <c r="B227" s="18" t="s">
        <v>674</v>
      </c>
      <c r="C227" s="3">
        <f>SUMIF('Raw Data 07-31-2020'!$A$6:$A$254,'Q3 TB-20'!A227,'Raw Data 07-31-2020'!C$6:C$254)</f>
        <v>0</v>
      </c>
      <c r="D227" s="4"/>
      <c r="E227" s="3">
        <f>SUMIF('Raw Data 07-31-2020'!$A$6:$A$254,'Q3 TB-20'!A227,'Raw Data 07-31-2020'!D$6:D$254)</f>
        <v>0</v>
      </c>
      <c r="F227" s="5"/>
      <c r="G227" s="3">
        <f t="shared" si="5"/>
        <v>0</v>
      </c>
      <c r="H227" s="109" t="s">
        <v>439</v>
      </c>
    </row>
    <row r="228" spans="1:8" x14ac:dyDescent="0.75">
      <c r="A228" s="14">
        <v>6525</v>
      </c>
      <c r="B228" s="18" t="s">
        <v>675</v>
      </c>
      <c r="C228" s="3">
        <f>SUMIF('Raw Data 07-31-2020'!$A$6:$A$254,'Q3 TB-20'!A228,'Raw Data 07-31-2020'!C$6:C$254)</f>
        <v>5707.86</v>
      </c>
      <c r="D228" s="4"/>
      <c r="E228" s="3">
        <f>SUMIF('Raw Data 07-31-2020'!$A$6:$A$254,'Q3 TB-20'!A228,'Raw Data 07-31-2020'!D$6:D$254)</f>
        <v>0</v>
      </c>
      <c r="F228" s="5"/>
      <c r="G228" s="3">
        <f t="shared" si="5"/>
        <v>5707.86</v>
      </c>
      <c r="H228" s="109" t="s">
        <v>439</v>
      </c>
    </row>
    <row r="229" spans="1:8" x14ac:dyDescent="0.75">
      <c r="A229" s="14">
        <v>6530</v>
      </c>
      <c r="B229" s="18" t="s">
        <v>676</v>
      </c>
      <c r="C229" s="3">
        <f>SUMIF('Raw Data 07-31-2020'!$A$6:$A$254,'Q3 TB-20'!A229,'Raw Data 07-31-2020'!C$6:C$254)</f>
        <v>0</v>
      </c>
      <c r="D229" s="4"/>
      <c r="E229" s="3">
        <f>SUMIF('Raw Data 07-31-2020'!$A$6:$A$254,'Q3 TB-20'!A229,'Raw Data 07-31-2020'!D$6:D$254)</f>
        <v>0</v>
      </c>
      <c r="F229" s="5"/>
      <c r="G229" s="3">
        <f t="shared" si="5"/>
        <v>0</v>
      </c>
      <c r="H229" s="109" t="s">
        <v>439</v>
      </c>
    </row>
    <row r="230" spans="1:8" x14ac:dyDescent="0.75">
      <c r="A230" s="14">
        <v>6535</v>
      </c>
      <c r="B230" s="18" t="s">
        <v>677</v>
      </c>
      <c r="C230" s="3">
        <f>SUMIF('Raw Data 07-31-2020'!$A$6:$A$254,'Q3 TB-20'!A230,'Raw Data 07-31-2020'!C$6:C$254)</f>
        <v>0</v>
      </c>
      <c r="D230" s="4"/>
      <c r="E230" s="3">
        <f>SUMIF('Raw Data 07-31-2020'!$A$6:$A$254,'Q3 TB-20'!A230,'Raw Data 07-31-2020'!D$6:D$254)</f>
        <v>0</v>
      </c>
      <c r="F230" s="5"/>
      <c r="G230" s="3">
        <f t="shared" si="5"/>
        <v>0</v>
      </c>
      <c r="H230" s="109" t="s">
        <v>439</v>
      </c>
    </row>
    <row r="231" spans="1:8" x14ac:dyDescent="0.75">
      <c r="A231" s="14">
        <v>6540</v>
      </c>
      <c r="B231" s="18" t="s">
        <v>678</v>
      </c>
      <c r="C231" s="3">
        <f>SUMIF('Raw Data 07-31-2020'!$A$6:$A$254,'Q3 TB-20'!A231,'Raw Data 07-31-2020'!C$6:C$254)</f>
        <v>0</v>
      </c>
      <c r="D231" s="4"/>
      <c r="E231" s="3">
        <f>SUMIF('Raw Data 07-31-2020'!$A$6:$A$254,'Q3 TB-20'!A231,'Raw Data 07-31-2020'!D$6:D$254)</f>
        <v>0</v>
      </c>
      <c r="F231" s="5"/>
      <c r="G231" s="3">
        <f t="shared" si="5"/>
        <v>0</v>
      </c>
      <c r="H231" s="109" t="s">
        <v>439</v>
      </c>
    </row>
    <row r="232" spans="1:8" x14ac:dyDescent="0.75">
      <c r="A232" s="14">
        <v>6545</v>
      </c>
      <c r="B232" s="18" t="s">
        <v>679</v>
      </c>
      <c r="C232" s="3">
        <f>SUMIF('Raw Data 07-31-2020'!$A$6:$A$254,'Q3 TB-20'!A232,'Raw Data 07-31-2020'!C$6:C$254)</f>
        <v>0</v>
      </c>
      <c r="D232" s="4"/>
      <c r="E232" s="3">
        <f>SUMIF('Raw Data 07-31-2020'!$A$6:$A$254,'Q3 TB-20'!A232,'Raw Data 07-31-2020'!D$6:D$254)</f>
        <v>0</v>
      </c>
      <c r="F232" s="5"/>
      <c r="G232" s="3">
        <f t="shared" si="5"/>
        <v>0</v>
      </c>
      <c r="H232" s="109" t="s">
        <v>439</v>
      </c>
    </row>
    <row r="233" spans="1:8" x14ac:dyDescent="0.75">
      <c r="A233" s="14">
        <v>6550</v>
      </c>
      <c r="B233" s="18" t="s">
        <v>680</v>
      </c>
      <c r="C233" s="3">
        <f>SUMIF('Raw Data 07-31-2020'!$A$6:$A$254,'Q3 TB-20'!A233,'Raw Data 07-31-2020'!C$6:C$254)</f>
        <v>10033.469999999999</v>
      </c>
      <c r="D233" s="4"/>
      <c r="E233" s="3">
        <f>SUMIF('Raw Data 07-31-2020'!$A$6:$A$254,'Q3 TB-20'!A233,'Raw Data 07-31-2020'!D$6:D$254)</f>
        <v>0</v>
      </c>
      <c r="F233" s="5"/>
      <c r="G233" s="3">
        <f t="shared" si="5"/>
        <v>10033.469999999999</v>
      </c>
      <c r="H233" s="109" t="s">
        <v>439</v>
      </c>
    </row>
    <row r="234" spans="1:8" x14ac:dyDescent="0.75">
      <c r="A234" s="14">
        <v>6555</v>
      </c>
      <c r="B234" s="18" t="s">
        <v>681</v>
      </c>
      <c r="C234" s="3">
        <f>SUMIF('Raw Data 07-31-2020'!$A$6:$A$254,'Q3 TB-20'!A234,'Raw Data 07-31-2020'!C$6:C$254)</f>
        <v>1901.09</v>
      </c>
      <c r="D234" s="4"/>
      <c r="E234" s="3">
        <f>SUMIF('Raw Data 07-31-2020'!$A$6:$A$254,'Q3 TB-20'!A234,'Raw Data 07-31-2020'!D$6:D$254)</f>
        <v>0</v>
      </c>
      <c r="F234" s="5"/>
      <c r="G234" s="3">
        <f t="shared" si="5"/>
        <v>1901.09</v>
      </c>
      <c r="H234" s="109" t="s">
        <v>439</v>
      </c>
    </row>
    <row r="235" spans="1:8" x14ac:dyDescent="0.75">
      <c r="A235" s="14">
        <v>6560</v>
      </c>
      <c r="B235" s="18" t="s">
        <v>682</v>
      </c>
      <c r="C235" s="3">
        <f>SUMIF('Raw Data 07-31-2020'!$A$6:$A$254,'Q3 TB-20'!A235,'Raw Data 07-31-2020'!C$6:C$254)</f>
        <v>0</v>
      </c>
      <c r="D235" s="4"/>
      <c r="E235" s="3">
        <f>SUMIF('Raw Data 07-31-2020'!$A$6:$A$254,'Q3 TB-20'!A235,'Raw Data 07-31-2020'!D$6:D$254)</f>
        <v>0</v>
      </c>
      <c r="F235" s="5"/>
      <c r="G235" s="3">
        <f t="shared" si="5"/>
        <v>0</v>
      </c>
      <c r="H235" s="109" t="s">
        <v>439</v>
      </c>
    </row>
    <row r="236" spans="1:8" x14ac:dyDescent="0.75">
      <c r="A236" s="14">
        <v>6565</v>
      </c>
      <c r="B236" s="18" t="s">
        <v>683</v>
      </c>
      <c r="C236" s="3">
        <f>SUMIF('Raw Data 07-31-2020'!$A$6:$A$254,'Q3 TB-20'!A236,'Raw Data 07-31-2020'!C$6:C$254)</f>
        <v>0</v>
      </c>
      <c r="D236" s="4"/>
      <c r="E236" s="3">
        <f>SUMIF('Raw Data 07-31-2020'!$A$6:$A$254,'Q3 TB-20'!A236,'Raw Data 07-31-2020'!D$6:D$254)</f>
        <v>0</v>
      </c>
      <c r="F236" s="5"/>
      <c r="G236" s="3">
        <f t="shared" si="5"/>
        <v>0</v>
      </c>
      <c r="H236" s="109" t="s">
        <v>439</v>
      </c>
    </row>
    <row r="237" spans="1:8" x14ac:dyDescent="0.75">
      <c r="A237" s="14">
        <v>6570</v>
      </c>
      <c r="B237" s="18" t="s">
        <v>684</v>
      </c>
      <c r="C237" s="3">
        <f>SUMIF('Raw Data 07-31-2020'!$A$6:$A$254,'Q3 TB-20'!A237,'Raw Data 07-31-2020'!C$6:C$254)</f>
        <v>0</v>
      </c>
      <c r="D237" s="4"/>
      <c r="E237" s="3">
        <f>SUMIF('Raw Data 07-31-2020'!$A$6:$A$254,'Q3 TB-20'!A237,'Raw Data 07-31-2020'!D$6:D$254)</f>
        <v>0</v>
      </c>
      <c r="F237" s="5"/>
      <c r="G237" s="3">
        <f t="shared" si="5"/>
        <v>0</v>
      </c>
      <c r="H237" s="109" t="s">
        <v>439</v>
      </c>
    </row>
    <row r="238" spans="1:8" x14ac:dyDescent="0.75">
      <c r="A238" s="14">
        <v>6575</v>
      </c>
      <c r="B238" s="18" t="s">
        <v>685</v>
      </c>
      <c r="C238" s="3">
        <f>SUMIF('Raw Data 07-31-2020'!$A$6:$A$254,'Q3 TB-20'!A238,'Raw Data 07-31-2020'!C$6:C$254)</f>
        <v>0</v>
      </c>
      <c r="D238" s="4"/>
      <c r="E238" s="3">
        <f>SUMIF('Raw Data 07-31-2020'!$A$6:$A$254,'Q3 TB-20'!A238,'Raw Data 07-31-2020'!D$6:D$254)</f>
        <v>0</v>
      </c>
      <c r="F238" s="5"/>
      <c r="G238" s="3">
        <f t="shared" si="5"/>
        <v>0</v>
      </c>
      <c r="H238" s="109" t="s">
        <v>439</v>
      </c>
    </row>
    <row r="239" spans="1:8" x14ac:dyDescent="0.75">
      <c r="A239" s="14">
        <v>6580</v>
      </c>
      <c r="B239" s="18" t="s">
        <v>686</v>
      </c>
      <c r="C239" s="3">
        <f>SUMIF('Raw Data 07-31-2020'!$A$6:$A$254,'Q3 TB-20'!A239,'Raw Data 07-31-2020'!C$6:C$254)</f>
        <v>0</v>
      </c>
      <c r="D239" s="4"/>
      <c r="E239" s="3">
        <f>SUMIF('Raw Data 07-31-2020'!$A$6:$A$254,'Q3 TB-20'!A239,'Raw Data 07-31-2020'!D$6:D$254)</f>
        <v>0</v>
      </c>
      <c r="F239" s="5"/>
      <c r="G239" s="3">
        <f t="shared" si="5"/>
        <v>0</v>
      </c>
      <c r="H239" s="109" t="s">
        <v>439</v>
      </c>
    </row>
    <row r="240" spans="1:8" x14ac:dyDescent="0.75">
      <c r="A240" s="14">
        <v>6585</v>
      </c>
      <c r="B240" s="18" t="s">
        <v>687</v>
      </c>
      <c r="C240" s="3">
        <f>SUMIF('Raw Data 07-31-2020'!$A$6:$A$254,'Q3 TB-20'!A240,'Raw Data 07-31-2020'!C$6:C$254)</f>
        <v>0</v>
      </c>
      <c r="D240" s="4"/>
      <c r="E240" s="3">
        <f>SUMIF('Raw Data 07-31-2020'!$A$6:$A$254,'Q3 TB-20'!A240,'Raw Data 07-31-2020'!D$6:D$254)</f>
        <v>0</v>
      </c>
      <c r="F240" s="5"/>
      <c r="G240" s="3">
        <f t="shared" si="5"/>
        <v>0</v>
      </c>
      <c r="H240" s="109" t="s">
        <v>439</v>
      </c>
    </row>
    <row r="241" spans="1:8" x14ac:dyDescent="0.75">
      <c r="A241" s="14">
        <v>6590</v>
      </c>
      <c r="B241" s="18" t="s">
        <v>688</v>
      </c>
      <c r="C241" s="3">
        <f>SUMIF('Raw Data 07-31-2020'!$A$6:$A$254,'Q3 TB-20'!A241,'Raw Data 07-31-2020'!C$6:C$254)</f>
        <v>0</v>
      </c>
      <c r="D241" s="4"/>
      <c r="E241" s="3">
        <f>SUMIF('Raw Data 07-31-2020'!$A$6:$A$254,'Q3 TB-20'!A241,'Raw Data 07-31-2020'!D$6:D$254)</f>
        <v>0</v>
      </c>
      <c r="F241" s="5"/>
      <c r="G241" s="3">
        <f t="shared" si="5"/>
        <v>0</v>
      </c>
      <c r="H241" s="109" t="s">
        <v>439</v>
      </c>
    </row>
    <row r="242" spans="1:8" x14ac:dyDescent="0.75">
      <c r="A242" s="14">
        <v>7100</v>
      </c>
      <c r="B242" s="18" t="s">
        <v>689</v>
      </c>
      <c r="C242" s="3">
        <f>SUMIF('Raw Data 07-31-2020'!$A$6:$A$254,'Q3 TB-20'!A242,'Raw Data 07-31-2020'!C$6:C$254)</f>
        <v>0</v>
      </c>
      <c r="D242" s="4"/>
      <c r="E242" s="3">
        <f>SUMIF('Raw Data 07-31-2020'!$A$6:$A$254,'Q3 TB-20'!A242,'Raw Data 07-31-2020'!D$6:D$254)</f>
        <v>182.95</v>
      </c>
      <c r="F242" s="5"/>
      <c r="G242" s="3">
        <f t="shared" si="5"/>
        <v>-182.95</v>
      </c>
      <c r="H242" s="109" t="s">
        <v>439</v>
      </c>
    </row>
    <row r="243" spans="1:8" x14ac:dyDescent="0.75">
      <c r="A243" s="14">
        <v>7200</v>
      </c>
      <c r="B243" s="18" t="s">
        <v>690</v>
      </c>
      <c r="C243" s="3">
        <f>SUMIF('Raw Data 07-31-2020'!$A$6:$A$254,'Q3 TB-20'!A243,'Raw Data 07-31-2020'!C$6:C$254)</f>
        <v>0</v>
      </c>
      <c r="D243" s="4"/>
      <c r="E243" s="3">
        <f>SUMIF('Raw Data 07-31-2020'!$A$6:$A$254,'Q3 TB-20'!A243,'Raw Data 07-31-2020'!D$6:D$254)</f>
        <v>0</v>
      </c>
      <c r="F243" s="5"/>
      <c r="G243" s="3">
        <f t="shared" si="5"/>
        <v>0</v>
      </c>
      <c r="H243" s="109" t="s">
        <v>439</v>
      </c>
    </row>
    <row r="244" spans="1:8" x14ac:dyDescent="0.75">
      <c r="A244" s="14">
        <v>7300</v>
      </c>
      <c r="B244" s="18" t="s">
        <v>691</v>
      </c>
      <c r="C244" s="3">
        <f>SUMIF('Raw Data 07-31-2020'!$A$6:$A$254,'Q3 TB-20'!A244,'Raw Data 07-31-2020'!C$6:C$254)</f>
        <v>0</v>
      </c>
      <c r="D244" s="4"/>
      <c r="E244" s="3">
        <f>SUMIF('Raw Data 07-31-2020'!$A$6:$A$254,'Q3 TB-20'!A244,'Raw Data 07-31-2020'!D$6:D$254)</f>
        <v>0</v>
      </c>
      <c r="F244" s="5"/>
      <c r="G244" s="3">
        <f t="shared" si="5"/>
        <v>0</v>
      </c>
      <c r="H244" s="109" t="s">
        <v>439</v>
      </c>
    </row>
    <row r="245" spans="1:8" x14ac:dyDescent="0.75">
      <c r="A245" s="14">
        <v>7310</v>
      </c>
      <c r="B245" s="18" t="s">
        <v>692</v>
      </c>
      <c r="C245" s="3">
        <f>SUMIF('Raw Data 07-31-2020'!$A$6:$A$254,'Q3 TB-20'!A245,'Raw Data 07-31-2020'!C$6:C$254)</f>
        <v>0</v>
      </c>
      <c r="D245" s="4"/>
      <c r="E245" s="3">
        <f>SUMIF('Raw Data 07-31-2020'!$A$6:$A$254,'Q3 TB-20'!A245,'Raw Data 07-31-2020'!D$6:D$254)</f>
        <v>0</v>
      </c>
      <c r="F245" s="5"/>
      <c r="G245" s="3">
        <f t="shared" si="5"/>
        <v>0</v>
      </c>
      <c r="H245" s="109" t="s">
        <v>439</v>
      </c>
    </row>
    <row r="246" spans="1:8" x14ac:dyDescent="0.75">
      <c r="A246" s="14">
        <v>7400</v>
      </c>
      <c r="B246" s="18" t="s">
        <v>693</v>
      </c>
      <c r="C246" s="3">
        <f>SUMIF('Raw Data 07-31-2020'!$A$6:$A$254,'Q3 TB-20'!A246,'Raw Data 07-31-2020'!C$6:C$254)</f>
        <v>0</v>
      </c>
      <c r="D246" s="4"/>
      <c r="E246" s="3">
        <f>SUMIF('Raw Data 07-31-2020'!$A$6:$A$254,'Q3 TB-20'!A246,'Raw Data 07-31-2020'!D$6:D$254)</f>
        <v>0</v>
      </c>
      <c r="F246" s="5"/>
      <c r="G246" s="3">
        <f t="shared" si="5"/>
        <v>0</v>
      </c>
      <c r="H246" s="109" t="s">
        <v>951</v>
      </c>
    </row>
    <row r="247" spans="1:8" x14ac:dyDescent="0.75">
      <c r="A247" s="12">
        <v>7500</v>
      </c>
      <c r="B247" s="13" t="s">
        <v>620</v>
      </c>
      <c r="C247" s="3">
        <f>SUMIF('Raw Data 07-31-2020'!$A$6:$A$254,'Q3 TB-20'!A247,'Raw Data 07-31-2020'!C$6:C$254)</f>
        <v>0</v>
      </c>
      <c r="D247" s="4"/>
      <c r="E247" s="3">
        <f>SUMIF('Raw Data 07-31-2020'!$A$6:$A$254,'Q3 TB-20'!A247,'Raw Data 07-31-2020'!D$6:D$254)</f>
        <v>0</v>
      </c>
      <c r="F247" s="5"/>
      <c r="G247" s="3">
        <f t="shared" si="5"/>
        <v>0</v>
      </c>
      <c r="H247" s="109" t="s">
        <v>441</v>
      </c>
    </row>
    <row r="248" spans="1:8" x14ac:dyDescent="0.75">
      <c r="A248" s="12">
        <v>7510</v>
      </c>
      <c r="B248" s="13" t="s">
        <v>621</v>
      </c>
      <c r="C248" s="3">
        <f>SUMIF('Raw Data 07-31-2020'!$A$6:$A$254,'Q3 TB-20'!A248,'Raw Data 07-31-2020'!C$6:C$254)</f>
        <v>4052.95</v>
      </c>
      <c r="D248" s="4"/>
      <c r="E248" s="3">
        <f>SUMIF('Raw Data 07-31-2020'!$A$6:$A$254,'Q3 TB-20'!A248,'Raw Data 07-31-2020'!D$6:D$254)</f>
        <v>0</v>
      </c>
      <c r="F248" s="5"/>
      <c r="G248" s="3">
        <f t="shared" si="5"/>
        <v>4052.95</v>
      </c>
      <c r="H248" s="109" t="s">
        <v>441</v>
      </c>
    </row>
    <row r="249" spans="1:8" x14ac:dyDescent="0.75">
      <c r="A249" s="12">
        <v>7520</v>
      </c>
      <c r="B249" s="13" t="s">
        <v>622</v>
      </c>
      <c r="C249" s="3">
        <f>SUMIF('Raw Data 07-31-2020'!$A$6:$A$254,'Q3 TB-20'!A249,'Raw Data 07-31-2020'!C$6:C$254)</f>
        <v>10842.49</v>
      </c>
      <c r="D249" s="4"/>
      <c r="E249" s="3">
        <f>SUMIF('Raw Data 07-31-2020'!$A$6:$A$254,'Q3 TB-20'!A249,'Raw Data 07-31-2020'!D$6:D$254)</f>
        <v>0</v>
      </c>
      <c r="F249" s="5"/>
      <c r="G249" s="3">
        <f t="shared" si="5"/>
        <v>10842.49</v>
      </c>
      <c r="H249" s="109" t="s">
        <v>441</v>
      </c>
    </row>
    <row r="250" spans="1:8" x14ac:dyDescent="0.75">
      <c r="A250" s="12">
        <v>7530</v>
      </c>
      <c r="B250" s="13" t="s">
        <v>623</v>
      </c>
      <c r="C250" s="3">
        <f>SUMIF('Raw Data 07-31-2020'!$A$6:$A$254,'Q3 TB-20'!A250,'Raw Data 07-31-2020'!C$6:C$254)</f>
        <v>27832.5</v>
      </c>
      <c r="D250" s="4"/>
      <c r="E250" s="3">
        <f>SUMIF('Raw Data 07-31-2020'!$A$6:$A$254,'Q3 TB-20'!A250,'Raw Data 07-31-2020'!D$6:D$254)</f>
        <v>0</v>
      </c>
      <c r="F250" s="5"/>
      <c r="G250" s="3">
        <f t="shared" si="5"/>
        <v>27832.5</v>
      </c>
      <c r="H250" s="109" t="s">
        <v>441</v>
      </c>
    </row>
    <row r="251" spans="1:8" x14ac:dyDescent="0.75">
      <c r="A251" s="12">
        <v>7540</v>
      </c>
      <c r="B251" s="13" t="s">
        <v>624</v>
      </c>
      <c r="C251" s="3">
        <f>SUMIF('Raw Data 07-31-2020'!$A$6:$A$254,'Q3 TB-20'!A251,'Raw Data 07-31-2020'!C$6:C$254)</f>
        <v>65386.67</v>
      </c>
      <c r="D251" s="4"/>
      <c r="E251" s="3">
        <f>SUMIF('Raw Data 07-31-2020'!$A$6:$A$254,'Q3 TB-20'!A251,'Raw Data 07-31-2020'!D$6:D$254)</f>
        <v>0</v>
      </c>
      <c r="F251" s="5"/>
      <c r="G251" s="3">
        <f t="shared" si="5"/>
        <v>65386.67</v>
      </c>
      <c r="H251" s="109" t="s">
        <v>441</v>
      </c>
    </row>
    <row r="252" spans="1:8" x14ac:dyDescent="0.75">
      <c r="A252" s="12" t="s">
        <v>945</v>
      </c>
      <c r="B252" s="13" t="s">
        <v>946</v>
      </c>
      <c r="C252" s="3">
        <f>SUMIF('Raw Data 07-31-2020'!$A$6:$A$254,'Q3 TB-20'!A252,'Raw Data 07-31-2020'!C$6:C$254)</f>
        <v>112974</v>
      </c>
      <c r="D252" s="4"/>
      <c r="E252" s="3">
        <f>SUMIF('Raw Data 07-31-2020'!$A$6:$A$254,'Q3 TB-20'!A252,'Raw Data 07-31-2020'!D$6:D$254)</f>
        <v>0</v>
      </c>
      <c r="F252" s="5"/>
      <c r="G252" s="3">
        <f t="shared" si="5"/>
        <v>112974</v>
      </c>
      <c r="H252" s="109" t="s">
        <v>441</v>
      </c>
    </row>
    <row r="253" spans="1:8" x14ac:dyDescent="0.75">
      <c r="A253" s="14">
        <v>7600</v>
      </c>
      <c r="B253" s="18" t="s">
        <v>694</v>
      </c>
      <c r="C253" s="3">
        <f>SUMIF('Raw Data 07-31-2020'!$A$6:$A$254,'Q3 TB-20'!A253,'Raw Data 07-31-2020'!C$6:C$254)</f>
        <v>0</v>
      </c>
      <c r="D253" s="4"/>
      <c r="E253" s="3">
        <f>SUMIF('Raw Data 07-31-2020'!$A$6:$A$254,'Q3 TB-20'!A253,'Raw Data 07-31-2020'!D$6:D$254)</f>
        <v>0</v>
      </c>
      <c r="F253" s="5"/>
      <c r="G253" s="3">
        <f t="shared" si="5"/>
        <v>0</v>
      </c>
      <c r="H253" s="109" t="s">
        <v>439</v>
      </c>
    </row>
    <row r="254" spans="1:8" x14ac:dyDescent="0.75">
      <c r="A254" s="14">
        <v>7700</v>
      </c>
      <c r="B254" s="18" t="s">
        <v>695</v>
      </c>
      <c r="C254" s="3">
        <f>SUMIF('Raw Data 07-31-2020'!$A$6:$A$254,'Q3 TB-20'!A254,'Raw Data 07-31-2020'!C$6:C$254)</f>
        <v>0</v>
      </c>
      <c r="D254" s="4"/>
      <c r="E254" s="3">
        <f>SUMIF('Raw Data 07-31-2020'!$A$6:$A$254,'Q3 TB-20'!A254,'Raw Data 07-31-2020'!D$6:D$254)</f>
        <v>0</v>
      </c>
      <c r="F254" s="5"/>
      <c r="G254" s="3">
        <f t="shared" si="5"/>
        <v>0</v>
      </c>
      <c r="H254" s="109" t="s">
        <v>439</v>
      </c>
    </row>
    <row r="255" spans="1:8" x14ac:dyDescent="0.75">
      <c r="C255" s="51">
        <f>SUM(C6:C254)</f>
        <v>13239767.469999997</v>
      </c>
      <c r="E255" s="51">
        <f>SUM(E6:E254)</f>
        <v>13239767.469999999</v>
      </c>
      <c r="G255" s="51">
        <f>SUM(G6:G254)</f>
        <v>-1.9063008949160576E-9</v>
      </c>
    </row>
  </sheetData>
  <mergeCells count="3">
    <mergeCell ref="B1:D1"/>
    <mergeCell ref="B2:D2"/>
    <mergeCell ref="B3:D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57345" r:id="rId4" name="FILT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57345" r:id="rId4" name="FILTER"/>
      </mc:Fallback>
    </mc:AlternateContent>
    <mc:AlternateContent xmlns:mc="http://schemas.openxmlformats.org/markup-compatibility/2006">
      <mc:Choice Requires="x14">
        <control shapeId="57346" r:id="rId6" name="HEAD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85725</xdr:colOff>
                <xdr:row>4</xdr:row>
                <xdr:rowOff>41275</xdr:rowOff>
              </to>
            </anchor>
          </controlPr>
        </control>
      </mc:Choice>
      <mc:Fallback>
        <control shapeId="57346" r:id="rId6" name="HEADER"/>
      </mc:Fallback>
    </mc:AlternateContent>
  </control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A77E-8D6D-4DAF-96D5-8A8350F1F9B7}">
  <sheetPr>
    <tabColor theme="7" tint="0.59999389629810485"/>
  </sheetPr>
  <dimension ref="A1:H183"/>
  <sheetViews>
    <sheetView topLeftCell="A148" workbookViewId="0">
      <selection activeCell="C174" sqref="C174"/>
    </sheetView>
  </sheetViews>
  <sheetFormatPr defaultColWidth="9.1328125" defaultRowHeight="14.75" x14ac:dyDescent="0.75"/>
  <cols>
    <col min="1" max="1" width="9.1328125" style="85"/>
    <col min="2" max="2" width="52.40625" style="85" customWidth="1"/>
    <col min="3" max="4" width="13.7265625" style="85" customWidth="1"/>
    <col min="5" max="5" width="19.86328125" style="85" customWidth="1"/>
    <col min="6" max="6" width="20.86328125" style="32" customWidth="1"/>
    <col min="7" max="7" width="9.1328125" style="85"/>
    <col min="8" max="8" width="12.26953125" style="85" bestFit="1" customWidth="1"/>
    <col min="9" max="16384" width="9.1328125" style="85"/>
  </cols>
  <sheetData>
    <row r="1" spans="1:6" ht="18" x14ac:dyDescent="0.8">
      <c r="B1" s="195" t="s">
        <v>696</v>
      </c>
      <c r="C1" s="197"/>
      <c r="D1" s="197"/>
    </row>
    <row r="2" spans="1:6" ht="18" x14ac:dyDescent="0.8">
      <c r="B2" s="195" t="s">
        <v>697</v>
      </c>
      <c r="C2" s="197"/>
      <c r="D2" s="197"/>
      <c r="F2" s="32" t="s">
        <v>955</v>
      </c>
    </row>
    <row r="3" spans="1:6" x14ac:dyDescent="0.75">
      <c r="B3" s="199" t="s">
        <v>806</v>
      </c>
      <c r="C3" s="197"/>
      <c r="D3" s="197"/>
    </row>
    <row r="4" spans="1:6" x14ac:dyDescent="0.75">
      <c r="E4" s="88"/>
    </row>
    <row r="5" spans="1:6" x14ac:dyDescent="0.75">
      <c r="B5" s="52"/>
      <c r="C5" s="80" t="s">
        <v>0</v>
      </c>
      <c r="D5" s="80" t="s">
        <v>1</v>
      </c>
      <c r="E5" s="88"/>
      <c r="F5" s="80" t="s">
        <v>170</v>
      </c>
    </row>
    <row r="6" spans="1:6" x14ac:dyDescent="0.75">
      <c r="A6" s="85">
        <f t="shared" ref="A6:A69" si="0">VALUE(LEFT(B6,4))</f>
        <v>1005</v>
      </c>
      <c r="B6" s="81" t="s">
        <v>698</v>
      </c>
      <c r="C6" s="82">
        <f>0</f>
        <v>0</v>
      </c>
      <c r="D6" s="83"/>
      <c r="F6" s="32">
        <f>C6-D6</f>
        <v>0</v>
      </c>
    </row>
    <row r="7" spans="1:6" x14ac:dyDescent="0.75">
      <c r="A7" s="85">
        <f t="shared" si="0"/>
        <v>1010</v>
      </c>
      <c r="B7" s="81" t="s">
        <v>193</v>
      </c>
      <c r="C7" s="82">
        <f>119906.86</f>
        <v>119906.86</v>
      </c>
      <c r="D7" s="83"/>
      <c r="F7" s="32">
        <f t="shared" ref="F7:F70" si="1">C7-D7</f>
        <v>119906.86</v>
      </c>
    </row>
    <row r="8" spans="1:6" x14ac:dyDescent="0.75">
      <c r="A8" s="85">
        <f t="shared" si="0"/>
        <v>1020</v>
      </c>
      <c r="B8" s="81" t="s">
        <v>194</v>
      </c>
      <c r="C8" s="82">
        <f>272640.13</f>
        <v>272640.13</v>
      </c>
      <c r="D8" s="83"/>
      <c r="F8" s="32">
        <f t="shared" si="1"/>
        <v>272640.13</v>
      </c>
    </row>
    <row r="9" spans="1:6" x14ac:dyDescent="0.75">
      <c r="A9" s="85">
        <f t="shared" si="0"/>
        <v>1200</v>
      </c>
      <c r="B9" s="81" t="s">
        <v>699</v>
      </c>
      <c r="C9" s="82">
        <f>27547.76</f>
        <v>27547.759999999998</v>
      </c>
      <c r="D9" s="83"/>
      <c r="F9" s="32">
        <f t="shared" si="1"/>
        <v>27547.759999999998</v>
      </c>
    </row>
    <row r="10" spans="1:6" x14ac:dyDescent="0.75">
      <c r="A10" s="85">
        <f t="shared" si="0"/>
        <v>1210</v>
      </c>
      <c r="B10" s="81" t="s">
        <v>700</v>
      </c>
      <c r="C10" s="82">
        <f>0</f>
        <v>0</v>
      </c>
      <c r="D10" s="83"/>
      <c r="F10" s="32">
        <f t="shared" si="1"/>
        <v>0</v>
      </c>
    </row>
    <row r="11" spans="1:6" x14ac:dyDescent="0.75">
      <c r="A11" s="85">
        <f t="shared" si="0"/>
        <v>1250</v>
      </c>
      <c r="B11" s="81" t="s">
        <v>701</v>
      </c>
      <c r="C11" s="82">
        <f>0</f>
        <v>0</v>
      </c>
      <c r="D11" s="83"/>
      <c r="F11" s="32">
        <f t="shared" si="1"/>
        <v>0</v>
      </c>
    </row>
    <row r="12" spans="1:6" x14ac:dyDescent="0.75">
      <c r="A12" s="85">
        <f t="shared" si="0"/>
        <v>1280</v>
      </c>
      <c r="B12" s="81" t="s">
        <v>702</v>
      </c>
      <c r="C12" s="82">
        <f>0</f>
        <v>0</v>
      </c>
      <c r="D12" s="83"/>
      <c r="F12" s="32">
        <f t="shared" si="1"/>
        <v>0</v>
      </c>
    </row>
    <row r="13" spans="1:6" x14ac:dyDescent="0.75">
      <c r="A13" s="85">
        <f t="shared" si="0"/>
        <v>1290</v>
      </c>
      <c r="B13" s="81" t="s">
        <v>703</v>
      </c>
      <c r="C13" s="82">
        <f>0</f>
        <v>0</v>
      </c>
      <c r="D13" s="83"/>
      <c r="F13" s="32">
        <f t="shared" si="1"/>
        <v>0</v>
      </c>
    </row>
    <row r="14" spans="1:6" x14ac:dyDescent="0.75">
      <c r="A14" s="85">
        <f t="shared" si="0"/>
        <v>1310</v>
      </c>
      <c r="B14" s="81" t="s">
        <v>200</v>
      </c>
      <c r="C14" s="93">
        <f>27443.81-27443.81</f>
        <v>0</v>
      </c>
      <c r="D14" s="83"/>
      <c r="F14" s="32">
        <f t="shared" si="1"/>
        <v>0</v>
      </c>
    </row>
    <row r="15" spans="1:6" x14ac:dyDescent="0.75">
      <c r="A15" s="85">
        <f t="shared" si="0"/>
        <v>1320</v>
      </c>
      <c r="B15" s="81" t="s">
        <v>201</v>
      </c>
      <c r="C15" s="82">
        <f>0</f>
        <v>0</v>
      </c>
      <c r="D15" s="83"/>
      <c r="F15" s="32">
        <f t="shared" si="1"/>
        <v>0</v>
      </c>
    </row>
    <row r="16" spans="1:6" x14ac:dyDescent="0.75">
      <c r="A16" s="85">
        <f t="shared" si="0"/>
        <v>1330</v>
      </c>
      <c r="B16" s="81" t="s">
        <v>704</v>
      </c>
      <c r="C16" s="82">
        <f>0</f>
        <v>0</v>
      </c>
      <c r="D16" s="83"/>
      <c r="F16" s="32">
        <f t="shared" si="1"/>
        <v>0</v>
      </c>
    </row>
    <row r="17" spans="1:6" x14ac:dyDescent="0.75">
      <c r="A17" s="85">
        <f t="shared" si="0"/>
        <v>1340</v>
      </c>
      <c r="B17" s="81" t="s">
        <v>705</v>
      </c>
      <c r="C17" s="82">
        <f>0</f>
        <v>0</v>
      </c>
      <c r="D17" s="83"/>
      <c r="F17" s="32">
        <f t="shared" si="1"/>
        <v>0</v>
      </c>
    </row>
    <row r="18" spans="1:6" x14ac:dyDescent="0.75">
      <c r="A18" s="85">
        <f t="shared" si="0"/>
        <v>1410</v>
      </c>
      <c r="B18" s="81" t="s">
        <v>204</v>
      </c>
      <c r="C18" s="82">
        <f>16000</f>
        <v>16000</v>
      </c>
      <c r="D18" s="83"/>
      <c r="F18" s="32">
        <f t="shared" si="1"/>
        <v>16000</v>
      </c>
    </row>
    <row r="19" spans="1:6" x14ac:dyDescent="0.75">
      <c r="A19" s="85">
        <f t="shared" si="0"/>
        <v>1430</v>
      </c>
      <c r="B19" s="81" t="s">
        <v>706</v>
      </c>
      <c r="C19" s="82">
        <f>0</f>
        <v>0</v>
      </c>
      <c r="D19" s="83"/>
      <c r="F19" s="32">
        <f t="shared" si="1"/>
        <v>0</v>
      </c>
    </row>
    <row r="20" spans="1:6" x14ac:dyDescent="0.75">
      <c r="A20" s="85">
        <f t="shared" si="0"/>
        <v>1710</v>
      </c>
      <c r="B20" s="81" t="s">
        <v>807</v>
      </c>
      <c r="C20" s="82">
        <f>97384.17</f>
        <v>97384.17</v>
      </c>
      <c r="D20" s="83"/>
      <c r="F20" s="32">
        <f t="shared" si="1"/>
        <v>97384.17</v>
      </c>
    </row>
    <row r="21" spans="1:6" x14ac:dyDescent="0.75">
      <c r="A21" s="85">
        <f t="shared" si="0"/>
        <v>1715</v>
      </c>
      <c r="B21" s="81" t="s">
        <v>707</v>
      </c>
      <c r="C21" s="82">
        <f>0</f>
        <v>0</v>
      </c>
      <c r="D21" s="83"/>
      <c r="F21" s="32">
        <f t="shared" si="1"/>
        <v>0</v>
      </c>
    </row>
    <row r="22" spans="1:6" x14ac:dyDescent="0.75">
      <c r="A22" s="85">
        <f t="shared" si="0"/>
        <v>1720</v>
      </c>
      <c r="B22" s="81" t="s">
        <v>708</v>
      </c>
      <c r="C22" s="82">
        <f>0</f>
        <v>0</v>
      </c>
      <c r="D22" s="83"/>
      <c r="F22" s="32">
        <f t="shared" si="1"/>
        <v>0</v>
      </c>
    </row>
    <row r="23" spans="1:6" x14ac:dyDescent="0.75">
      <c r="A23" s="85">
        <f t="shared" si="0"/>
        <v>1735</v>
      </c>
      <c r="B23" s="81" t="s">
        <v>709</v>
      </c>
      <c r="C23" s="82">
        <f>4977.65</f>
        <v>4977.6499999999996</v>
      </c>
      <c r="D23" s="83"/>
      <c r="F23" s="32">
        <f t="shared" si="1"/>
        <v>4977.6499999999996</v>
      </c>
    </row>
    <row r="24" spans="1:6" x14ac:dyDescent="0.75">
      <c r="A24" s="85">
        <f t="shared" si="0"/>
        <v>1740</v>
      </c>
      <c r="B24" s="81" t="s">
        <v>710</v>
      </c>
      <c r="C24" s="82">
        <f>0</f>
        <v>0</v>
      </c>
      <c r="D24" s="83"/>
      <c r="F24" s="32">
        <f t="shared" si="1"/>
        <v>0</v>
      </c>
    </row>
    <row r="25" spans="1:6" x14ac:dyDescent="0.75">
      <c r="A25" s="85">
        <f t="shared" si="0"/>
        <v>1745</v>
      </c>
      <c r="B25" s="81" t="s">
        <v>711</v>
      </c>
      <c r="C25" s="82">
        <f>179916.22</f>
        <v>179916.22</v>
      </c>
      <c r="D25" s="83"/>
      <c r="F25" s="32">
        <f t="shared" si="1"/>
        <v>179916.22</v>
      </c>
    </row>
    <row r="26" spans="1:6" x14ac:dyDescent="0.75">
      <c r="A26" s="85">
        <f t="shared" si="0"/>
        <v>1750</v>
      </c>
      <c r="B26" s="81" t="s">
        <v>808</v>
      </c>
      <c r="C26" s="82">
        <f>10394.01</f>
        <v>10394.01</v>
      </c>
      <c r="D26" s="83"/>
      <c r="F26" s="32">
        <f t="shared" si="1"/>
        <v>10394.01</v>
      </c>
    </row>
    <row r="27" spans="1:6" x14ac:dyDescent="0.75">
      <c r="A27" s="85">
        <f t="shared" si="0"/>
        <v>1755</v>
      </c>
      <c r="B27" s="81" t="s">
        <v>712</v>
      </c>
      <c r="C27" s="82">
        <f>787.91</f>
        <v>787.91</v>
      </c>
      <c r="D27" s="83"/>
      <c r="F27" s="32">
        <f t="shared" si="1"/>
        <v>787.91</v>
      </c>
    </row>
    <row r="28" spans="1:6" x14ac:dyDescent="0.75">
      <c r="A28" s="85">
        <f t="shared" si="0"/>
        <v>1760</v>
      </c>
      <c r="B28" s="81" t="s">
        <v>713</v>
      </c>
      <c r="C28" s="82">
        <f>20105.95</f>
        <v>20105.95</v>
      </c>
      <c r="D28" s="83"/>
      <c r="F28" s="32">
        <f t="shared" si="1"/>
        <v>20105.95</v>
      </c>
    </row>
    <row r="29" spans="1:6" x14ac:dyDescent="0.75">
      <c r="A29" s="85">
        <f t="shared" si="0"/>
        <v>1765</v>
      </c>
      <c r="B29" s="81" t="s">
        <v>714</v>
      </c>
      <c r="C29" s="82">
        <f>1015.31</f>
        <v>1015.31</v>
      </c>
      <c r="D29" s="83"/>
      <c r="F29" s="32">
        <f t="shared" si="1"/>
        <v>1015.31</v>
      </c>
    </row>
    <row r="30" spans="1:6" x14ac:dyDescent="0.75">
      <c r="A30" s="85">
        <f t="shared" si="0"/>
        <v>1781</v>
      </c>
      <c r="B30" s="81" t="s">
        <v>809</v>
      </c>
      <c r="C30" s="83"/>
      <c r="D30" s="82">
        <f>23548.09</f>
        <v>23548.09</v>
      </c>
      <c r="F30" s="32">
        <f t="shared" si="1"/>
        <v>-23548.09</v>
      </c>
    </row>
    <row r="31" spans="1:6" x14ac:dyDescent="0.75">
      <c r="A31" s="85">
        <f t="shared" si="0"/>
        <v>1782</v>
      </c>
      <c r="B31" s="81" t="s">
        <v>715</v>
      </c>
      <c r="C31" s="82">
        <f>0</f>
        <v>0</v>
      </c>
      <c r="D31" s="83"/>
      <c r="F31" s="32">
        <f t="shared" si="1"/>
        <v>0</v>
      </c>
    </row>
    <row r="32" spans="1:6" x14ac:dyDescent="0.75">
      <c r="A32" s="85">
        <f t="shared" si="0"/>
        <v>1783</v>
      </c>
      <c r="B32" s="81" t="s">
        <v>716</v>
      </c>
      <c r="C32" s="82">
        <f>0</f>
        <v>0</v>
      </c>
      <c r="D32" s="83"/>
      <c r="F32" s="32">
        <f t="shared" si="1"/>
        <v>0</v>
      </c>
    </row>
    <row r="33" spans="1:6" x14ac:dyDescent="0.75">
      <c r="A33" s="85">
        <f t="shared" si="0"/>
        <v>1785</v>
      </c>
      <c r="B33" s="81" t="s">
        <v>717</v>
      </c>
      <c r="C33" s="83"/>
      <c r="D33" s="82">
        <f>3358</f>
        <v>3358</v>
      </c>
      <c r="F33" s="32">
        <f t="shared" si="1"/>
        <v>-3358</v>
      </c>
    </row>
    <row r="34" spans="1:6" x14ac:dyDescent="0.75">
      <c r="A34" s="85">
        <f t="shared" si="0"/>
        <v>1786</v>
      </c>
      <c r="B34" s="81" t="s">
        <v>718</v>
      </c>
      <c r="C34" s="82">
        <f>0</f>
        <v>0</v>
      </c>
      <c r="D34" s="83"/>
      <c r="F34" s="32">
        <f t="shared" si="1"/>
        <v>0</v>
      </c>
    </row>
    <row r="35" spans="1:6" x14ac:dyDescent="0.75">
      <c r="A35" s="85">
        <f t="shared" si="0"/>
        <v>1787</v>
      </c>
      <c r="B35" s="81" t="s">
        <v>719</v>
      </c>
      <c r="C35" s="83"/>
      <c r="D35" s="82">
        <f>155107.56</f>
        <v>155107.56</v>
      </c>
      <c r="F35" s="32">
        <f t="shared" si="1"/>
        <v>-155107.56</v>
      </c>
    </row>
    <row r="36" spans="1:6" x14ac:dyDescent="0.75">
      <c r="A36" s="85">
        <f t="shared" si="0"/>
        <v>1788</v>
      </c>
      <c r="B36" s="81" t="s">
        <v>810</v>
      </c>
      <c r="C36" s="83"/>
      <c r="D36" s="82">
        <f>10394.01</f>
        <v>10394.01</v>
      </c>
      <c r="F36" s="32">
        <f t="shared" si="1"/>
        <v>-10394.01</v>
      </c>
    </row>
    <row r="37" spans="1:6" x14ac:dyDescent="0.75">
      <c r="A37" s="85">
        <f t="shared" si="0"/>
        <v>1789</v>
      </c>
      <c r="B37" s="81" t="s">
        <v>720</v>
      </c>
      <c r="C37" s="83"/>
      <c r="D37" s="82">
        <f>787.91</f>
        <v>787.91</v>
      </c>
      <c r="F37" s="32">
        <f t="shared" si="1"/>
        <v>-787.91</v>
      </c>
    </row>
    <row r="38" spans="1:6" x14ac:dyDescent="0.75">
      <c r="A38" s="85">
        <f t="shared" si="0"/>
        <v>1790</v>
      </c>
      <c r="B38" s="81" t="s">
        <v>721</v>
      </c>
      <c r="C38" s="83"/>
      <c r="D38" s="82">
        <f>1015.31</f>
        <v>1015.31</v>
      </c>
      <c r="F38" s="32">
        <f t="shared" si="1"/>
        <v>-1015.31</v>
      </c>
    </row>
    <row r="39" spans="1:6" x14ac:dyDescent="0.75">
      <c r="A39" s="85">
        <f t="shared" si="0"/>
        <v>1791</v>
      </c>
      <c r="B39" s="81" t="s">
        <v>722</v>
      </c>
      <c r="C39" s="83"/>
      <c r="D39" s="82">
        <f>19154.07</f>
        <v>19154.07</v>
      </c>
      <c r="F39" s="32">
        <f t="shared" si="1"/>
        <v>-19154.07</v>
      </c>
    </row>
    <row r="40" spans="1:6" x14ac:dyDescent="0.75">
      <c r="A40" s="85">
        <f t="shared" si="0"/>
        <v>1820</v>
      </c>
      <c r="B40" s="81" t="s">
        <v>229</v>
      </c>
      <c r="C40" s="82">
        <f>0</f>
        <v>0</v>
      </c>
      <c r="D40" s="83"/>
      <c r="F40" s="32">
        <f t="shared" si="1"/>
        <v>0</v>
      </c>
    </row>
    <row r="41" spans="1:6" x14ac:dyDescent="0.75">
      <c r="A41" s="85">
        <f t="shared" si="0"/>
        <v>1830</v>
      </c>
      <c r="B41" s="81" t="s">
        <v>723</v>
      </c>
      <c r="C41" s="82">
        <f>0</f>
        <v>0</v>
      </c>
      <c r="D41" s="83"/>
      <c r="F41" s="32">
        <f t="shared" si="1"/>
        <v>0</v>
      </c>
    </row>
    <row r="42" spans="1:6" x14ac:dyDescent="0.75">
      <c r="A42" s="85">
        <f t="shared" si="0"/>
        <v>1840</v>
      </c>
      <c r="B42" s="81" t="s">
        <v>811</v>
      </c>
      <c r="C42" s="82">
        <f>0</f>
        <v>0</v>
      </c>
      <c r="D42" s="83"/>
      <c r="F42" s="32">
        <f t="shared" si="1"/>
        <v>0</v>
      </c>
    </row>
    <row r="43" spans="1:6" x14ac:dyDescent="0.75">
      <c r="A43" s="85">
        <f t="shared" si="0"/>
        <v>1900</v>
      </c>
      <c r="B43" s="81" t="s">
        <v>233</v>
      </c>
      <c r="C43" s="93">
        <f>5980-5980</f>
        <v>0</v>
      </c>
      <c r="D43" s="83"/>
      <c r="F43" s="32">
        <f t="shared" si="1"/>
        <v>0</v>
      </c>
    </row>
    <row r="44" spans="1:6" x14ac:dyDescent="0.75">
      <c r="A44" s="85">
        <f t="shared" si="0"/>
        <v>1902</v>
      </c>
      <c r="B44" s="81" t="s">
        <v>812</v>
      </c>
      <c r="C44" s="93">
        <f>3245-3245</f>
        <v>0</v>
      </c>
      <c r="D44" s="83"/>
      <c r="F44" s="32">
        <f t="shared" si="1"/>
        <v>0</v>
      </c>
    </row>
    <row r="45" spans="1:6" x14ac:dyDescent="0.75">
      <c r="A45" s="85">
        <f t="shared" si="0"/>
        <v>1904</v>
      </c>
      <c r="B45" s="81" t="s">
        <v>724</v>
      </c>
      <c r="C45" s="82">
        <f>0</f>
        <v>0</v>
      </c>
      <c r="D45" s="83"/>
      <c r="F45" s="32">
        <f t="shared" si="1"/>
        <v>0</v>
      </c>
    </row>
    <row r="46" spans="1:6" x14ac:dyDescent="0.75">
      <c r="A46" s="85">
        <f t="shared" si="0"/>
        <v>1906</v>
      </c>
      <c r="B46" s="81" t="s">
        <v>725</v>
      </c>
      <c r="C46" s="82">
        <f>0</f>
        <v>0</v>
      </c>
      <c r="D46" s="83"/>
      <c r="F46" s="32">
        <f t="shared" si="1"/>
        <v>0</v>
      </c>
    </row>
    <row r="47" spans="1:6" x14ac:dyDescent="0.75">
      <c r="A47" s="85">
        <f t="shared" si="0"/>
        <v>1908</v>
      </c>
      <c r="B47" s="81" t="s">
        <v>241</v>
      </c>
      <c r="C47" s="82">
        <f>0</f>
        <v>0</v>
      </c>
      <c r="D47" s="83"/>
      <c r="F47" s="32">
        <f t="shared" si="1"/>
        <v>0</v>
      </c>
    </row>
    <row r="48" spans="1:6" x14ac:dyDescent="0.75">
      <c r="A48" s="85">
        <f t="shared" si="0"/>
        <v>1910</v>
      </c>
      <c r="B48" s="81" t="s">
        <v>726</v>
      </c>
      <c r="C48" s="93">
        <f>2500-2500</f>
        <v>0</v>
      </c>
      <c r="D48" s="83"/>
      <c r="F48" s="32">
        <f t="shared" si="1"/>
        <v>0</v>
      </c>
    </row>
    <row r="49" spans="1:6" x14ac:dyDescent="0.75">
      <c r="A49" s="85">
        <f t="shared" si="0"/>
        <v>1912</v>
      </c>
      <c r="B49" s="81" t="s">
        <v>727</v>
      </c>
      <c r="C49" s="82">
        <f>0</f>
        <v>0</v>
      </c>
      <c r="D49" s="83"/>
      <c r="F49" s="32">
        <f t="shared" si="1"/>
        <v>0</v>
      </c>
    </row>
    <row r="50" spans="1:6" x14ac:dyDescent="0.75">
      <c r="A50" s="85">
        <f t="shared" si="0"/>
        <v>1914</v>
      </c>
      <c r="B50" s="81" t="s">
        <v>247</v>
      </c>
      <c r="C50" s="82">
        <f>0</f>
        <v>0</v>
      </c>
      <c r="D50" s="83"/>
      <c r="F50" s="32">
        <f t="shared" si="1"/>
        <v>0</v>
      </c>
    </row>
    <row r="51" spans="1:6" x14ac:dyDescent="0.75">
      <c r="A51" s="85">
        <f t="shared" si="0"/>
        <v>1916</v>
      </c>
      <c r="B51" s="81" t="s">
        <v>728</v>
      </c>
      <c r="C51" s="82">
        <f>0</f>
        <v>0</v>
      </c>
      <c r="D51" s="83"/>
      <c r="F51" s="32">
        <f t="shared" si="1"/>
        <v>0</v>
      </c>
    </row>
    <row r="52" spans="1:6" x14ac:dyDescent="0.75">
      <c r="A52" s="85">
        <f t="shared" si="0"/>
        <v>1918</v>
      </c>
      <c r="B52" s="81" t="s">
        <v>729</v>
      </c>
      <c r="C52" s="82">
        <f>0</f>
        <v>0</v>
      </c>
      <c r="D52" s="83"/>
      <c r="F52" s="32">
        <f t="shared" si="1"/>
        <v>0</v>
      </c>
    </row>
    <row r="53" spans="1:6" x14ac:dyDescent="0.75">
      <c r="A53" s="85">
        <f t="shared" si="0"/>
        <v>1920</v>
      </c>
      <c r="B53" s="81" t="s">
        <v>730</v>
      </c>
      <c r="C53" s="82">
        <f>0</f>
        <v>0</v>
      </c>
      <c r="D53" s="83"/>
      <c r="F53" s="32">
        <f t="shared" si="1"/>
        <v>0</v>
      </c>
    </row>
    <row r="54" spans="1:6" x14ac:dyDescent="0.75">
      <c r="A54" s="85">
        <f t="shared" si="0"/>
        <v>1922</v>
      </c>
      <c r="B54" s="81" t="s">
        <v>731</v>
      </c>
      <c r="C54" s="82">
        <f>0</f>
        <v>0</v>
      </c>
      <c r="D54" s="83"/>
      <c r="F54" s="32">
        <f t="shared" si="1"/>
        <v>0</v>
      </c>
    </row>
    <row r="55" spans="1:6" x14ac:dyDescent="0.75">
      <c r="A55" s="85">
        <f t="shared" si="0"/>
        <v>1924</v>
      </c>
      <c r="B55" s="81" t="s">
        <v>732</v>
      </c>
      <c r="C55" s="93">
        <f>16253.59-16253.59</f>
        <v>0</v>
      </c>
      <c r="D55" s="83"/>
      <c r="F55" s="32">
        <f t="shared" si="1"/>
        <v>0</v>
      </c>
    </row>
    <row r="56" spans="1:6" x14ac:dyDescent="0.75">
      <c r="A56" s="85">
        <f t="shared" si="0"/>
        <v>1926</v>
      </c>
      <c r="B56" s="81" t="s">
        <v>733</v>
      </c>
      <c r="C56" s="82">
        <f>0</f>
        <v>0</v>
      </c>
      <c r="D56" s="83"/>
      <c r="F56" s="32">
        <f t="shared" si="1"/>
        <v>0</v>
      </c>
    </row>
    <row r="57" spans="1:6" x14ac:dyDescent="0.75">
      <c r="A57" s="85">
        <f t="shared" si="0"/>
        <v>1928</v>
      </c>
      <c r="B57" s="81" t="s">
        <v>734</v>
      </c>
      <c r="C57" s="82">
        <f>43132.88</f>
        <v>43132.88</v>
      </c>
      <c r="D57" s="83"/>
      <c r="F57" s="32">
        <f t="shared" si="1"/>
        <v>43132.88</v>
      </c>
    </row>
    <row r="58" spans="1:6" x14ac:dyDescent="0.75">
      <c r="A58" s="85">
        <f t="shared" si="0"/>
        <v>1930</v>
      </c>
      <c r="B58" s="81" t="s">
        <v>735</v>
      </c>
      <c r="C58" s="82">
        <f>0</f>
        <v>0</v>
      </c>
      <c r="D58" s="83"/>
      <c r="F58" s="32">
        <f t="shared" si="1"/>
        <v>0</v>
      </c>
    </row>
    <row r="59" spans="1:6" x14ac:dyDescent="0.75">
      <c r="A59" s="85">
        <f t="shared" si="0"/>
        <v>1950</v>
      </c>
      <c r="B59" s="81" t="s">
        <v>930</v>
      </c>
      <c r="C59" s="83"/>
      <c r="D59" s="93">
        <f>29986.13+3392.34</f>
        <v>33378.47</v>
      </c>
      <c r="F59" s="32">
        <f t="shared" si="1"/>
        <v>-33378.47</v>
      </c>
    </row>
    <row r="60" spans="1:6" x14ac:dyDescent="0.75">
      <c r="A60" s="85">
        <f t="shared" si="0"/>
        <v>1932</v>
      </c>
      <c r="B60" s="81" t="s">
        <v>736</v>
      </c>
      <c r="C60" s="82">
        <f>0</f>
        <v>0</v>
      </c>
      <c r="D60" s="83"/>
      <c r="F60" s="32">
        <f t="shared" si="1"/>
        <v>0</v>
      </c>
    </row>
    <row r="61" spans="1:6" x14ac:dyDescent="0.75">
      <c r="A61" s="85">
        <f t="shared" si="0"/>
        <v>1960</v>
      </c>
      <c r="B61" s="81" t="s">
        <v>737</v>
      </c>
      <c r="C61" s="82">
        <f>0</f>
        <v>0</v>
      </c>
      <c r="D61" s="83"/>
      <c r="F61" s="32">
        <f t="shared" si="1"/>
        <v>0</v>
      </c>
    </row>
    <row r="62" spans="1:6" x14ac:dyDescent="0.75">
      <c r="A62" s="85">
        <f t="shared" si="0"/>
        <v>1980</v>
      </c>
      <c r="B62" s="81" t="s">
        <v>738</v>
      </c>
      <c r="C62" s="82">
        <f>0</f>
        <v>0</v>
      </c>
      <c r="D62" s="83"/>
      <c r="F62" s="32">
        <f t="shared" si="1"/>
        <v>0</v>
      </c>
    </row>
    <row r="63" spans="1:6" x14ac:dyDescent="0.75">
      <c r="A63" s="85">
        <f t="shared" si="0"/>
        <v>2000</v>
      </c>
      <c r="B63" s="81" t="s">
        <v>251</v>
      </c>
      <c r="C63" s="83"/>
      <c r="D63" s="93">
        <f>53507.88-4477.25</f>
        <v>49030.63</v>
      </c>
      <c r="F63" s="32">
        <f t="shared" si="1"/>
        <v>-49030.63</v>
      </c>
    </row>
    <row r="64" spans="1:6" x14ac:dyDescent="0.75">
      <c r="A64" s="85">
        <f t="shared" si="0"/>
        <v>2101</v>
      </c>
      <c r="B64" s="81" t="s">
        <v>739</v>
      </c>
      <c r="C64" s="83"/>
      <c r="D64" s="82">
        <f>2180.96</f>
        <v>2180.96</v>
      </c>
      <c r="F64" s="32">
        <f t="shared" si="1"/>
        <v>-2180.96</v>
      </c>
    </row>
    <row r="65" spans="1:6" x14ac:dyDescent="0.75">
      <c r="A65" s="85">
        <f t="shared" si="0"/>
        <v>2102</v>
      </c>
      <c r="B65" s="81" t="s">
        <v>740</v>
      </c>
      <c r="C65" s="83"/>
      <c r="D65" s="82">
        <f>15648.04</f>
        <v>15648.04</v>
      </c>
      <c r="F65" s="32">
        <f t="shared" si="1"/>
        <v>-15648.04</v>
      </c>
    </row>
    <row r="66" spans="1:6" x14ac:dyDescent="0.75">
      <c r="A66" s="85">
        <f t="shared" si="0"/>
        <v>2103</v>
      </c>
      <c r="B66" s="81" t="s">
        <v>813</v>
      </c>
      <c r="C66" s="83"/>
      <c r="D66" s="82">
        <f>8469.4</f>
        <v>8469.4</v>
      </c>
      <c r="F66" s="32">
        <f t="shared" si="1"/>
        <v>-8469.4</v>
      </c>
    </row>
    <row r="67" spans="1:6" x14ac:dyDescent="0.75">
      <c r="A67" s="85">
        <f t="shared" si="0"/>
        <v>2104</v>
      </c>
      <c r="B67" s="81" t="s">
        <v>741</v>
      </c>
      <c r="C67" s="83"/>
      <c r="D67" s="82">
        <f>10638.18</f>
        <v>10638.18</v>
      </c>
      <c r="F67" s="32">
        <f t="shared" si="1"/>
        <v>-10638.18</v>
      </c>
    </row>
    <row r="68" spans="1:6" x14ac:dyDescent="0.75">
      <c r="A68" s="85">
        <f t="shared" si="0"/>
        <v>2105</v>
      </c>
      <c r="B68" s="81" t="s">
        <v>814</v>
      </c>
      <c r="C68" s="83"/>
      <c r="D68" s="82">
        <f>0</f>
        <v>0</v>
      </c>
      <c r="F68" s="32">
        <f t="shared" si="1"/>
        <v>0</v>
      </c>
    </row>
    <row r="69" spans="1:6" x14ac:dyDescent="0.75">
      <c r="A69" s="85">
        <f t="shared" si="0"/>
        <v>2010</v>
      </c>
      <c r="B69" s="81" t="s">
        <v>277</v>
      </c>
      <c r="C69" s="83"/>
      <c r="D69" s="82">
        <f>0</f>
        <v>0</v>
      </c>
      <c r="F69" s="32">
        <f t="shared" si="1"/>
        <v>0</v>
      </c>
    </row>
    <row r="70" spans="1:6" x14ac:dyDescent="0.75">
      <c r="A70" s="85">
        <f t="shared" ref="A70:A135" si="2">VALUE(LEFT(B70,4))</f>
        <v>2020</v>
      </c>
      <c r="B70" s="81" t="s">
        <v>742</v>
      </c>
      <c r="C70" s="83"/>
      <c r="D70" s="82">
        <f>0</f>
        <v>0</v>
      </c>
      <c r="F70" s="32">
        <f t="shared" si="1"/>
        <v>0</v>
      </c>
    </row>
    <row r="71" spans="1:6" x14ac:dyDescent="0.75">
      <c r="A71" s="85">
        <f t="shared" si="2"/>
        <v>2106</v>
      </c>
      <c r="B71" s="81" t="s">
        <v>743</v>
      </c>
      <c r="C71" s="83"/>
      <c r="D71" s="82">
        <f>8342.54</f>
        <v>8342.5400000000009</v>
      </c>
      <c r="F71" s="32">
        <f t="shared" ref="F71:F136" si="3">C71-D71</f>
        <v>-8342.5400000000009</v>
      </c>
    </row>
    <row r="72" spans="1:6" x14ac:dyDescent="0.75">
      <c r="A72" s="85">
        <f t="shared" si="2"/>
        <v>2210</v>
      </c>
      <c r="B72" s="81" t="s">
        <v>744</v>
      </c>
      <c r="C72" s="83"/>
      <c r="D72" s="93">
        <f>636880.03-253.97+4477.25+21931</f>
        <v>663034.31000000006</v>
      </c>
      <c r="F72" s="32">
        <f t="shared" si="3"/>
        <v>-663034.31000000006</v>
      </c>
    </row>
    <row r="73" spans="1:6" s="89" customFormat="1" x14ac:dyDescent="0.75">
      <c r="A73" s="89">
        <v>2220</v>
      </c>
      <c r="B73" s="81" t="s">
        <v>1001</v>
      </c>
      <c r="C73" s="83"/>
      <c r="D73" s="82">
        <v>0</v>
      </c>
      <c r="F73" s="32">
        <f t="shared" si="3"/>
        <v>0</v>
      </c>
    </row>
    <row r="74" spans="1:6" x14ac:dyDescent="0.75">
      <c r="A74" s="85">
        <f t="shared" si="2"/>
        <v>2231</v>
      </c>
      <c r="B74" s="81" t="s">
        <v>745</v>
      </c>
      <c r="C74" s="83"/>
      <c r="D74" s="82">
        <f>0</f>
        <v>0</v>
      </c>
      <c r="F74" s="32">
        <f t="shared" si="3"/>
        <v>0</v>
      </c>
    </row>
    <row r="75" spans="1:6" x14ac:dyDescent="0.75">
      <c r="A75" s="85">
        <f t="shared" si="2"/>
        <v>2232</v>
      </c>
      <c r="B75" s="81" t="s">
        <v>746</v>
      </c>
      <c r="C75" s="83"/>
      <c r="D75" s="82">
        <f>0</f>
        <v>0</v>
      </c>
      <c r="F75" s="32">
        <f t="shared" si="3"/>
        <v>0</v>
      </c>
    </row>
    <row r="76" spans="1:6" x14ac:dyDescent="0.75">
      <c r="A76" s="85">
        <f t="shared" si="2"/>
        <v>2233</v>
      </c>
      <c r="B76" s="81" t="s">
        <v>747</v>
      </c>
      <c r="C76" s="83"/>
      <c r="D76" s="82">
        <f>0</f>
        <v>0</v>
      </c>
      <c r="F76" s="32">
        <f t="shared" si="3"/>
        <v>0</v>
      </c>
    </row>
    <row r="77" spans="1:6" x14ac:dyDescent="0.75">
      <c r="A77" s="85">
        <f t="shared" si="2"/>
        <v>2235</v>
      </c>
      <c r="B77" s="81" t="s">
        <v>748</v>
      </c>
      <c r="C77" s="83"/>
      <c r="D77" s="82">
        <f>0</f>
        <v>0</v>
      </c>
      <c r="F77" s="32">
        <f t="shared" si="3"/>
        <v>0</v>
      </c>
    </row>
    <row r="78" spans="1:6" x14ac:dyDescent="0.75">
      <c r="A78" s="85">
        <f t="shared" si="2"/>
        <v>2236</v>
      </c>
      <c r="B78" s="81" t="s">
        <v>749</v>
      </c>
      <c r="C78" s="83"/>
      <c r="D78" s="82">
        <f>0</f>
        <v>0</v>
      </c>
      <c r="F78" s="32">
        <f t="shared" si="3"/>
        <v>0</v>
      </c>
    </row>
    <row r="79" spans="1:6" x14ac:dyDescent="0.75">
      <c r="A79" s="85">
        <f t="shared" si="2"/>
        <v>2250</v>
      </c>
      <c r="B79" s="81" t="s">
        <v>750</v>
      </c>
      <c r="C79" s="83"/>
      <c r="D79" s="82">
        <f>0</f>
        <v>0</v>
      </c>
      <c r="F79" s="32">
        <f t="shared" si="3"/>
        <v>0</v>
      </c>
    </row>
    <row r="80" spans="1:6" x14ac:dyDescent="0.75">
      <c r="A80" s="85">
        <f t="shared" si="2"/>
        <v>2270</v>
      </c>
      <c r="B80" s="81" t="s">
        <v>751</v>
      </c>
      <c r="C80" s="83"/>
      <c r="D80" s="82">
        <f>0</f>
        <v>0</v>
      </c>
      <c r="F80" s="32">
        <f t="shared" si="3"/>
        <v>0</v>
      </c>
    </row>
    <row r="81" spans="1:6" x14ac:dyDescent="0.75">
      <c r="A81" s="85">
        <f t="shared" si="2"/>
        <v>2280</v>
      </c>
      <c r="B81" s="81" t="s">
        <v>752</v>
      </c>
      <c r="C81" s="83"/>
      <c r="D81" s="82">
        <f>0</f>
        <v>0</v>
      </c>
      <c r="F81" s="32">
        <f t="shared" si="3"/>
        <v>0</v>
      </c>
    </row>
    <row r="82" spans="1:6" x14ac:dyDescent="0.75">
      <c r="A82" s="85">
        <f t="shared" si="2"/>
        <v>2285</v>
      </c>
      <c r="B82" s="81" t="s">
        <v>753</v>
      </c>
      <c r="C82" s="83"/>
      <c r="D82" s="82">
        <f>0</f>
        <v>0</v>
      </c>
      <c r="F82" s="32">
        <f t="shared" si="3"/>
        <v>0</v>
      </c>
    </row>
    <row r="83" spans="1:6" x14ac:dyDescent="0.75">
      <c r="A83" s="85">
        <f t="shared" si="2"/>
        <v>2290</v>
      </c>
      <c r="B83" s="81" t="s">
        <v>754</v>
      </c>
      <c r="C83" s="83"/>
      <c r="D83" s="93">
        <f>9740-9740</f>
        <v>0</v>
      </c>
      <c r="F83" s="32">
        <f t="shared" si="3"/>
        <v>0</v>
      </c>
    </row>
    <row r="84" spans="1:6" x14ac:dyDescent="0.75">
      <c r="A84" s="85">
        <f t="shared" si="2"/>
        <v>2305</v>
      </c>
      <c r="B84" s="81" t="s">
        <v>755</v>
      </c>
      <c r="C84" s="83"/>
      <c r="D84" s="82">
        <f>1221957.72</f>
        <v>1221957.72</v>
      </c>
      <c r="F84" s="32">
        <f t="shared" si="3"/>
        <v>-1221957.72</v>
      </c>
    </row>
    <row r="85" spans="1:6" x14ac:dyDescent="0.75">
      <c r="A85" s="85">
        <f t="shared" si="2"/>
        <v>2310</v>
      </c>
      <c r="B85" s="81" t="s">
        <v>756</v>
      </c>
      <c r="C85" s="83"/>
      <c r="D85" s="82">
        <f>0</f>
        <v>0</v>
      </c>
      <c r="F85" s="32">
        <f t="shared" si="3"/>
        <v>0</v>
      </c>
    </row>
    <row r="86" spans="1:6" x14ac:dyDescent="0.75">
      <c r="A86" s="85">
        <f t="shared" si="2"/>
        <v>2400</v>
      </c>
      <c r="B86" s="81" t="s">
        <v>757</v>
      </c>
      <c r="C86" s="83"/>
      <c r="D86" s="82">
        <f>0</f>
        <v>0</v>
      </c>
      <c r="F86" s="32">
        <f t="shared" si="3"/>
        <v>0</v>
      </c>
    </row>
    <row r="87" spans="1:6" x14ac:dyDescent="0.75">
      <c r="A87" s="85">
        <f t="shared" si="2"/>
        <v>2405</v>
      </c>
      <c r="B87" s="81" t="s">
        <v>815</v>
      </c>
      <c r="C87" s="83"/>
      <c r="D87" s="82">
        <f>73531.99</f>
        <v>73531.990000000005</v>
      </c>
      <c r="F87" s="32">
        <f t="shared" si="3"/>
        <v>-73531.990000000005</v>
      </c>
    </row>
    <row r="88" spans="1:6" x14ac:dyDescent="0.75">
      <c r="A88" s="85">
        <f t="shared" si="2"/>
        <v>2410</v>
      </c>
      <c r="B88" s="81" t="s">
        <v>758</v>
      </c>
      <c r="C88" s="83"/>
      <c r="D88" s="82">
        <f>0</f>
        <v>0</v>
      </c>
      <c r="F88" s="32">
        <f t="shared" si="3"/>
        <v>0</v>
      </c>
    </row>
    <row r="89" spans="1:6" x14ac:dyDescent="0.75">
      <c r="A89" s="85">
        <f t="shared" si="2"/>
        <v>2415</v>
      </c>
      <c r="B89" s="81" t="s">
        <v>759</v>
      </c>
      <c r="C89" s="83"/>
      <c r="D89" s="82">
        <f>0</f>
        <v>0</v>
      </c>
      <c r="F89" s="32">
        <f t="shared" si="3"/>
        <v>0</v>
      </c>
    </row>
    <row r="90" spans="1:6" x14ac:dyDescent="0.75">
      <c r="A90" s="85">
        <f t="shared" si="2"/>
        <v>2420</v>
      </c>
      <c r="B90" s="81" t="s">
        <v>760</v>
      </c>
      <c r="C90" s="83"/>
      <c r="D90" s="82">
        <f>0</f>
        <v>0</v>
      </c>
      <c r="F90" s="32">
        <f t="shared" si="3"/>
        <v>0</v>
      </c>
    </row>
    <row r="91" spans="1:6" x14ac:dyDescent="0.75">
      <c r="A91" s="85">
        <f t="shared" si="2"/>
        <v>2425</v>
      </c>
      <c r="B91" s="81" t="s">
        <v>761</v>
      </c>
      <c r="C91" s="83"/>
      <c r="D91" s="82">
        <f>0</f>
        <v>0</v>
      </c>
      <c r="F91" s="32">
        <f t="shared" si="3"/>
        <v>0</v>
      </c>
    </row>
    <row r="92" spans="1:6" x14ac:dyDescent="0.75">
      <c r="A92" s="85">
        <f t="shared" si="2"/>
        <v>2430</v>
      </c>
      <c r="B92" s="81" t="s">
        <v>762</v>
      </c>
      <c r="C92" s="83"/>
      <c r="D92" s="82">
        <f>0</f>
        <v>0</v>
      </c>
      <c r="F92" s="32">
        <f t="shared" si="3"/>
        <v>0</v>
      </c>
    </row>
    <row r="93" spans="1:6" x14ac:dyDescent="0.75">
      <c r="A93" s="85">
        <f t="shared" si="2"/>
        <v>2705</v>
      </c>
      <c r="B93" s="81" t="s">
        <v>816</v>
      </c>
      <c r="C93" s="83"/>
      <c r="D93" s="82">
        <f>50000</f>
        <v>50000</v>
      </c>
      <c r="F93" s="32">
        <f t="shared" si="3"/>
        <v>-50000</v>
      </c>
    </row>
    <row r="94" spans="1:6" x14ac:dyDescent="0.75">
      <c r="A94" s="85">
        <f t="shared" si="2"/>
        <v>2710</v>
      </c>
      <c r="B94" s="81" t="s">
        <v>817</v>
      </c>
      <c r="C94" s="83"/>
      <c r="D94" s="82">
        <f>15000</f>
        <v>15000</v>
      </c>
      <c r="F94" s="32">
        <f t="shared" si="3"/>
        <v>-15000</v>
      </c>
    </row>
    <row r="95" spans="1:6" x14ac:dyDescent="0.75">
      <c r="A95" s="85">
        <f t="shared" si="2"/>
        <v>2715</v>
      </c>
      <c r="B95" s="81" t="s">
        <v>818</v>
      </c>
      <c r="C95" s="83"/>
      <c r="D95" s="82">
        <f>25000</f>
        <v>25000</v>
      </c>
      <c r="F95" s="32">
        <f t="shared" si="3"/>
        <v>-25000</v>
      </c>
    </row>
    <row r="96" spans="1:6" x14ac:dyDescent="0.75">
      <c r="A96" s="85">
        <f t="shared" si="2"/>
        <v>2720</v>
      </c>
      <c r="B96" s="81" t="s">
        <v>819</v>
      </c>
      <c r="C96" s="83"/>
      <c r="D96" s="82">
        <f>50000</f>
        <v>50000</v>
      </c>
      <c r="F96" s="32">
        <f t="shared" si="3"/>
        <v>-50000</v>
      </c>
    </row>
    <row r="97" spans="1:8" x14ac:dyDescent="0.75">
      <c r="A97" s="85">
        <f t="shared" si="2"/>
        <v>2725</v>
      </c>
      <c r="B97" s="81" t="s">
        <v>820</v>
      </c>
      <c r="C97" s="83"/>
      <c r="D97" s="82">
        <f>40000</f>
        <v>40000</v>
      </c>
      <c r="F97" s="32">
        <f t="shared" si="3"/>
        <v>-40000</v>
      </c>
    </row>
    <row r="98" spans="1:8" x14ac:dyDescent="0.75">
      <c r="A98" s="85">
        <f t="shared" si="2"/>
        <v>2730</v>
      </c>
      <c r="B98" s="81" t="s">
        <v>821</v>
      </c>
      <c r="C98" s="83"/>
      <c r="D98" s="93">
        <f>100000+8527</f>
        <v>108527</v>
      </c>
      <c r="F98" s="32">
        <f t="shared" si="3"/>
        <v>-108527</v>
      </c>
    </row>
    <row r="99" spans="1:8" x14ac:dyDescent="0.75">
      <c r="A99" s="85">
        <f t="shared" si="2"/>
        <v>2735</v>
      </c>
      <c r="B99" s="81" t="s">
        <v>822</v>
      </c>
      <c r="C99" s="83"/>
      <c r="D99" s="82">
        <f>150000</f>
        <v>150000</v>
      </c>
      <c r="F99" s="32">
        <f t="shared" si="3"/>
        <v>-150000</v>
      </c>
    </row>
    <row r="100" spans="1:8" x14ac:dyDescent="0.75">
      <c r="A100" s="85">
        <f t="shared" si="2"/>
        <v>2740</v>
      </c>
      <c r="B100" s="81" t="s">
        <v>823</v>
      </c>
      <c r="C100" s="83"/>
      <c r="D100" s="82">
        <f>30000</f>
        <v>30000</v>
      </c>
      <c r="F100" s="32">
        <f t="shared" si="3"/>
        <v>-30000</v>
      </c>
    </row>
    <row r="101" spans="1:8" x14ac:dyDescent="0.75">
      <c r="A101" s="85">
        <f t="shared" si="2"/>
        <v>2745</v>
      </c>
      <c r="B101" s="81" t="s">
        <v>940</v>
      </c>
      <c r="C101" s="83"/>
      <c r="D101" s="93">
        <f>32710.28+429.85</f>
        <v>33140.129999999997</v>
      </c>
      <c r="F101" s="32">
        <f t="shared" si="3"/>
        <v>-33140.129999999997</v>
      </c>
    </row>
    <row r="102" spans="1:8" x14ac:dyDescent="0.75">
      <c r="A102" s="85">
        <f t="shared" si="2"/>
        <v>2750</v>
      </c>
      <c r="B102" s="81" t="s">
        <v>824</v>
      </c>
      <c r="C102" s="83"/>
      <c r="D102" s="82">
        <f>50000</f>
        <v>50000</v>
      </c>
      <c r="F102" s="32">
        <f t="shared" si="3"/>
        <v>-50000</v>
      </c>
    </row>
    <row r="103" spans="1:8" x14ac:dyDescent="0.75">
      <c r="A103" s="85">
        <f t="shared" si="2"/>
        <v>2755</v>
      </c>
      <c r="B103" s="81" t="s">
        <v>825</v>
      </c>
      <c r="C103" s="83"/>
      <c r="D103" s="82">
        <f>25000</f>
        <v>25000</v>
      </c>
      <c r="F103" s="32">
        <f t="shared" si="3"/>
        <v>-25000</v>
      </c>
    </row>
    <row r="104" spans="1:8" x14ac:dyDescent="0.75">
      <c r="A104" s="85">
        <f t="shared" si="2"/>
        <v>2760</v>
      </c>
      <c r="B104" s="81" t="s">
        <v>826</v>
      </c>
      <c r="C104" s="83"/>
      <c r="D104" s="82">
        <f>100000</f>
        <v>100000</v>
      </c>
      <c r="F104" s="32">
        <f t="shared" si="3"/>
        <v>-100000</v>
      </c>
    </row>
    <row r="105" spans="1:8" x14ac:dyDescent="0.75">
      <c r="A105" s="85">
        <f t="shared" si="2"/>
        <v>2765</v>
      </c>
      <c r="B105" s="81" t="s">
        <v>827</v>
      </c>
      <c r="C105" s="83"/>
      <c r="D105" s="82">
        <f>50000</f>
        <v>50000</v>
      </c>
      <c r="F105" s="32">
        <f t="shared" si="3"/>
        <v>-50000</v>
      </c>
    </row>
    <row r="106" spans="1:8" x14ac:dyDescent="0.75">
      <c r="A106" s="85">
        <f t="shared" si="2"/>
        <v>2770</v>
      </c>
      <c r="B106" s="81" t="s">
        <v>828</v>
      </c>
      <c r="C106" s="83"/>
      <c r="D106" s="82">
        <f>2500</f>
        <v>2500</v>
      </c>
      <c r="F106" s="32">
        <f t="shared" si="3"/>
        <v>-2500</v>
      </c>
    </row>
    <row r="107" spans="1:8" x14ac:dyDescent="0.75">
      <c r="A107" s="85">
        <f t="shared" si="2"/>
        <v>2775</v>
      </c>
      <c r="B107" s="81" t="s">
        <v>829</v>
      </c>
      <c r="C107" s="83"/>
      <c r="D107" s="82">
        <f>50000</f>
        <v>50000</v>
      </c>
      <c r="F107" s="32">
        <f t="shared" si="3"/>
        <v>-50000</v>
      </c>
    </row>
    <row r="108" spans="1:8" x14ac:dyDescent="0.75">
      <c r="A108" s="85">
        <f t="shared" si="2"/>
        <v>2780</v>
      </c>
      <c r="B108" s="81" t="s">
        <v>830</v>
      </c>
      <c r="C108" s="83"/>
      <c r="D108" s="82">
        <f>25000</f>
        <v>25000</v>
      </c>
      <c r="F108" s="32">
        <f t="shared" si="3"/>
        <v>-25000</v>
      </c>
    </row>
    <row r="109" spans="1:8" x14ac:dyDescent="0.75">
      <c r="A109" s="85">
        <f t="shared" si="2"/>
        <v>2785</v>
      </c>
      <c r="B109" s="81" t="s">
        <v>947</v>
      </c>
      <c r="C109" s="83"/>
      <c r="D109" s="82">
        <f>0</f>
        <v>0</v>
      </c>
      <c r="F109" s="32">
        <f t="shared" si="3"/>
        <v>0</v>
      </c>
    </row>
    <row r="110" spans="1:8" x14ac:dyDescent="0.75">
      <c r="A110" s="85">
        <f t="shared" si="2"/>
        <v>2790</v>
      </c>
      <c r="B110" s="81" t="s">
        <v>943</v>
      </c>
      <c r="C110" s="82">
        <f>389415</f>
        <v>389415</v>
      </c>
      <c r="D110" s="83"/>
      <c r="F110" s="32">
        <f t="shared" si="3"/>
        <v>389415</v>
      </c>
    </row>
    <row r="111" spans="1:8" x14ac:dyDescent="0.75">
      <c r="A111" s="85">
        <f t="shared" si="2"/>
        <v>3000</v>
      </c>
      <c r="B111" s="81" t="s">
        <v>307</v>
      </c>
      <c r="C111" s="83"/>
      <c r="D111" s="93">
        <f>46184.14+50+5+5</f>
        <v>46244.14</v>
      </c>
      <c r="F111" s="32">
        <f t="shared" si="3"/>
        <v>-46244.14</v>
      </c>
    </row>
    <row r="112" spans="1:8" x14ac:dyDescent="0.75">
      <c r="A112" s="85">
        <f t="shared" si="2"/>
        <v>3100</v>
      </c>
      <c r="B112" s="81" t="s">
        <v>308</v>
      </c>
      <c r="C112" s="83"/>
      <c r="D112" s="93">
        <f>7215447.38+12450+345+345</f>
        <v>7228587.3799999999</v>
      </c>
      <c r="F112" s="32">
        <f t="shared" si="3"/>
        <v>-7228587.3799999999</v>
      </c>
      <c r="H112" s="70"/>
    </row>
    <row r="113" spans="1:6" s="89" customFormat="1" x14ac:dyDescent="0.75">
      <c r="A113" s="89">
        <v>3150</v>
      </c>
      <c r="B113" s="81" t="s">
        <v>1002</v>
      </c>
      <c r="C113" s="83"/>
      <c r="D113" s="82">
        <v>0</v>
      </c>
      <c r="F113" s="32">
        <f t="shared" si="3"/>
        <v>0</v>
      </c>
    </row>
    <row r="114" spans="1:6" x14ac:dyDescent="0.75">
      <c r="A114" s="85">
        <f t="shared" si="2"/>
        <v>3200</v>
      </c>
      <c r="B114" s="81" t="s">
        <v>309</v>
      </c>
      <c r="C114" s="83"/>
      <c r="D114" s="82">
        <f>0</f>
        <v>0</v>
      </c>
      <c r="F114" s="32">
        <f t="shared" si="3"/>
        <v>0</v>
      </c>
    </row>
    <row r="115" spans="1:6" x14ac:dyDescent="0.75">
      <c r="A115" s="85">
        <f t="shared" si="2"/>
        <v>3300</v>
      </c>
      <c r="B115" s="81" t="s">
        <v>763</v>
      </c>
      <c r="C115" s="83"/>
      <c r="D115" s="82">
        <f>0</f>
        <v>0</v>
      </c>
      <c r="F115" s="32">
        <f t="shared" si="3"/>
        <v>0</v>
      </c>
    </row>
    <row r="116" spans="1:6" x14ac:dyDescent="0.75">
      <c r="A116" s="85">
        <f t="shared" si="2"/>
        <v>3400</v>
      </c>
      <c r="B116" s="81" t="s">
        <v>764</v>
      </c>
      <c r="C116" s="83"/>
      <c r="D116" s="82">
        <f>0</f>
        <v>0</v>
      </c>
      <c r="F116" s="32">
        <f t="shared" si="3"/>
        <v>0</v>
      </c>
    </row>
    <row r="117" spans="1:6" x14ac:dyDescent="0.75">
      <c r="A117" s="85">
        <f t="shared" si="2"/>
        <v>3500</v>
      </c>
      <c r="B117" s="81" t="s">
        <v>306</v>
      </c>
      <c r="C117" s="83"/>
      <c r="D117" s="82">
        <f>0</f>
        <v>0</v>
      </c>
      <c r="F117" s="32">
        <f t="shared" si="3"/>
        <v>0</v>
      </c>
    </row>
    <row r="118" spans="1:6" x14ac:dyDescent="0.75">
      <c r="A118" s="85">
        <f t="shared" si="2"/>
        <v>3600</v>
      </c>
      <c r="B118" s="81" t="s">
        <v>938</v>
      </c>
      <c r="C118" s="82">
        <f>30000</f>
        <v>30000</v>
      </c>
      <c r="D118" s="83"/>
      <c r="F118" s="32">
        <f t="shared" si="3"/>
        <v>30000</v>
      </c>
    </row>
    <row r="119" spans="1:6" x14ac:dyDescent="0.75">
      <c r="A119" s="85">
        <f t="shared" si="2"/>
        <v>3800</v>
      </c>
      <c r="B119" s="81" t="s">
        <v>765</v>
      </c>
      <c r="C119" s="83"/>
      <c r="D119" s="82">
        <f>0</f>
        <v>0</v>
      </c>
      <c r="F119" s="32">
        <f t="shared" si="3"/>
        <v>0</v>
      </c>
    </row>
    <row r="120" spans="1:6" x14ac:dyDescent="0.75">
      <c r="A120" s="85">
        <f t="shared" si="2"/>
        <v>3900</v>
      </c>
      <c r="B120" s="81" t="s">
        <v>311</v>
      </c>
      <c r="C120" s="93">
        <f>8625836.38-9740+350+350</f>
        <v>8616796.3800000008</v>
      </c>
      <c r="D120" s="83"/>
      <c r="F120" s="32">
        <f t="shared" si="3"/>
        <v>8616796.3800000008</v>
      </c>
    </row>
    <row r="121" spans="1:6" x14ac:dyDescent="0.75">
      <c r="A121" s="85">
        <f t="shared" si="2"/>
        <v>4100</v>
      </c>
      <c r="B121" s="81" t="s">
        <v>313</v>
      </c>
      <c r="C121" s="83"/>
      <c r="D121" s="82">
        <f>499891.81</f>
        <v>499891.81</v>
      </c>
      <c r="F121" s="32">
        <f t="shared" si="3"/>
        <v>-499891.81</v>
      </c>
    </row>
    <row r="122" spans="1:6" x14ac:dyDescent="0.75">
      <c r="A122" s="85">
        <f t="shared" si="2"/>
        <v>4500</v>
      </c>
      <c r="B122" s="81" t="s">
        <v>766</v>
      </c>
      <c r="C122" s="83"/>
      <c r="D122" s="82">
        <f>21296.06</f>
        <v>21296.06</v>
      </c>
      <c r="F122" s="32">
        <f t="shared" si="3"/>
        <v>-21296.06</v>
      </c>
    </row>
    <row r="123" spans="1:6" x14ac:dyDescent="0.75">
      <c r="A123" s="85">
        <f t="shared" si="2"/>
        <v>4900</v>
      </c>
      <c r="B123" s="81" t="s">
        <v>831</v>
      </c>
      <c r="C123" s="83"/>
      <c r="D123" s="82">
        <f>4035</f>
        <v>4035</v>
      </c>
      <c r="F123" s="32">
        <f t="shared" si="3"/>
        <v>-4035</v>
      </c>
    </row>
    <row r="124" spans="1:6" x14ac:dyDescent="0.75">
      <c r="A124" s="85">
        <f t="shared" si="2"/>
        <v>5000</v>
      </c>
      <c r="B124" s="81" t="s">
        <v>832</v>
      </c>
      <c r="C124" s="82">
        <f>17969.55</f>
        <v>17969.55</v>
      </c>
      <c r="D124" s="83"/>
      <c r="F124" s="32">
        <f t="shared" si="3"/>
        <v>17969.55</v>
      </c>
    </row>
    <row r="125" spans="1:6" x14ac:dyDescent="0.75">
      <c r="A125" s="85">
        <f t="shared" si="2"/>
        <v>5010</v>
      </c>
      <c r="B125" s="81" t="s">
        <v>833</v>
      </c>
      <c r="C125" s="82">
        <f>11374</f>
        <v>11374</v>
      </c>
      <c r="D125" s="83"/>
      <c r="F125" s="32">
        <f t="shared" si="3"/>
        <v>11374</v>
      </c>
    </row>
    <row r="126" spans="1:6" x14ac:dyDescent="0.75">
      <c r="A126" s="85">
        <f t="shared" si="2"/>
        <v>5020</v>
      </c>
      <c r="B126" s="81" t="s">
        <v>796</v>
      </c>
      <c r="C126" s="82">
        <f>48599.43</f>
        <v>48599.43</v>
      </c>
      <c r="D126" s="83"/>
      <c r="F126" s="32">
        <f t="shared" si="3"/>
        <v>48599.43</v>
      </c>
    </row>
    <row r="127" spans="1:6" x14ac:dyDescent="0.75">
      <c r="A127" s="85">
        <f t="shared" si="2"/>
        <v>5050</v>
      </c>
      <c r="B127" s="81" t="s">
        <v>797</v>
      </c>
      <c r="C127" s="93">
        <f>69731.77+27443.81</f>
        <v>97175.58</v>
      </c>
      <c r="D127" s="83"/>
      <c r="F127" s="32">
        <f t="shared" si="3"/>
        <v>97175.58</v>
      </c>
    </row>
    <row r="128" spans="1:6" x14ac:dyDescent="0.75">
      <c r="A128" s="85">
        <f t="shared" si="2"/>
        <v>5060</v>
      </c>
      <c r="B128" s="81" t="s">
        <v>834</v>
      </c>
      <c r="C128" s="82">
        <f>2921.39</f>
        <v>2921.39</v>
      </c>
      <c r="D128" s="83"/>
      <c r="F128" s="32">
        <f t="shared" si="3"/>
        <v>2921.39</v>
      </c>
    </row>
    <row r="129" spans="1:6" x14ac:dyDescent="0.75">
      <c r="A129" s="85">
        <f t="shared" si="2"/>
        <v>5080</v>
      </c>
      <c r="B129" s="81" t="s">
        <v>835</v>
      </c>
      <c r="C129" s="82">
        <f>0</f>
        <v>0</v>
      </c>
      <c r="D129" s="83"/>
      <c r="F129" s="32">
        <f t="shared" si="3"/>
        <v>0</v>
      </c>
    </row>
    <row r="130" spans="1:6" x14ac:dyDescent="0.75">
      <c r="A130" s="85">
        <f t="shared" si="2"/>
        <v>6010</v>
      </c>
      <c r="B130" s="81" t="s">
        <v>798</v>
      </c>
      <c r="C130" s="93">
        <f>3197.52+3392.34</f>
        <v>6589.8600000000006</v>
      </c>
      <c r="D130" s="83"/>
      <c r="F130" s="32">
        <f t="shared" si="3"/>
        <v>6589.8600000000006</v>
      </c>
    </row>
    <row r="131" spans="1:6" x14ac:dyDescent="0.75">
      <c r="A131" s="85">
        <f t="shared" si="2"/>
        <v>6015</v>
      </c>
      <c r="B131" s="81" t="s">
        <v>836</v>
      </c>
      <c r="C131" s="82">
        <f>14</f>
        <v>14</v>
      </c>
      <c r="D131" s="83"/>
      <c r="F131" s="32">
        <f t="shared" si="3"/>
        <v>14</v>
      </c>
    </row>
    <row r="132" spans="1:6" x14ac:dyDescent="0.75">
      <c r="A132" s="85">
        <f t="shared" si="2"/>
        <v>6025</v>
      </c>
      <c r="B132" s="81" t="s">
        <v>767</v>
      </c>
      <c r="C132" s="82">
        <f>1420.19</f>
        <v>1420.19</v>
      </c>
      <c r="D132" s="83"/>
      <c r="F132" s="32">
        <f t="shared" si="3"/>
        <v>1420.19</v>
      </c>
    </row>
    <row r="133" spans="1:6" x14ac:dyDescent="0.75">
      <c r="A133" s="85">
        <f t="shared" si="2"/>
        <v>6030</v>
      </c>
      <c r="B133" s="81" t="s">
        <v>768</v>
      </c>
      <c r="C133" s="82">
        <f>2819.31</f>
        <v>2819.31</v>
      </c>
      <c r="D133" s="83"/>
      <c r="F133" s="32">
        <f t="shared" si="3"/>
        <v>2819.31</v>
      </c>
    </row>
    <row r="134" spans="1:6" x14ac:dyDescent="0.75">
      <c r="A134" s="85">
        <f t="shared" si="2"/>
        <v>6055</v>
      </c>
      <c r="B134" s="81" t="s">
        <v>837</v>
      </c>
      <c r="C134" s="82">
        <f>549.95</f>
        <v>549.95000000000005</v>
      </c>
      <c r="D134" s="83"/>
      <c r="F134" s="32">
        <f t="shared" si="3"/>
        <v>549.95000000000005</v>
      </c>
    </row>
    <row r="135" spans="1:6" x14ac:dyDescent="0.75">
      <c r="A135" s="85">
        <f t="shared" si="2"/>
        <v>6075</v>
      </c>
      <c r="B135" s="81" t="s">
        <v>803</v>
      </c>
      <c r="C135" s="82">
        <f>60698.37</f>
        <v>60698.37</v>
      </c>
      <c r="D135" s="83"/>
      <c r="F135" s="32">
        <f t="shared" si="3"/>
        <v>60698.37</v>
      </c>
    </row>
    <row r="136" spans="1:6" x14ac:dyDescent="0.75">
      <c r="A136" s="85">
        <f t="shared" ref="A136:A177" si="4">VALUE(LEFT(B136,4))</f>
        <v>6085</v>
      </c>
      <c r="B136" s="81" t="s">
        <v>769</v>
      </c>
      <c r="C136" s="82">
        <f>1610.49</f>
        <v>1610.49</v>
      </c>
      <c r="D136" s="83"/>
      <c r="F136" s="32">
        <f t="shared" si="3"/>
        <v>1610.49</v>
      </c>
    </row>
    <row r="137" spans="1:6" x14ac:dyDescent="0.75">
      <c r="A137" s="85">
        <f t="shared" si="4"/>
        <v>6100</v>
      </c>
      <c r="B137" s="81" t="s">
        <v>804</v>
      </c>
      <c r="C137" s="82">
        <f>801.56</f>
        <v>801.56</v>
      </c>
      <c r="D137" s="83"/>
      <c r="F137" s="32">
        <f t="shared" ref="F137:F178" si="5">C137-D137</f>
        <v>801.56</v>
      </c>
    </row>
    <row r="138" spans="1:6" x14ac:dyDescent="0.75">
      <c r="A138" s="85">
        <f t="shared" si="4"/>
        <v>6105</v>
      </c>
      <c r="B138" s="81" t="s">
        <v>838</v>
      </c>
      <c r="C138" s="82">
        <f>1572.27</f>
        <v>1572.27</v>
      </c>
      <c r="D138" s="83"/>
      <c r="F138" s="32">
        <f t="shared" si="5"/>
        <v>1572.27</v>
      </c>
    </row>
    <row r="139" spans="1:6" x14ac:dyDescent="0.75">
      <c r="A139" s="85">
        <f t="shared" si="4"/>
        <v>6115</v>
      </c>
      <c r="B139" s="81" t="s">
        <v>839</v>
      </c>
      <c r="C139" s="83"/>
      <c r="D139" s="82">
        <f>80.12</f>
        <v>80.12</v>
      </c>
      <c r="F139" s="32">
        <f t="shared" si="5"/>
        <v>-80.12</v>
      </c>
    </row>
    <row r="140" spans="1:6" x14ac:dyDescent="0.75">
      <c r="A140" s="85">
        <f t="shared" si="4"/>
        <v>6120</v>
      </c>
      <c r="B140" s="81" t="s">
        <v>770</v>
      </c>
      <c r="C140" s="82">
        <f>0</f>
        <v>0</v>
      </c>
      <c r="D140" s="83"/>
      <c r="F140" s="32">
        <f t="shared" si="5"/>
        <v>0</v>
      </c>
    </row>
    <row r="141" spans="1:6" x14ac:dyDescent="0.75">
      <c r="A141" s="85">
        <f t="shared" si="4"/>
        <v>6150</v>
      </c>
      <c r="B141" s="81" t="s">
        <v>771</v>
      </c>
      <c r="C141" s="82">
        <f>2798.72</f>
        <v>2798.72</v>
      </c>
      <c r="D141" s="83"/>
      <c r="F141" s="32">
        <f t="shared" si="5"/>
        <v>2798.72</v>
      </c>
    </row>
    <row r="142" spans="1:6" x14ac:dyDescent="0.75">
      <c r="A142" s="85">
        <f t="shared" si="4"/>
        <v>6155</v>
      </c>
      <c r="B142" s="81" t="s">
        <v>772</v>
      </c>
      <c r="C142" s="82">
        <f>4513.25</f>
        <v>4513.25</v>
      </c>
      <c r="D142" s="83"/>
      <c r="F142" s="32">
        <f t="shared" si="5"/>
        <v>4513.25</v>
      </c>
    </row>
    <row r="143" spans="1:6" x14ac:dyDescent="0.75">
      <c r="A143" s="85">
        <f t="shared" si="4"/>
        <v>6210</v>
      </c>
      <c r="B143" s="81" t="s">
        <v>773</v>
      </c>
      <c r="C143" s="82">
        <f>820</f>
        <v>820</v>
      </c>
      <c r="D143" s="83"/>
      <c r="F143" s="32">
        <f t="shared" si="5"/>
        <v>820</v>
      </c>
    </row>
    <row r="144" spans="1:6" x14ac:dyDescent="0.75">
      <c r="A144" s="85">
        <f t="shared" si="4"/>
        <v>6215</v>
      </c>
      <c r="B144" s="81" t="s">
        <v>774</v>
      </c>
      <c r="C144" s="82">
        <f>0</f>
        <v>0</v>
      </c>
      <c r="D144" s="83"/>
      <c r="F144" s="32">
        <f t="shared" si="5"/>
        <v>0</v>
      </c>
    </row>
    <row r="145" spans="1:6" x14ac:dyDescent="0.75">
      <c r="A145" s="85">
        <f t="shared" si="4"/>
        <v>6220</v>
      </c>
      <c r="B145" s="81" t="s">
        <v>775</v>
      </c>
      <c r="C145" s="82">
        <f>3346.42</f>
        <v>3346.42</v>
      </c>
      <c r="D145" s="83"/>
      <c r="F145" s="32">
        <f t="shared" si="5"/>
        <v>3346.42</v>
      </c>
    </row>
    <row r="146" spans="1:6" s="103" customFormat="1" x14ac:dyDescent="0.75">
      <c r="A146" s="103">
        <v>6240</v>
      </c>
      <c r="B146" s="81" t="s">
        <v>1040</v>
      </c>
      <c r="C146" s="93">
        <f>5980+3245+2500+16253.59</f>
        <v>27978.59</v>
      </c>
      <c r="D146" s="83"/>
      <c r="F146" s="32">
        <f t="shared" si="5"/>
        <v>27978.59</v>
      </c>
    </row>
    <row r="147" spans="1:6" x14ac:dyDescent="0.75">
      <c r="A147" s="85">
        <f t="shared" si="4"/>
        <v>6245</v>
      </c>
      <c r="B147" s="81" t="s">
        <v>776</v>
      </c>
      <c r="C147" s="82">
        <f>1997.15</f>
        <v>1997.15</v>
      </c>
      <c r="D147" s="83"/>
      <c r="F147" s="32">
        <f t="shared" si="5"/>
        <v>1997.15</v>
      </c>
    </row>
    <row r="148" spans="1:6" x14ac:dyDescent="0.75">
      <c r="A148" s="85">
        <f t="shared" si="4"/>
        <v>6255</v>
      </c>
      <c r="B148" s="81" t="s">
        <v>777</v>
      </c>
      <c r="C148" s="82">
        <f>142.71</f>
        <v>142.71</v>
      </c>
      <c r="D148" s="83"/>
      <c r="F148" s="32">
        <f t="shared" si="5"/>
        <v>142.71</v>
      </c>
    </row>
    <row r="149" spans="1:6" x14ac:dyDescent="0.75">
      <c r="A149" s="85">
        <f t="shared" si="4"/>
        <v>6270</v>
      </c>
      <c r="B149" s="81" t="s">
        <v>778</v>
      </c>
      <c r="C149" s="83"/>
      <c r="D149" s="82">
        <f>2964.16</f>
        <v>2964.16</v>
      </c>
      <c r="F149" s="32">
        <f t="shared" si="5"/>
        <v>-2964.16</v>
      </c>
    </row>
    <row r="150" spans="1:6" x14ac:dyDescent="0.75">
      <c r="A150" s="85">
        <f t="shared" si="4"/>
        <v>6275</v>
      </c>
      <c r="B150" s="81" t="s">
        <v>790</v>
      </c>
      <c r="C150" s="82">
        <f>176593.04</f>
        <v>176593.04</v>
      </c>
      <c r="D150" s="83"/>
      <c r="F150" s="32">
        <f t="shared" si="5"/>
        <v>176593.04</v>
      </c>
    </row>
    <row r="151" spans="1:6" x14ac:dyDescent="0.75">
      <c r="A151" s="85">
        <f t="shared" si="4"/>
        <v>6280</v>
      </c>
      <c r="B151" s="81" t="s">
        <v>779</v>
      </c>
      <c r="C151" s="93">
        <f>8289.91+8527</f>
        <v>16816.91</v>
      </c>
      <c r="D151" s="83"/>
      <c r="F151" s="32">
        <f t="shared" si="5"/>
        <v>16816.91</v>
      </c>
    </row>
    <row r="152" spans="1:6" x14ac:dyDescent="0.75">
      <c r="A152" s="85">
        <f t="shared" si="4"/>
        <v>6295</v>
      </c>
      <c r="B152" s="81" t="s">
        <v>795</v>
      </c>
      <c r="C152" s="82">
        <f>2354.25</f>
        <v>2354.25</v>
      </c>
      <c r="D152" s="83"/>
      <c r="F152" s="32">
        <f t="shared" si="5"/>
        <v>2354.25</v>
      </c>
    </row>
    <row r="153" spans="1:6" x14ac:dyDescent="0.75">
      <c r="A153" s="85">
        <f t="shared" si="4"/>
        <v>6300</v>
      </c>
      <c r="B153" s="81" t="s">
        <v>840</v>
      </c>
      <c r="C153" s="82">
        <f>8099.45</f>
        <v>8099.45</v>
      </c>
      <c r="D153" s="83"/>
      <c r="F153" s="32">
        <f t="shared" si="5"/>
        <v>8099.45</v>
      </c>
    </row>
    <row r="154" spans="1:6" x14ac:dyDescent="0.75">
      <c r="A154" s="85">
        <f t="shared" si="4"/>
        <v>6305</v>
      </c>
      <c r="B154" s="81" t="s">
        <v>841</v>
      </c>
      <c r="C154" s="82">
        <f>8727</f>
        <v>8727</v>
      </c>
      <c r="D154" s="83"/>
      <c r="F154" s="32">
        <f t="shared" si="5"/>
        <v>8727</v>
      </c>
    </row>
    <row r="155" spans="1:6" x14ac:dyDescent="0.75">
      <c r="A155" s="85">
        <f t="shared" si="4"/>
        <v>6315</v>
      </c>
      <c r="B155" s="81" t="s">
        <v>791</v>
      </c>
      <c r="C155" s="82">
        <f>35548.09</f>
        <v>35548.089999999997</v>
      </c>
      <c r="D155" s="83"/>
      <c r="F155" s="32">
        <f t="shared" si="5"/>
        <v>35548.089999999997</v>
      </c>
    </row>
    <row r="156" spans="1:6" x14ac:dyDescent="0.75">
      <c r="A156" s="85">
        <f t="shared" si="4"/>
        <v>6325</v>
      </c>
      <c r="B156" s="81" t="s">
        <v>842</v>
      </c>
      <c r="C156" s="82">
        <f>4981</f>
        <v>4981</v>
      </c>
      <c r="D156" s="83"/>
      <c r="F156" s="32">
        <f t="shared" si="5"/>
        <v>4981</v>
      </c>
    </row>
    <row r="157" spans="1:6" x14ac:dyDescent="0.75">
      <c r="A157" s="85">
        <f t="shared" si="4"/>
        <v>6345</v>
      </c>
      <c r="B157" s="81" t="s">
        <v>792</v>
      </c>
      <c r="C157" s="82">
        <f>5351.32</f>
        <v>5351.32</v>
      </c>
      <c r="D157" s="83"/>
      <c r="F157" s="32">
        <f t="shared" si="5"/>
        <v>5351.32</v>
      </c>
    </row>
    <row r="158" spans="1:6" x14ac:dyDescent="0.75">
      <c r="A158" s="85">
        <f t="shared" si="4"/>
        <v>6350</v>
      </c>
      <c r="B158" s="81" t="s">
        <v>780</v>
      </c>
      <c r="C158" s="82">
        <f>825.21</f>
        <v>825.21</v>
      </c>
      <c r="D158" s="83"/>
      <c r="F158" s="32">
        <f t="shared" si="5"/>
        <v>825.21</v>
      </c>
    </row>
    <row r="159" spans="1:6" x14ac:dyDescent="0.75">
      <c r="A159" s="85">
        <f t="shared" si="4"/>
        <v>6400</v>
      </c>
      <c r="B159" s="81" t="s">
        <v>781</v>
      </c>
      <c r="C159" s="93">
        <f>94896.51</f>
        <v>94896.51</v>
      </c>
      <c r="D159" s="83"/>
      <c r="F159" s="32">
        <f t="shared" si="5"/>
        <v>94896.51</v>
      </c>
    </row>
    <row r="160" spans="1:6" x14ac:dyDescent="0.75">
      <c r="A160" s="85">
        <f t="shared" si="4"/>
        <v>6430</v>
      </c>
      <c r="B160" s="81" t="s">
        <v>782</v>
      </c>
      <c r="C160" s="82">
        <f>17421.27</f>
        <v>17421.27</v>
      </c>
      <c r="D160" s="83"/>
      <c r="F160" s="32">
        <f t="shared" si="5"/>
        <v>17421.27</v>
      </c>
    </row>
    <row r="161" spans="1:6" x14ac:dyDescent="0.75">
      <c r="A161" s="85">
        <f t="shared" si="4"/>
        <v>6435</v>
      </c>
      <c r="B161" s="81" t="s">
        <v>783</v>
      </c>
      <c r="C161" s="82">
        <f>8539.24</f>
        <v>8539.24</v>
      </c>
      <c r="D161" s="83"/>
      <c r="F161" s="32">
        <f t="shared" si="5"/>
        <v>8539.24</v>
      </c>
    </row>
    <row r="162" spans="1:6" x14ac:dyDescent="0.75">
      <c r="A162" s="85">
        <f t="shared" si="4"/>
        <v>6440</v>
      </c>
      <c r="B162" s="81" t="s">
        <v>948</v>
      </c>
      <c r="C162" s="93">
        <f>184218.62+12500</f>
        <v>196718.62</v>
      </c>
      <c r="D162" s="83"/>
      <c r="F162" s="32">
        <f t="shared" si="5"/>
        <v>196718.62</v>
      </c>
    </row>
    <row r="163" spans="1:6" x14ac:dyDescent="0.75">
      <c r="A163" s="85">
        <f t="shared" si="4"/>
        <v>6445</v>
      </c>
      <c r="B163" s="81" t="s">
        <v>784</v>
      </c>
      <c r="C163" s="82">
        <f>29039.23</f>
        <v>29039.23</v>
      </c>
      <c r="D163" s="83"/>
      <c r="F163" s="32">
        <f t="shared" si="5"/>
        <v>29039.23</v>
      </c>
    </row>
    <row r="164" spans="1:6" x14ac:dyDescent="0.75">
      <c r="A164" s="85">
        <f t="shared" si="4"/>
        <v>6450</v>
      </c>
      <c r="B164" s="81" t="s">
        <v>793</v>
      </c>
      <c r="C164" s="82">
        <f>2203</f>
        <v>2203</v>
      </c>
      <c r="D164" s="83"/>
      <c r="F164" s="32">
        <f t="shared" si="5"/>
        <v>2203</v>
      </c>
    </row>
    <row r="165" spans="1:6" x14ac:dyDescent="0.75">
      <c r="A165" s="85">
        <f t="shared" si="4"/>
        <v>6505</v>
      </c>
      <c r="B165" s="81" t="s">
        <v>843</v>
      </c>
      <c r="C165" s="82">
        <f>0</f>
        <v>0</v>
      </c>
      <c r="D165" s="83"/>
      <c r="F165" s="32">
        <f t="shared" si="5"/>
        <v>0</v>
      </c>
    </row>
    <row r="166" spans="1:6" x14ac:dyDescent="0.75">
      <c r="A166" s="85">
        <f t="shared" si="4"/>
        <v>6510</v>
      </c>
      <c r="B166" s="81" t="s">
        <v>785</v>
      </c>
      <c r="C166" s="82">
        <f>8350.03</f>
        <v>8350.0300000000007</v>
      </c>
      <c r="D166" s="83"/>
      <c r="F166" s="32">
        <f t="shared" si="5"/>
        <v>8350.0300000000007</v>
      </c>
    </row>
    <row r="167" spans="1:6" x14ac:dyDescent="0.75">
      <c r="A167" s="85">
        <f t="shared" si="4"/>
        <v>6525</v>
      </c>
      <c r="B167" s="81" t="s">
        <v>794</v>
      </c>
      <c r="C167" s="82">
        <f>5238.17</f>
        <v>5238.17</v>
      </c>
      <c r="D167" s="83"/>
      <c r="F167" s="32">
        <f t="shared" si="5"/>
        <v>5238.17</v>
      </c>
    </row>
    <row r="168" spans="1:6" x14ac:dyDescent="0.75">
      <c r="A168" s="85">
        <f t="shared" si="4"/>
        <v>6540</v>
      </c>
      <c r="B168" s="81" t="s">
        <v>844</v>
      </c>
      <c r="C168" s="82">
        <f>233</f>
        <v>233</v>
      </c>
      <c r="D168" s="83"/>
      <c r="F168" s="32">
        <f t="shared" si="5"/>
        <v>233</v>
      </c>
    </row>
    <row r="169" spans="1:6" x14ac:dyDescent="0.75">
      <c r="A169" s="85">
        <f t="shared" si="4"/>
        <v>6550</v>
      </c>
      <c r="B169" s="81" t="s">
        <v>786</v>
      </c>
      <c r="C169" s="82">
        <f>11616.5</f>
        <v>11616.5</v>
      </c>
      <c r="D169" s="83"/>
      <c r="F169" s="32">
        <f t="shared" si="5"/>
        <v>11616.5</v>
      </c>
    </row>
    <row r="170" spans="1:6" x14ac:dyDescent="0.75">
      <c r="A170" s="85">
        <f t="shared" si="4"/>
        <v>7500</v>
      </c>
      <c r="B170" s="81" t="s">
        <v>845</v>
      </c>
      <c r="C170" s="82">
        <f>267</f>
        <v>267</v>
      </c>
      <c r="D170" s="83"/>
      <c r="F170" s="32">
        <f t="shared" si="5"/>
        <v>267</v>
      </c>
    </row>
    <row r="171" spans="1:6" x14ac:dyDescent="0.75">
      <c r="A171" s="85">
        <f t="shared" si="4"/>
        <v>7510</v>
      </c>
      <c r="B171" s="81" t="s">
        <v>787</v>
      </c>
      <c r="C171" s="82">
        <f>9948.49</f>
        <v>9948.49</v>
      </c>
      <c r="D171" s="83"/>
      <c r="F171" s="32">
        <f t="shared" si="5"/>
        <v>9948.49</v>
      </c>
    </row>
    <row r="172" spans="1:6" x14ac:dyDescent="0.75">
      <c r="A172" s="85">
        <f t="shared" si="4"/>
        <v>7520</v>
      </c>
      <c r="B172" s="81" t="s">
        <v>805</v>
      </c>
      <c r="C172" s="82">
        <f>12307.48</f>
        <v>12307.48</v>
      </c>
      <c r="D172" s="83"/>
      <c r="F172" s="32">
        <f t="shared" si="5"/>
        <v>12307.48</v>
      </c>
    </row>
    <row r="173" spans="1:6" x14ac:dyDescent="0.75">
      <c r="A173" s="85">
        <f t="shared" si="4"/>
        <v>7530</v>
      </c>
      <c r="B173" s="81" t="s">
        <v>788</v>
      </c>
      <c r="C173" s="93">
        <f>94100.89-253.97+21931</f>
        <v>115777.92</v>
      </c>
      <c r="D173" s="83"/>
      <c r="F173" s="32">
        <f t="shared" si="5"/>
        <v>115777.92</v>
      </c>
    </row>
    <row r="174" spans="1:6" x14ac:dyDescent="0.75">
      <c r="A174" s="85">
        <f t="shared" si="4"/>
        <v>7540</v>
      </c>
      <c r="B174" s="81" t="s">
        <v>846</v>
      </c>
      <c r="C174" s="93">
        <f>34001.67+429.85</f>
        <v>34431.519999999997</v>
      </c>
      <c r="D174" s="83"/>
      <c r="F174" s="32">
        <f t="shared" si="5"/>
        <v>34431.519999999997</v>
      </c>
    </row>
    <row r="175" spans="1:6" x14ac:dyDescent="0.75">
      <c r="A175" s="85">
        <f t="shared" si="4"/>
        <v>7590</v>
      </c>
      <c r="B175" s="81" t="s">
        <v>944</v>
      </c>
      <c r="C175" s="82">
        <f>175585</f>
        <v>175585</v>
      </c>
      <c r="D175" s="83"/>
      <c r="F175" s="32">
        <f t="shared" si="5"/>
        <v>175585</v>
      </c>
    </row>
    <row r="176" spans="1:6" x14ac:dyDescent="0.75">
      <c r="A176" s="85">
        <f t="shared" si="4"/>
        <v>7100</v>
      </c>
      <c r="B176" s="81" t="s">
        <v>375</v>
      </c>
      <c r="C176" s="83"/>
      <c r="D176" s="82">
        <f>175.13</f>
        <v>175.13</v>
      </c>
      <c r="F176" s="32">
        <f t="shared" si="5"/>
        <v>-175.13</v>
      </c>
    </row>
    <row r="177" spans="1:6" x14ac:dyDescent="0.75">
      <c r="A177" s="85">
        <f t="shared" si="4"/>
        <v>7400</v>
      </c>
      <c r="B177" s="81" t="s">
        <v>949</v>
      </c>
      <c r="C177" s="83"/>
      <c r="D177" s="82">
        <f>200623.8</f>
        <v>200623.8</v>
      </c>
      <c r="F177" s="32">
        <f t="shared" si="5"/>
        <v>-200623.8</v>
      </c>
    </row>
    <row r="178" spans="1:6" x14ac:dyDescent="0.75">
      <c r="A178" s="85">
        <f>VALUE(LEFT(B178,4))</f>
        <v>7600</v>
      </c>
      <c r="B178" s="81" t="s">
        <v>847</v>
      </c>
      <c r="C178" s="82">
        <f>39.65</f>
        <v>39.65</v>
      </c>
      <c r="D178" s="83"/>
      <c r="F178" s="32">
        <f t="shared" si="5"/>
        <v>39.65</v>
      </c>
    </row>
    <row r="179" spans="1:6" x14ac:dyDescent="0.75">
      <c r="B179" s="81" t="s">
        <v>2</v>
      </c>
      <c r="C179" s="84">
        <f t="shared" ref="C179:D179" si="6">SUM(C6:C178)</f>
        <v>11107641.92</v>
      </c>
      <c r="D179" s="84">
        <f t="shared" si="6"/>
        <v>11107641.920000002</v>
      </c>
      <c r="E179" s="32">
        <f>SUM(E6:E178)</f>
        <v>0</v>
      </c>
      <c r="F179" s="32">
        <f>SUM(F6:F178)</f>
        <v>5.2968829322708189E-10</v>
      </c>
    </row>
    <row r="180" spans="1:6" x14ac:dyDescent="0.75">
      <c r="B180" s="81"/>
      <c r="C180" s="83"/>
      <c r="D180" s="83"/>
    </row>
    <row r="181" spans="1:6" x14ac:dyDescent="0.75">
      <c r="C181" s="105"/>
    </row>
    <row r="182" spans="1:6" x14ac:dyDescent="0.75">
      <c r="C182" s="105"/>
    </row>
    <row r="183" spans="1:6" x14ac:dyDescent="0.75">
      <c r="B183" s="198" t="s">
        <v>956</v>
      </c>
      <c r="C183" s="197"/>
      <c r="D183" s="197"/>
    </row>
  </sheetData>
  <mergeCells count="4">
    <mergeCell ref="B183:D183"/>
    <mergeCell ref="B1:D1"/>
    <mergeCell ref="B2:D2"/>
    <mergeCell ref="B3: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6460-BA82-4560-9852-8FFFE5892899}">
  <sheetPr codeName="Sheet5">
    <tabColor theme="7" tint="0.59999389629810485"/>
  </sheetPr>
  <dimension ref="A1:F167"/>
  <sheetViews>
    <sheetView zoomScaleNormal="100" workbookViewId="0">
      <pane xSplit="2" ySplit="5" topLeftCell="C114" activePane="bottomRight" state="frozenSplit"/>
      <selection pane="topRight" activeCell="C1" sqref="C1"/>
      <selection pane="bottomLeft" activeCell="A3" sqref="A3"/>
      <selection pane="bottomRight" activeCell="C122" sqref="C122"/>
    </sheetView>
  </sheetViews>
  <sheetFormatPr defaultColWidth="9.1328125" defaultRowHeight="14.75" x14ac:dyDescent="0.75"/>
  <cols>
    <col min="1" max="1" width="9.1328125" style="85"/>
    <col min="2" max="2" width="52.40625" style="85" customWidth="1"/>
    <col min="3" max="4" width="13.7265625" style="85" customWidth="1"/>
    <col min="5" max="5" width="9.1328125" style="85"/>
    <col min="6" max="6" width="20.26953125" style="32" customWidth="1"/>
    <col min="7" max="16384" width="9.1328125" style="85"/>
  </cols>
  <sheetData>
    <row r="1" spans="1:6" ht="18" x14ac:dyDescent="0.8">
      <c r="B1" s="195" t="s">
        <v>696</v>
      </c>
      <c r="C1" s="197"/>
      <c r="D1" s="197"/>
    </row>
    <row r="2" spans="1:6" ht="18" x14ac:dyDescent="0.8">
      <c r="B2" s="195" t="s">
        <v>697</v>
      </c>
      <c r="C2" s="197"/>
      <c r="D2" s="197"/>
    </row>
    <row r="3" spans="1:6" x14ac:dyDescent="0.75">
      <c r="B3" s="199" t="s">
        <v>848</v>
      </c>
      <c r="C3" s="197"/>
      <c r="D3" s="197"/>
    </row>
    <row r="5" spans="1:6" x14ac:dyDescent="0.75">
      <c r="B5" s="52"/>
      <c r="C5" s="80" t="s">
        <v>0</v>
      </c>
      <c r="D5" s="80" t="s">
        <v>1</v>
      </c>
      <c r="F5" s="80" t="s">
        <v>170</v>
      </c>
    </row>
    <row r="6" spans="1:6" x14ac:dyDescent="0.75">
      <c r="A6" s="85">
        <f t="shared" ref="A6:A69" si="0">VALUE(LEFT(B6,4))</f>
        <v>1005</v>
      </c>
      <c r="B6" s="81" t="s">
        <v>698</v>
      </c>
      <c r="C6" s="82">
        <f>0</f>
        <v>0</v>
      </c>
      <c r="D6" s="83"/>
      <c r="F6" s="32">
        <f>C6-D6</f>
        <v>0</v>
      </c>
    </row>
    <row r="7" spans="1:6" x14ac:dyDescent="0.75">
      <c r="A7" s="85">
        <f t="shared" si="0"/>
        <v>1010</v>
      </c>
      <c r="B7" s="81" t="s">
        <v>193</v>
      </c>
      <c r="C7" s="82">
        <f>26718.58</f>
        <v>26718.58</v>
      </c>
      <c r="D7" s="83"/>
      <c r="F7" s="32">
        <f t="shared" ref="F7:F70" si="1">C7-D7</f>
        <v>26718.58</v>
      </c>
    </row>
    <row r="8" spans="1:6" x14ac:dyDescent="0.75">
      <c r="A8" s="85">
        <f t="shared" si="0"/>
        <v>1020</v>
      </c>
      <c r="B8" s="81" t="s">
        <v>194</v>
      </c>
      <c r="C8" s="82">
        <f>152689.33</f>
        <v>152689.32999999999</v>
      </c>
      <c r="D8" s="83"/>
      <c r="F8" s="32">
        <f t="shared" si="1"/>
        <v>152689.32999999999</v>
      </c>
    </row>
    <row r="9" spans="1:6" x14ac:dyDescent="0.75">
      <c r="A9" s="85">
        <f t="shared" si="0"/>
        <v>1200</v>
      </c>
      <c r="B9" s="81" t="s">
        <v>699</v>
      </c>
      <c r="C9" s="82">
        <f>134199.52</f>
        <v>134199.51999999999</v>
      </c>
      <c r="D9" s="83"/>
      <c r="F9" s="32">
        <f t="shared" si="1"/>
        <v>134199.51999999999</v>
      </c>
    </row>
    <row r="10" spans="1:6" x14ac:dyDescent="0.75">
      <c r="A10" s="85">
        <f t="shared" si="0"/>
        <v>1210</v>
      </c>
      <c r="B10" s="81" t="s">
        <v>700</v>
      </c>
      <c r="C10" s="82">
        <f>0</f>
        <v>0</v>
      </c>
      <c r="D10" s="83"/>
      <c r="F10" s="32">
        <f t="shared" si="1"/>
        <v>0</v>
      </c>
    </row>
    <row r="11" spans="1:6" x14ac:dyDescent="0.75">
      <c r="A11" s="85">
        <f t="shared" si="0"/>
        <v>1250</v>
      </c>
      <c r="B11" s="81" t="s">
        <v>701</v>
      </c>
      <c r="C11" s="82">
        <f>0</f>
        <v>0</v>
      </c>
      <c r="D11" s="83"/>
      <c r="F11" s="32">
        <f t="shared" si="1"/>
        <v>0</v>
      </c>
    </row>
    <row r="12" spans="1:6" x14ac:dyDescent="0.75">
      <c r="A12" s="85">
        <f t="shared" si="0"/>
        <v>1280</v>
      </c>
      <c r="B12" s="81" t="s">
        <v>702</v>
      </c>
      <c r="C12" s="82">
        <f>0</f>
        <v>0</v>
      </c>
      <c r="D12" s="83"/>
      <c r="F12" s="32">
        <f t="shared" si="1"/>
        <v>0</v>
      </c>
    </row>
    <row r="13" spans="1:6" x14ac:dyDescent="0.75">
      <c r="A13" s="85">
        <f t="shared" si="0"/>
        <v>1290</v>
      </c>
      <c r="B13" s="81" t="s">
        <v>703</v>
      </c>
      <c r="C13" s="82">
        <f>0</f>
        <v>0</v>
      </c>
      <c r="D13" s="83"/>
      <c r="F13" s="32">
        <f t="shared" si="1"/>
        <v>0</v>
      </c>
    </row>
    <row r="14" spans="1:6" x14ac:dyDescent="0.75">
      <c r="A14" s="85">
        <f t="shared" si="0"/>
        <v>1310</v>
      </c>
      <c r="B14" s="81" t="s">
        <v>200</v>
      </c>
      <c r="C14" s="82">
        <f>41082.23</f>
        <v>41082.230000000003</v>
      </c>
      <c r="D14" s="83"/>
      <c r="F14" s="32">
        <f t="shared" si="1"/>
        <v>41082.230000000003</v>
      </c>
    </row>
    <row r="15" spans="1:6" x14ac:dyDescent="0.75">
      <c r="A15" s="85">
        <f t="shared" si="0"/>
        <v>1320</v>
      </c>
      <c r="B15" s="81" t="s">
        <v>201</v>
      </c>
      <c r="C15" s="82">
        <f>0</f>
        <v>0</v>
      </c>
      <c r="D15" s="83"/>
      <c r="F15" s="32">
        <f t="shared" si="1"/>
        <v>0</v>
      </c>
    </row>
    <row r="16" spans="1:6" x14ac:dyDescent="0.75">
      <c r="A16" s="85">
        <f t="shared" si="0"/>
        <v>1330</v>
      </c>
      <c r="B16" s="81" t="s">
        <v>704</v>
      </c>
      <c r="C16" s="82">
        <f>0</f>
        <v>0</v>
      </c>
      <c r="D16" s="83"/>
      <c r="F16" s="32">
        <f t="shared" si="1"/>
        <v>0</v>
      </c>
    </row>
    <row r="17" spans="1:6" x14ac:dyDescent="0.75">
      <c r="A17" s="85">
        <f t="shared" si="0"/>
        <v>1340</v>
      </c>
      <c r="B17" s="81" t="s">
        <v>705</v>
      </c>
      <c r="C17" s="82">
        <f>0</f>
        <v>0</v>
      </c>
      <c r="D17" s="83"/>
      <c r="F17" s="32">
        <f t="shared" si="1"/>
        <v>0</v>
      </c>
    </row>
    <row r="18" spans="1:6" x14ac:dyDescent="0.75">
      <c r="A18" s="85">
        <f t="shared" si="0"/>
        <v>1410</v>
      </c>
      <c r="B18" s="81" t="s">
        <v>204</v>
      </c>
      <c r="C18" s="82">
        <f>42608.54</f>
        <v>42608.54</v>
      </c>
      <c r="D18" s="83"/>
      <c r="F18" s="32">
        <f t="shared" si="1"/>
        <v>42608.54</v>
      </c>
    </row>
    <row r="19" spans="1:6" x14ac:dyDescent="0.75">
      <c r="A19" s="85">
        <f t="shared" si="0"/>
        <v>1430</v>
      </c>
      <c r="B19" s="81" t="s">
        <v>706</v>
      </c>
      <c r="C19" s="82">
        <f>0</f>
        <v>0</v>
      </c>
      <c r="D19" s="83"/>
      <c r="F19" s="32">
        <f t="shared" si="1"/>
        <v>0</v>
      </c>
    </row>
    <row r="20" spans="1:6" x14ac:dyDescent="0.75">
      <c r="A20" s="85">
        <f t="shared" si="0"/>
        <v>1710</v>
      </c>
      <c r="B20" s="81" t="s">
        <v>807</v>
      </c>
      <c r="C20" s="82">
        <f>97384.17</f>
        <v>97384.17</v>
      </c>
      <c r="D20" s="83"/>
      <c r="F20" s="32">
        <f t="shared" si="1"/>
        <v>97384.17</v>
      </c>
    </row>
    <row r="21" spans="1:6" x14ac:dyDescent="0.75">
      <c r="A21" s="85">
        <f t="shared" si="0"/>
        <v>1715</v>
      </c>
      <c r="B21" s="81" t="s">
        <v>707</v>
      </c>
      <c r="C21" s="82">
        <f>0</f>
        <v>0</v>
      </c>
      <c r="D21" s="83"/>
      <c r="F21" s="32">
        <f t="shared" si="1"/>
        <v>0</v>
      </c>
    </row>
    <row r="22" spans="1:6" x14ac:dyDescent="0.75">
      <c r="A22" s="85">
        <f t="shared" si="0"/>
        <v>1720</v>
      </c>
      <c r="B22" s="81" t="s">
        <v>708</v>
      </c>
      <c r="C22" s="82">
        <f>0</f>
        <v>0</v>
      </c>
      <c r="D22" s="83"/>
      <c r="F22" s="32">
        <f t="shared" si="1"/>
        <v>0</v>
      </c>
    </row>
    <row r="23" spans="1:6" x14ac:dyDescent="0.75">
      <c r="A23" s="85">
        <f t="shared" si="0"/>
        <v>1725</v>
      </c>
      <c r="B23" s="81" t="s">
        <v>849</v>
      </c>
      <c r="C23" s="82">
        <f>2446.33</f>
        <v>2446.33</v>
      </c>
      <c r="D23" s="83"/>
      <c r="F23" s="32">
        <f t="shared" si="1"/>
        <v>2446.33</v>
      </c>
    </row>
    <row r="24" spans="1:6" x14ac:dyDescent="0.75">
      <c r="A24" s="85">
        <f t="shared" si="0"/>
        <v>1735</v>
      </c>
      <c r="B24" s="81" t="s">
        <v>709</v>
      </c>
      <c r="C24" s="82">
        <f>4977.65</f>
        <v>4977.6499999999996</v>
      </c>
      <c r="D24" s="83"/>
      <c r="F24" s="32">
        <f t="shared" si="1"/>
        <v>4977.6499999999996</v>
      </c>
    </row>
    <row r="25" spans="1:6" x14ac:dyDescent="0.75">
      <c r="A25" s="85">
        <f t="shared" si="0"/>
        <v>1740</v>
      </c>
      <c r="B25" s="81" t="s">
        <v>710</v>
      </c>
      <c r="C25" s="82">
        <f>0</f>
        <v>0</v>
      </c>
      <c r="D25" s="83"/>
      <c r="F25" s="32">
        <f t="shared" si="1"/>
        <v>0</v>
      </c>
    </row>
    <row r="26" spans="1:6" x14ac:dyDescent="0.75">
      <c r="A26" s="85">
        <f t="shared" si="0"/>
        <v>1745</v>
      </c>
      <c r="B26" s="81" t="s">
        <v>711</v>
      </c>
      <c r="C26" s="82">
        <f>179916.22</f>
        <v>179916.22</v>
      </c>
      <c r="D26" s="83"/>
      <c r="F26" s="32">
        <f t="shared" si="1"/>
        <v>179916.22</v>
      </c>
    </row>
    <row r="27" spans="1:6" x14ac:dyDescent="0.75">
      <c r="A27" s="85">
        <f t="shared" si="0"/>
        <v>1750</v>
      </c>
      <c r="B27" s="81" t="s">
        <v>808</v>
      </c>
      <c r="C27" s="82">
        <f>10394.01</f>
        <v>10394.01</v>
      </c>
      <c r="D27" s="83"/>
      <c r="F27" s="32">
        <f t="shared" si="1"/>
        <v>10394.01</v>
      </c>
    </row>
    <row r="28" spans="1:6" x14ac:dyDescent="0.75">
      <c r="A28" s="85">
        <f t="shared" si="0"/>
        <v>1755</v>
      </c>
      <c r="B28" s="81" t="s">
        <v>712</v>
      </c>
      <c r="C28" s="82">
        <f>787.91</f>
        <v>787.91</v>
      </c>
      <c r="D28" s="83"/>
      <c r="F28" s="32">
        <f t="shared" si="1"/>
        <v>787.91</v>
      </c>
    </row>
    <row r="29" spans="1:6" x14ac:dyDescent="0.75">
      <c r="A29" s="85">
        <f t="shared" si="0"/>
        <v>1760</v>
      </c>
      <c r="B29" s="81" t="s">
        <v>713</v>
      </c>
      <c r="C29" s="82">
        <f>20105.95</f>
        <v>20105.95</v>
      </c>
      <c r="D29" s="83"/>
      <c r="F29" s="32">
        <f t="shared" si="1"/>
        <v>20105.95</v>
      </c>
    </row>
    <row r="30" spans="1:6" x14ac:dyDescent="0.75">
      <c r="A30" s="85">
        <f t="shared" si="0"/>
        <v>1765</v>
      </c>
      <c r="B30" s="81" t="s">
        <v>714</v>
      </c>
      <c r="C30" s="82">
        <f>1015.31</f>
        <v>1015.31</v>
      </c>
      <c r="D30" s="83"/>
      <c r="F30" s="32">
        <f t="shared" si="1"/>
        <v>1015.31</v>
      </c>
    </row>
    <row r="31" spans="1:6" x14ac:dyDescent="0.75">
      <c r="A31" s="85">
        <f t="shared" si="0"/>
        <v>1781</v>
      </c>
      <c r="B31" s="81" t="s">
        <v>809</v>
      </c>
      <c r="C31" s="83"/>
      <c r="D31" s="82">
        <f>28417.3</f>
        <v>28417.3</v>
      </c>
      <c r="F31" s="32">
        <f t="shared" si="1"/>
        <v>-28417.3</v>
      </c>
    </row>
    <row r="32" spans="1:6" x14ac:dyDescent="0.75">
      <c r="A32" s="85">
        <f t="shared" si="0"/>
        <v>1782</v>
      </c>
      <c r="B32" s="81" t="s">
        <v>715</v>
      </c>
      <c r="C32" s="82">
        <f>0</f>
        <v>0</v>
      </c>
      <c r="D32" s="83"/>
      <c r="F32" s="32">
        <f t="shared" si="1"/>
        <v>0</v>
      </c>
    </row>
    <row r="33" spans="1:6" x14ac:dyDescent="0.75">
      <c r="A33" s="85">
        <f t="shared" si="0"/>
        <v>1783</v>
      </c>
      <c r="B33" s="81" t="s">
        <v>716</v>
      </c>
      <c r="C33" s="82">
        <f>0</f>
        <v>0</v>
      </c>
      <c r="D33" s="83"/>
      <c r="F33" s="32">
        <f t="shared" si="1"/>
        <v>0</v>
      </c>
    </row>
    <row r="34" spans="1:6" x14ac:dyDescent="0.75">
      <c r="A34" s="85">
        <f t="shared" si="0"/>
        <v>1784</v>
      </c>
      <c r="B34" s="81" t="s">
        <v>850</v>
      </c>
      <c r="C34" s="83"/>
      <c r="D34" s="82">
        <f>69.82</f>
        <v>69.819999999999993</v>
      </c>
      <c r="F34" s="32">
        <f t="shared" si="1"/>
        <v>-69.819999999999993</v>
      </c>
    </row>
    <row r="35" spans="1:6" x14ac:dyDescent="0.75">
      <c r="A35" s="85">
        <f t="shared" si="0"/>
        <v>1785</v>
      </c>
      <c r="B35" s="81" t="s">
        <v>717</v>
      </c>
      <c r="C35" s="83"/>
      <c r="D35" s="82">
        <f>3550.67</f>
        <v>3550.67</v>
      </c>
      <c r="F35" s="32">
        <f t="shared" si="1"/>
        <v>-3550.67</v>
      </c>
    </row>
    <row r="36" spans="1:6" x14ac:dyDescent="0.75">
      <c r="A36" s="85">
        <f t="shared" si="0"/>
        <v>1786</v>
      </c>
      <c r="B36" s="81" t="s">
        <v>718</v>
      </c>
      <c r="C36" s="82">
        <f>0</f>
        <v>0</v>
      </c>
      <c r="D36" s="83"/>
      <c r="F36" s="32">
        <f t="shared" si="1"/>
        <v>0</v>
      </c>
    </row>
    <row r="37" spans="1:6" x14ac:dyDescent="0.75">
      <c r="A37" s="85">
        <f t="shared" si="0"/>
        <v>1787</v>
      </c>
      <c r="B37" s="81" t="s">
        <v>719</v>
      </c>
      <c r="C37" s="83"/>
      <c r="D37" s="82">
        <f>157984.21</f>
        <v>157984.21</v>
      </c>
      <c r="F37" s="32">
        <f t="shared" si="1"/>
        <v>-157984.21</v>
      </c>
    </row>
    <row r="38" spans="1:6" x14ac:dyDescent="0.75">
      <c r="A38" s="85">
        <f t="shared" si="0"/>
        <v>1788</v>
      </c>
      <c r="B38" s="81" t="s">
        <v>810</v>
      </c>
      <c r="C38" s="83"/>
      <c r="D38" s="82">
        <f>10394.01</f>
        <v>10394.01</v>
      </c>
      <c r="F38" s="32">
        <f t="shared" si="1"/>
        <v>-10394.01</v>
      </c>
    </row>
    <row r="39" spans="1:6" x14ac:dyDescent="0.75">
      <c r="A39" s="85">
        <f t="shared" si="0"/>
        <v>1789</v>
      </c>
      <c r="B39" s="81" t="s">
        <v>720</v>
      </c>
      <c r="C39" s="83"/>
      <c r="D39" s="82">
        <f>787.91</f>
        <v>787.91</v>
      </c>
      <c r="F39" s="32">
        <f t="shared" si="1"/>
        <v>-787.91</v>
      </c>
    </row>
    <row r="40" spans="1:6" x14ac:dyDescent="0.75">
      <c r="A40" s="85">
        <f t="shared" si="0"/>
        <v>1790</v>
      </c>
      <c r="B40" s="81" t="s">
        <v>721</v>
      </c>
      <c r="C40" s="83"/>
      <c r="D40" s="82">
        <f>1015.31</f>
        <v>1015.31</v>
      </c>
      <c r="F40" s="32">
        <f t="shared" si="1"/>
        <v>-1015.31</v>
      </c>
    </row>
    <row r="41" spans="1:6" x14ac:dyDescent="0.75">
      <c r="A41" s="85">
        <f t="shared" si="0"/>
        <v>1791</v>
      </c>
      <c r="B41" s="81" t="s">
        <v>722</v>
      </c>
      <c r="C41" s="83"/>
      <c r="D41" s="82">
        <f>19314.3</f>
        <v>19314.3</v>
      </c>
      <c r="F41" s="32">
        <f t="shared" si="1"/>
        <v>-19314.3</v>
      </c>
    </row>
    <row r="42" spans="1:6" x14ac:dyDescent="0.75">
      <c r="A42" s="85">
        <f t="shared" si="0"/>
        <v>1810</v>
      </c>
      <c r="B42" s="81" t="s">
        <v>957</v>
      </c>
      <c r="C42" s="82">
        <f>80171</f>
        <v>80171</v>
      </c>
      <c r="D42" s="83"/>
      <c r="F42" s="32">
        <f t="shared" si="1"/>
        <v>80171</v>
      </c>
    </row>
    <row r="43" spans="1:6" x14ac:dyDescent="0.75">
      <c r="A43" s="85">
        <f t="shared" si="0"/>
        <v>1820</v>
      </c>
      <c r="B43" s="81" t="s">
        <v>229</v>
      </c>
      <c r="C43" s="82">
        <f>0</f>
        <v>0</v>
      </c>
      <c r="D43" s="83"/>
      <c r="F43" s="32">
        <f t="shared" si="1"/>
        <v>0</v>
      </c>
    </row>
    <row r="44" spans="1:6" x14ac:dyDescent="0.75">
      <c r="A44" s="85">
        <f t="shared" si="0"/>
        <v>1830</v>
      </c>
      <c r="B44" s="81" t="s">
        <v>723</v>
      </c>
      <c r="C44" s="82">
        <f>0</f>
        <v>0</v>
      </c>
      <c r="D44" s="83"/>
      <c r="F44" s="32">
        <f t="shared" si="1"/>
        <v>0</v>
      </c>
    </row>
    <row r="45" spans="1:6" x14ac:dyDescent="0.75">
      <c r="A45" s="85">
        <f t="shared" si="0"/>
        <v>1840</v>
      </c>
      <c r="B45" s="81" t="s">
        <v>811</v>
      </c>
      <c r="C45" s="82">
        <f>0</f>
        <v>0</v>
      </c>
      <c r="D45" s="83"/>
      <c r="F45" s="32">
        <f t="shared" si="1"/>
        <v>0</v>
      </c>
    </row>
    <row r="46" spans="1:6" x14ac:dyDescent="0.75">
      <c r="A46" s="85">
        <f t="shared" si="0"/>
        <v>1900</v>
      </c>
      <c r="B46" s="81" t="s">
        <v>233</v>
      </c>
      <c r="C46" s="82">
        <f>5980</f>
        <v>5980</v>
      </c>
      <c r="D46" s="83"/>
      <c r="F46" s="32">
        <f t="shared" si="1"/>
        <v>5980</v>
      </c>
    </row>
    <row r="47" spans="1:6" x14ac:dyDescent="0.75">
      <c r="A47" s="85">
        <f t="shared" si="0"/>
        <v>1902</v>
      </c>
      <c r="B47" s="81" t="s">
        <v>812</v>
      </c>
      <c r="C47" s="82">
        <f>3245</f>
        <v>3245</v>
      </c>
      <c r="D47" s="83"/>
      <c r="F47" s="32">
        <f t="shared" si="1"/>
        <v>3245</v>
      </c>
    </row>
    <row r="48" spans="1:6" x14ac:dyDescent="0.75">
      <c r="A48" s="85">
        <f t="shared" si="0"/>
        <v>1904</v>
      </c>
      <c r="B48" s="81" t="s">
        <v>724</v>
      </c>
      <c r="C48" s="82">
        <f>0</f>
        <v>0</v>
      </c>
      <c r="D48" s="83"/>
      <c r="F48" s="32">
        <f t="shared" si="1"/>
        <v>0</v>
      </c>
    </row>
    <row r="49" spans="1:6" x14ac:dyDescent="0.75">
      <c r="A49" s="85">
        <f t="shared" si="0"/>
        <v>1906</v>
      </c>
      <c r="B49" s="81" t="s">
        <v>725</v>
      </c>
      <c r="C49" s="82">
        <f>0</f>
        <v>0</v>
      </c>
      <c r="D49" s="83"/>
      <c r="F49" s="32">
        <f t="shared" si="1"/>
        <v>0</v>
      </c>
    </row>
    <row r="50" spans="1:6" x14ac:dyDescent="0.75">
      <c r="A50" s="85">
        <f t="shared" si="0"/>
        <v>1908</v>
      </c>
      <c r="B50" s="81" t="s">
        <v>241</v>
      </c>
      <c r="C50" s="82">
        <f>0</f>
        <v>0</v>
      </c>
      <c r="D50" s="83"/>
      <c r="F50" s="32">
        <f t="shared" si="1"/>
        <v>0</v>
      </c>
    </row>
    <row r="51" spans="1:6" x14ac:dyDescent="0.75">
      <c r="A51" s="85">
        <f t="shared" si="0"/>
        <v>1910</v>
      </c>
      <c r="B51" s="81" t="s">
        <v>726</v>
      </c>
      <c r="C51" s="82">
        <f>2500</f>
        <v>2500</v>
      </c>
      <c r="D51" s="83"/>
      <c r="F51" s="32">
        <f t="shared" si="1"/>
        <v>2500</v>
      </c>
    </row>
    <row r="52" spans="1:6" x14ac:dyDescent="0.75">
      <c r="A52" s="85">
        <f t="shared" si="0"/>
        <v>1912</v>
      </c>
      <c r="B52" s="81" t="s">
        <v>727</v>
      </c>
      <c r="C52" s="82">
        <f>0</f>
        <v>0</v>
      </c>
      <c r="D52" s="83"/>
      <c r="F52" s="32">
        <f t="shared" si="1"/>
        <v>0</v>
      </c>
    </row>
    <row r="53" spans="1:6" x14ac:dyDescent="0.75">
      <c r="A53" s="85">
        <f t="shared" si="0"/>
        <v>1914</v>
      </c>
      <c r="B53" s="81" t="s">
        <v>247</v>
      </c>
      <c r="C53" s="82">
        <f>0</f>
        <v>0</v>
      </c>
      <c r="D53" s="83"/>
      <c r="F53" s="32">
        <f t="shared" si="1"/>
        <v>0</v>
      </c>
    </row>
    <row r="54" spans="1:6" x14ac:dyDescent="0.75">
      <c r="A54" s="85">
        <f t="shared" si="0"/>
        <v>1916</v>
      </c>
      <c r="B54" s="81" t="s">
        <v>728</v>
      </c>
      <c r="C54" s="82">
        <f>0</f>
        <v>0</v>
      </c>
      <c r="D54" s="83"/>
      <c r="F54" s="32">
        <f t="shared" si="1"/>
        <v>0</v>
      </c>
    </row>
    <row r="55" spans="1:6" x14ac:dyDescent="0.75">
      <c r="A55" s="85">
        <f t="shared" si="0"/>
        <v>1918</v>
      </c>
      <c r="B55" s="81" t="s">
        <v>729</v>
      </c>
      <c r="C55" s="82">
        <f>0</f>
        <v>0</v>
      </c>
      <c r="D55" s="83"/>
      <c r="F55" s="32">
        <f t="shared" si="1"/>
        <v>0</v>
      </c>
    </row>
    <row r="56" spans="1:6" x14ac:dyDescent="0.75">
      <c r="A56" s="85">
        <f t="shared" si="0"/>
        <v>1920</v>
      </c>
      <c r="B56" s="81" t="s">
        <v>730</v>
      </c>
      <c r="C56" s="82">
        <f>0</f>
        <v>0</v>
      </c>
      <c r="D56" s="83"/>
      <c r="F56" s="32">
        <f t="shared" si="1"/>
        <v>0</v>
      </c>
    </row>
    <row r="57" spans="1:6" x14ac:dyDescent="0.75">
      <c r="A57" s="85">
        <f t="shared" si="0"/>
        <v>1922</v>
      </c>
      <c r="B57" s="81" t="s">
        <v>731</v>
      </c>
      <c r="C57" s="82">
        <f>0</f>
        <v>0</v>
      </c>
      <c r="D57" s="83"/>
      <c r="F57" s="32">
        <f t="shared" si="1"/>
        <v>0</v>
      </c>
    </row>
    <row r="58" spans="1:6" x14ac:dyDescent="0.75">
      <c r="A58" s="85">
        <f t="shared" si="0"/>
        <v>1924</v>
      </c>
      <c r="B58" s="81" t="s">
        <v>732</v>
      </c>
      <c r="C58" s="82">
        <f>16253.59</f>
        <v>16253.59</v>
      </c>
      <c r="D58" s="83"/>
      <c r="F58" s="32">
        <f t="shared" si="1"/>
        <v>16253.59</v>
      </c>
    </row>
    <row r="59" spans="1:6" x14ac:dyDescent="0.75">
      <c r="A59" s="85">
        <f t="shared" si="0"/>
        <v>1926</v>
      </c>
      <c r="B59" s="81" t="s">
        <v>733</v>
      </c>
      <c r="C59" s="82">
        <f>0</f>
        <v>0</v>
      </c>
      <c r="D59" s="83"/>
      <c r="F59" s="32">
        <f t="shared" si="1"/>
        <v>0</v>
      </c>
    </row>
    <row r="60" spans="1:6" x14ac:dyDescent="0.75">
      <c r="A60" s="85">
        <f t="shared" si="0"/>
        <v>1928</v>
      </c>
      <c r="B60" s="81" t="s">
        <v>734</v>
      </c>
      <c r="C60" s="82">
        <f>43132.88</f>
        <v>43132.88</v>
      </c>
      <c r="D60" s="83"/>
      <c r="F60" s="32">
        <f t="shared" si="1"/>
        <v>43132.88</v>
      </c>
    </row>
    <row r="61" spans="1:6" x14ac:dyDescent="0.75">
      <c r="A61" s="85">
        <f t="shared" si="0"/>
        <v>1930</v>
      </c>
      <c r="B61" s="81" t="s">
        <v>735</v>
      </c>
      <c r="C61" s="82">
        <f>0</f>
        <v>0</v>
      </c>
      <c r="D61" s="83"/>
      <c r="F61" s="32">
        <f t="shared" si="1"/>
        <v>0</v>
      </c>
    </row>
    <row r="62" spans="1:6" x14ac:dyDescent="0.75">
      <c r="A62" s="85">
        <f t="shared" si="0"/>
        <v>1950</v>
      </c>
      <c r="B62" s="81" t="s">
        <v>930</v>
      </c>
      <c r="C62" s="83"/>
      <c r="D62" s="82">
        <f>33891.61</f>
        <v>33891.61</v>
      </c>
      <c r="F62" s="32">
        <f t="shared" si="1"/>
        <v>-33891.61</v>
      </c>
    </row>
    <row r="63" spans="1:6" x14ac:dyDescent="0.75">
      <c r="A63" s="85">
        <f t="shared" si="0"/>
        <v>1932</v>
      </c>
      <c r="B63" s="81" t="s">
        <v>736</v>
      </c>
      <c r="C63" s="82">
        <f>0</f>
        <v>0</v>
      </c>
      <c r="D63" s="83"/>
      <c r="F63" s="32">
        <f t="shared" si="1"/>
        <v>0</v>
      </c>
    </row>
    <row r="64" spans="1:6" x14ac:dyDescent="0.75">
      <c r="A64" s="85">
        <f t="shared" si="0"/>
        <v>1960</v>
      </c>
      <c r="B64" s="81" t="s">
        <v>737</v>
      </c>
      <c r="C64" s="82">
        <f>0</f>
        <v>0</v>
      </c>
      <c r="D64" s="83"/>
      <c r="F64" s="32">
        <f t="shared" si="1"/>
        <v>0</v>
      </c>
    </row>
    <row r="65" spans="1:6" x14ac:dyDescent="0.75">
      <c r="A65" s="85">
        <f t="shared" si="0"/>
        <v>1980</v>
      </c>
      <c r="B65" s="81" t="s">
        <v>738</v>
      </c>
      <c r="C65" s="82">
        <f>0</f>
        <v>0</v>
      </c>
      <c r="D65" s="83"/>
      <c r="F65" s="32">
        <f t="shared" si="1"/>
        <v>0</v>
      </c>
    </row>
    <row r="66" spans="1:6" x14ac:dyDescent="0.75">
      <c r="A66" s="85">
        <f t="shared" si="0"/>
        <v>2000</v>
      </c>
      <c r="B66" s="81" t="s">
        <v>251</v>
      </c>
      <c r="C66" s="83"/>
      <c r="D66" s="82">
        <f>78844.15</f>
        <v>78844.149999999994</v>
      </c>
      <c r="F66" s="32">
        <f t="shared" si="1"/>
        <v>-78844.149999999994</v>
      </c>
    </row>
    <row r="67" spans="1:6" x14ac:dyDescent="0.75">
      <c r="A67" s="85">
        <f t="shared" si="0"/>
        <v>2101</v>
      </c>
      <c r="B67" s="81" t="s">
        <v>739</v>
      </c>
      <c r="C67" s="83"/>
      <c r="D67" s="82">
        <f>1840.57</f>
        <v>1840.57</v>
      </c>
      <c r="F67" s="32">
        <f t="shared" si="1"/>
        <v>-1840.57</v>
      </c>
    </row>
    <row r="68" spans="1:6" x14ac:dyDescent="0.75">
      <c r="A68" s="85">
        <f t="shared" si="0"/>
        <v>2102</v>
      </c>
      <c r="B68" s="81" t="s">
        <v>740</v>
      </c>
      <c r="C68" s="83"/>
      <c r="D68" s="82">
        <f>15078.2</f>
        <v>15078.2</v>
      </c>
      <c r="F68" s="32">
        <f t="shared" si="1"/>
        <v>-15078.2</v>
      </c>
    </row>
    <row r="69" spans="1:6" x14ac:dyDescent="0.75">
      <c r="A69" s="85">
        <f t="shared" si="0"/>
        <v>2103</v>
      </c>
      <c r="B69" s="81" t="s">
        <v>813</v>
      </c>
      <c r="C69" s="83"/>
      <c r="D69" s="82">
        <f>8469.4</f>
        <v>8469.4</v>
      </c>
      <c r="F69" s="32">
        <f t="shared" si="1"/>
        <v>-8469.4</v>
      </c>
    </row>
    <row r="70" spans="1:6" x14ac:dyDescent="0.75">
      <c r="A70" s="85">
        <f t="shared" ref="A70:A133" si="2">VALUE(LEFT(B70,4))</f>
        <v>2104</v>
      </c>
      <c r="B70" s="81" t="s">
        <v>741</v>
      </c>
      <c r="C70" s="83"/>
      <c r="D70" s="82">
        <f>10530.37</f>
        <v>10530.37</v>
      </c>
      <c r="F70" s="32">
        <f t="shared" si="1"/>
        <v>-10530.37</v>
      </c>
    </row>
    <row r="71" spans="1:6" x14ac:dyDescent="0.75">
      <c r="A71" s="85">
        <f t="shared" si="2"/>
        <v>2105</v>
      </c>
      <c r="B71" s="81" t="s">
        <v>814</v>
      </c>
      <c r="C71" s="83"/>
      <c r="D71" s="82">
        <f>0</f>
        <v>0</v>
      </c>
      <c r="F71" s="32">
        <f t="shared" ref="F71:F134" si="3">C71-D71</f>
        <v>0</v>
      </c>
    </row>
    <row r="72" spans="1:6" x14ac:dyDescent="0.75">
      <c r="A72" s="85">
        <f t="shared" si="2"/>
        <v>2010</v>
      </c>
      <c r="B72" s="81" t="s">
        <v>277</v>
      </c>
      <c r="C72" s="83"/>
      <c r="D72" s="82">
        <f>0</f>
        <v>0</v>
      </c>
      <c r="F72" s="32">
        <f t="shared" si="3"/>
        <v>0</v>
      </c>
    </row>
    <row r="73" spans="1:6" x14ac:dyDescent="0.75">
      <c r="A73" s="85">
        <f t="shared" si="2"/>
        <v>2020</v>
      </c>
      <c r="B73" s="81" t="s">
        <v>742</v>
      </c>
      <c r="C73" s="83"/>
      <c r="D73" s="82">
        <f>0</f>
        <v>0</v>
      </c>
      <c r="F73" s="32">
        <f t="shared" si="3"/>
        <v>0</v>
      </c>
    </row>
    <row r="74" spans="1:6" x14ac:dyDescent="0.75">
      <c r="A74" s="85">
        <f t="shared" si="2"/>
        <v>2106</v>
      </c>
      <c r="B74" s="81" t="s">
        <v>743</v>
      </c>
      <c r="C74" s="83"/>
      <c r="D74" s="82">
        <f>8042.28</f>
        <v>8042.28</v>
      </c>
      <c r="F74" s="32">
        <f t="shared" si="3"/>
        <v>-8042.28</v>
      </c>
    </row>
    <row r="75" spans="1:6" x14ac:dyDescent="0.75">
      <c r="A75" s="85">
        <f t="shared" si="2"/>
        <v>2210</v>
      </c>
      <c r="B75" s="81" t="s">
        <v>744</v>
      </c>
      <c r="C75" s="83"/>
      <c r="D75" s="82">
        <f>600758.23</f>
        <v>600758.23</v>
      </c>
      <c r="F75" s="32">
        <f t="shared" si="3"/>
        <v>-600758.23</v>
      </c>
    </row>
    <row r="76" spans="1:6" x14ac:dyDescent="0.75">
      <c r="A76" s="85">
        <f t="shared" si="2"/>
        <v>2231</v>
      </c>
      <c r="B76" s="81" t="s">
        <v>745</v>
      </c>
      <c r="C76" s="83"/>
      <c r="D76" s="82">
        <f>0</f>
        <v>0</v>
      </c>
      <c r="F76" s="32">
        <f t="shared" si="3"/>
        <v>0</v>
      </c>
    </row>
    <row r="77" spans="1:6" x14ac:dyDescent="0.75">
      <c r="A77" s="85">
        <f t="shared" si="2"/>
        <v>2232</v>
      </c>
      <c r="B77" s="81" t="s">
        <v>746</v>
      </c>
      <c r="C77" s="83"/>
      <c r="D77" s="82">
        <f>0</f>
        <v>0</v>
      </c>
      <c r="F77" s="32">
        <f t="shared" si="3"/>
        <v>0</v>
      </c>
    </row>
    <row r="78" spans="1:6" x14ac:dyDescent="0.75">
      <c r="A78" s="85">
        <f t="shared" si="2"/>
        <v>2233</v>
      </c>
      <c r="B78" s="81" t="s">
        <v>747</v>
      </c>
      <c r="C78" s="83"/>
      <c r="D78" s="82">
        <f>0</f>
        <v>0</v>
      </c>
      <c r="F78" s="32">
        <f t="shared" si="3"/>
        <v>0</v>
      </c>
    </row>
    <row r="79" spans="1:6" x14ac:dyDescent="0.75">
      <c r="A79" s="85">
        <f t="shared" si="2"/>
        <v>2235</v>
      </c>
      <c r="B79" s="81" t="s">
        <v>748</v>
      </c>
      <c r="C79" s="83"/>
      <c r="D79" s="82">
        <f>0</f>
        <v>0</v>
      </c>
      <c r="F79" s="32">
        <f t="shared" si="3"/>
        <v>0</v>
      </c>
    </row>
    <row r="80" spans="1:6" x14ac:dyDescent="0.75">
      <c r="A80" s="85">
        <f t="shared" si="2"/>
        <v>2236</v>
      </c>
      <c r="B80" s="81" t="s">
        <v>749</v>
      </c>
      <c r="C80" s="83"/>
      <c r="D80" s="82">
        <f>0</f>
        <v>0</v>
      </c>
      <c r="F80" s="32">
        <f t="shared" si="3"/>
        <v>0</v>
      </c>
    </row>
    <row r="81" spans="1:6" x14ac:dyDescent="0.75">
      <c r="A81" s="85">
        <f t="shared" si="2"/>
        <v>2250</v>
      </c>
      <c r="B81" s="81" t="s">
        <v>750</v>
      </c>
      <c r="C81" s="83"/>
      <c r="D81" s="82">
        <f>0</f>
        <v>0</v>
      </c>
      <c r="F81" s="32">
        <f t="shared" si="3"/>
        <v>0</v>
      </c>
    </row>
    <row r="82" spans="1:6" x14ac:dyDescent="0.75">
      <c r="A82" s="85">
        <f t="shared" si="2"/>
        <v>2270</v>
      </c>
      <c r="B82" s="81" t="s">
        <v>751</v>
      </c>
      <c r="C82" s="83"/>
      <c r="D82" s="82">
        <f>0</f>
        <v>0</v>
      </c>
      <c r="F82" s="32">
        <f t="shared" si="3"/>
        <v>0</v>
      </c>
    </row>
    <row r="83" spans="1:6" x14ac:dyDescent="0.75">
      <c r="A83" s="85">
        <f t="shared" si="2"/>
        <v>2280</v>
      </c>
      <c r="B83" s="81" t="s">
        <v>752</v>
      </c>
      <c r="C83" s="83"/>
      <c r="D83" s="82">
        <f>0</f>
        <v>0</v>
      </c>
      <c r="F83" s="32">
        <f t="shared" si="3"/>
        <v>0</v>
      </c>
    </row>
    <row r="84" spans="1:6" x14ac:dyDescent="0.75">
      <c r="A84" s="85">
        <f t="shared" si="2"/>
        <v>2285</v>
      </c>
      <c r="B84" s="81" t="s">
        <v>753</v>
      </c>
      <c r="C84" s="83"/>
      <c r="D84" s="82">
        <f>0</f>
        <v>0</v>
      </c>
      <c r="F84" s="32">
        <f t="shared" si="3"/>
        <v>0</v>
      </c>
    </row>
    <row r="85" spans="1:6" x14ac:dyDescent="0.75">
      <c r="A85" s="85">
        <f t="shared" si="2"/>
        <v>2290</v>
      </c>
      <c r="B85" s="81" t="s">
        <v>754</v>
      </c>
      <c r="C85" s="83"/>
      <c r="D85" s="93">
        <f>9740-9740</f>
        <v>0</v>
      </c>
      <c r="F85" s="32">
        <f t="shared" si="3"/>
        <v>0</v>
      </c>
    </row>
    <row r="86" spans="1:6" x14ac:dyDescent="0.75">
      <c r="A86" s="85">
        <f t="shared" si="2"/>
        <v>2305</v>
      </c>
      <c r="B86" s="81" t="s">
        <v>755</v>
      </c>
      <c r="C86" s="83"/>
      <c r="D86" s="82">
        <f>1221957.72</f>
        <v>1221957.72</v>
      </c>
      <c r="F86" s="32">
        <f t="shared" si="3"/>
        <v>-1221957.72</v>
      </c>
    </row>
    <row r="87" spans="1:6" x14ac:dyDescent="0.75">
      <c r="A87" s="85">
        <f t="shared" si="2"/>
        <v>2310</v>
      </c>
      <c r="B87" s="81" t="s">
        <v>756</v>
      </c>
      <c r="C87" s="83"/>
      <c r="D87" s="82">
        <f>0</f>
        <v>0</v>
      </c>
      <c r="F87" s="32">
        <f t="shared" si="3"/>
        <v>0</v>
      </c>
    </row>
    <row r="88" spans="1:6" x14ac:dyDescent="0.75">
      <c r="A88" s="85">
        <f t="shared" si="2"/>
        <v>2400</v>
      </c>
      <c r="B88" s="81" t="s">
        <v>757</v>
      </c>
      <c r="C88" s="83"/>
      <c r="D88" s="82">
        <f>0</f>
        <v>0</v>
      </c>
      <c r="F88" s="32">
        <f t="shared" si="3"/>
        <v>0</v>
      </c>
    </row>
    <row r="89" spans="1:6" x14ac:dyDescent="0.75">
      <c r="A89" s="85">
        <f t="shared" si="2"/>
        <v>2405</v>
      </c>
      <c r="B89" s="81" t="s">
        <v>815</v>
      </c>
      <c r="C89" s="83"/>
      <c r="D89" s="82">
        <f>69243.68</f>
        <v>69243.679999999993</v>
      </c>
      <c r="F89" s="32">
        <f t="shared" si="3"/>
        <v>-69243.679999999993</v>
      </c>
    </row>
    <row r="90" spans="1:6" x14ac:dyDescent="0.75">
      <c r="A90" s="85">
        <f t="shared" si="2"/>
        <v>2410</v>
      </c>
      <c r="B90" s="81" t="s">
        <v>758</v>
      </c>
      <c r="C90" s="83"/>
      <c r="D90" s="82">
        <f>0</f>
        <v>0</v>
      </c>
      <c r="F90" s="32">
        <f t="shared" si="3"/>
        <v>0</v>
      </c>
    </row>
    <row r="91" spans="1:6" x14ac:dyDescent="0.75">
      <c r="A91" s="85">
        <f t="shared" si="2"/>
        <v>2415</v>
      </c>
      <c r="B91" s="81" t="s">
        <v>759</v>
      </c>
      <c r="C91" s="83"/>
      <c r="D91" s="82">
        <f>0</f>
        <v>0</v>
      </c>
      <c r="F91" s="32">
        <f t="shared" si="3"/>
        <v>0</v>
      </c>
    </row>
    <row r="92" spans="1:6" x14ac:dyDescent="0.75">
      <c r="A92" s="85">
        <f t="shared" si="2"/>
        <v>2420</v>
      </c>
      <c r="B92" s="81" t="s">
        <v>760</v>
      </c>
      <c r="C92" s="83"/>
      <c r="D92" s="82">
        <f>0</f>
        <v>0</v>
      </c>
      <c r="F92" s="32">
        <f t="shared" si="3"/>
        <v>0</v>
      </c>
    </row>
    <row r="93" spans="1:6" x14ac:dyDescent="0.75">
      <c r="A93" s="85">
        <f t="shared" si="2"/>
        <v>2425</v>
      </c>
      <c r="B93" s="81" t="s">
        <v>761</v>
      </c>
      <c r="C93" s="83"/>
      <c r="D93" s="82">
        <f>0</f>
        <v>0</v>
      </c>
      <c r="F93" s="32">
        <f t="shared" si="3"/>
        <v>0</v>
      </c>
    </row>
    <row r="94" spans="1:6" x14ac:dyDescent="0.75">
      <c r="A94" s="85">
        <f t="shared" si="2"/>
        <v>2430</v>
      </c>
      <c r="B94" s="81" t="s">
        <v>762</v>
      </c>
      <c r="C94" s="83"/>
      <c r="D94" s="82">
        <f>0</f>
        <v>0</v>
      </c>
      <c r="F94" s="32">
        <f t="shared" si="3"/>
        <v>0</v>
      </c>
    </row>
    <row r="95" spans="1:6" x14ac:dyDescent="0.75">
      <c r="A95" s="85">
        <f t="shared" si="2"/>
        <v>2470</v>
      </c>
      <c r="B95" s="81" t="s">
        <v>958</v>
      </c>
      <c r="C95" s="83"/>
      <c r="D95" s="82">
        <f>80171</f>
        <v>80171</v>
      </c>
      <c r="F95" s="32">
        <f t="shared" si="3"/>
        <v>-80171</v>
      </c>
    </row>
    <row r="96" spans="1:6" x14ac:dyDescent="0.75">
      <c r="A96" s="85">
        <f t="shared" si="2"/>
        <v>2705</v>
      </c>
      <c r="B96" s="81" t="s">
        <v>816</v>
      </c>
      <c r="C96" s="83"/>
      <c r="D96" s="82">
        <f>50000</f>
        <v>50000</v>
      </c>
      <c r="F96" s="32">
        <f t="shared" si="3"/>
        <v>-50000</v>
      </c>
    </row>
    <row r="97" spans="1:6" x14ac:dyDescent="0.75">
      <c r="A97" s="85">
        <f t="shared" si="2"/>
        <v>2710</v>
      </c>
      <c r="B97" s="81" t="s">
        <v>817</v>
      </c>
      <c r="C97" s="83"/>
      <c r="D97" s="82">
        <f>15000</f>
        <v>15000</v>
      </c>
      <c r="F97" s="32">
        <f t="shared" si="3"/>
        <v>-15000</v>
      </c>
    </row>
    <row r="98" spans="1:6" x14ac:dyDescent="0.75">
      <c r="A98" s="85">
        <f t="shared" si="2"/>
        <v>2715</v>
      </c>
      <c r="B98" s="81" t="s">
        <v>818</v>
      </c>
      <c r="C98" s="83"/>
      <c r="D98" s="82">
        <f>25000</f>
        <v>25000</v>
      </c>
      <c r="F98" s="32">
        <f t="shared" si="3"/>
        <v>-25000</v>
      </c>
    </row>
    <row r="99" spans="1:6" x14ac:dyDescent="0.75">
      <c r="A99" s="85">
        <f t="shared" si="2"/>
        <v>2720</v>
      </c>
      <c r="B99" s="81" t="s">
        <v>819</v>
      </c>
      <c r="C99" s="83"/>
      <c r="D99" s="82">
        <f>50000</f>
        <v>50000</v>
      </c>
      <c r="F99" s="32">
        <f t="shared" si="3"/>
        <v>-50000</v>
      </c>
    </row>
    <row r="100" spans="1:6" x14ac:dyDescent="0.75">
      <c r="A100" s="85">
        <f t="shared" si="2"/>
        <v>2725</v>
      </c>
      <c r="B100" s="81" t="s">
        <v>820</v>
      </c>
      <c r="C100" s="83"/>
      <c r="D100" s="82">
        <f>60000</f>
        <v>60000</v>
      </c>
      <c r="F100" s="32">
        <f t="shared" si="3"/>
        <v>-60000</v>
      </c>
    </row>
    <row r="101" spans="1:6" x14ac:dyDescent="0.75">
      <c r="A101" s="85">
        <f t="shared" si="2"/>
        <v>2730</v>
      </c>
      <c r="B101" s="81" t="s">
        <v>821</v>
      </c>
      <c r="C101" s="83"/>
      <c r="D101" s="82">
        <f>100000</f>
        <v>100000</v>
      </c>
      <c r="F101" s="32">
        <f t="shared" si="3"/>
        <v>-100000</v>
      </c>
    </row>
    <row r="102" spans="1:6" x14ac:dyDescent="0.75">
      <c r="A102" s="85">
        <f t="shared" si="2"/>
        <v>2735</v>
      </c>
      <c r="B102" s="81" t="s">
        <v>822</v>
      </c>
      <c r="C102" s="83"/>
      <c r="D102" s="82">
        <f>150000</f>
        <v>150000</v>
      </c>
      <c r="F102" s="32">
        <f t="shared" si="3"/>
        <v>-150000</v>
      </c>
    </row>
    <row r="103" spans="1:6" x14ac:dyDescent="0.75">
      <c r="A103" s="85">
        <f t="shared" si="2"/>
        <v>2740</v>
      </c>
      <c r="B103" s="81" t="s">
        <v>823</v>
      </c>
      <c r="C103" s="83"/>
      <c r="D103" s="82">
        <f>37500</f>
        <v>37500</v>
      </c>
      <c r="F103" s="32">
        <f t="shared" si="3"/>
        <v>-37500</v>
      </c>
    </row>
    <row r="104" spans="1:6" x14ac:dyDescent="0.75">
      <c r="A104" s="85">
        <f t="shared" si="2"/>
        <v>2745</v>
      </c>
      <c r="B104" s="81" t="s">
        <v>940</v>
      </c>
      <c r="C104" s="83"/>
      <c r="D104" s="82">
        <f>52561.64</f>
        <v>52561.64</v>
      </c>
      <c r="F104" s="32">
        <f t="shared" si="3"/>
        <v>-52561.64</v>
      </c>
    </row>
    <row r="105" spans="1:6" x14ac:dyDescent="0.75">
      <c r="A105" s="85">
        <f t="shared" si="2"/>
        <v>2750</v>
      </c>
      <c r="B105" s="81" t="s">
        <v>824</v>
      </c>
      <c r="C105" s="83"/>
      <c r="D105" s="82">
        <f>50000</f>
        <v>50000</v>
      </c>
      <c r="F105" s="32">
        <f t="shared" si="3"/>
        <v>-50000</v>
      </c>
    </row>
    <row r="106" spans="1:6" x14ac:dyDescent="0.75">
      <c r="A106" s="85">
        <f t="shared" si="2"/>
        <v>2755</v>
      </c>
      <c r="B106" s="81" t="s">
        <v>825</v>
      </c>
      <c r="C106" s="83"/>
      <c r="D106" s="82">
        <f>25000</f>
        <v>25000</v>
      </c>
      <c r="F106" s="32">
        <f t="shared" si="3"/>
        <v>-25000</v>
      </c>
    </row>
    <row r="107" spans="1:6" x14ac:dyDescent="0.75">
      <c r="A107" s="85">
        <f t="shared" si="2"/>
        <v>2760</v>
      </c>
      <c r="B107" s="81" t="s">
        <v>826</v>
      </c>
      <c r="C107" s="83"/>
      <c r="D107" s="82">
        <f>100000</f>
        <v>100000</v>
      </c>
      <c r="F107" s="32">
        <f t="shared" si="3"/>
        <v>-100000</v>
      </c>
    </row>
    <row r="108" spans="1:6" x14ac:dyDescent="0.75">
      <c r="A108" s="85">
        <f t="shared" si="2"/>
        <v>2765</v>
      </c>
      <c r="B108" s="81" t="s">
        <v>827</v>
      </c>
      <c r="C108" s="83"/>
      <c r="D108" s="82">
        <f>50000</f>
        <v>50000</v>
      </c>
      <c r="F108" s="32">
        <f t="shared" si="3"/>
        <v>-50000</v>
      </c>
    </row>
    <row r="109" spans="1:6" x14ac:dyDescent="0.75">
      <c r="A109" s="85">
        <f t="shared" si="2"/>
        <v>2770</v>
      </c>
      <c r="B109" s="81" t="s">
        <v>828</v>
      </c>
      <c r="C109" s="83"/>
      <c r="D109" s="82">
        <f>2500</f>
        <v>2500</v>
      </c>
      <c r="F109" s="32">
        <f t="shared" si="3"/>
        <v>-2500</v>
      </c>
    </row>
    <row r="110" spans="1:6" x14ac:dyDescent="0.75">
      <c r="A110" s="85">
        <f t="shared" si="2"/>
        <v>2775</v>
      </c>
      <c r="B110" s="81" t="s">
        <v>829</v>
      </c>
      <c r="C110" s="83"/>
      <c r="D110" s="82">
        <f>50000</f>
        <v>50000</v>
      </c>
      <c r="F110" s="32">
        <f t="shared" si="3"/>
        <v>-50000</v>
      </c>
    </row>
    <row r="111" spans="1:6" x14ac:dyDescent="0.75">
      <c r="A111" s="85">
        <f t="shared" si="2"/>
        <v>2780</v>
      </c>
      <c r="B111" s="81" t="s">
        <v>830</v>
      </c>
      <c r="C111" s="83"/>
      <c r="D111" s="82">
        <f>25000</f>
        <v>25000</v>
      </c>
      <c r="F111" s="32">
        <f t="shared" si="3"/>
        <v>-25000</v>
      </c>
    </row>
    <row r="112" spans="1:6" x14ac:dyDescent="0.75">
      <c r="A112" s="85">
        <f t="shared" si="2"/>
        <v>2785</v>
      </c>
      <c r="B112" s="81" t="s">
        <v>947</v>
      </c>
      <c r="C112" s="83"/>
      <c r="D112" s="82">
        <f>0</f>
        <v>0</v>
      </c>
      <c r="F112" s="32">
        <f t="shared" si="3"/>
        <v>0</v>
      </c>
    </row>
    <row r="113" spans="1:6" x14ac:dyDescent="0.75">
      <c r="A113" s="85">
        <f t="shared" si="2"/>
        <v>2790</v>
      </c>
      <c r="B113" s="81" t="s">
        <v>943</v>
      </c>
      <c r="C113" s="82">
        <f>370241</f>
        <v>370241</v>
      </c>
      <c r="D113" s="83"/>
      <c r="F113" s="32">
        <f t="shared" si="3"/>
        <v>370241</v>
      </c>
    </row>
    <row r="114" spans="1:6" x14ac:dyDescent="0.75">
      <c r="A114" s="85">
        <f t="shared" si="2"/>
        <v>3000</v>
      </c>
      <c r="B114" s="81" t="s">
        <v>307</v>
      </c>
      <c r="C114" s="83"/>
      <c r="D114" s="82">
        <f>46184.14</f>
        <v>46184.14</v>
      </c>
      <c r="F114" s="32">
        <f t="shared" si="3"/>
        <v>-46184.14</v>
      </c>
    </row>
    <row r="115" spans="1:6" x14ac:dyDescent="0.75">
      <c r="A115" s="85">
        <f t="shared" si="2"/>
        <v>3100</v>
      </c>
      <c r="B115" s="81" t="s">
        <v>308</v>
      </c>
      <c r="C115" s="83"/>
      <c r="D115" s="82">
        <f>7260317.15</f>
        <v>7260317.1500000004</v>
      </c>
      <c r="F115" s="32">
        <f t="shared" si="3"/>
        <v>-7260317.1500000004</v>
      </c>
    </row>
    <row r="116" spans="1:6" x14ac:dyDescent="0.75">
      <c r="A116" s="85">
        <f t="shared" si="2"/>
        <v>3200</v>
      </c>
      <c r="B116" s="81" t="s">
        <v>309</v>
      </c>
      <c r="C116" s="83"/>
      <c r="D116" s="82">
        <f>0</f>
        <v>0</v>
      </c>
      <c r="F116" s="32">
        <f t="shared" si="3"/>
        <v>0</v>
      </c>
    </row>
    <row r="117" spans="1:6" x14ac:dyDescent="0.75">
      <c r="A117" s="85">
        <f t="shared" si="2"/>
        <v>3300</v>
      </c>
      <c r="B117" s="81" t="s">
        <v>763</v>
      </c>
      <c r="C117" s="83"/>
      <c r="D117" s="82">
        <f>0</f>
        <v>0</v>
      </c>
      <c r="F117" s="32">
        <f t="shared" si="3"/>
        <v>0</v>
      </c>
    </row>
    <row r="118" spans="1:6" x14ac:dyDescent="0.75">
      <c r="A118" s="85">
        <f t="shared" si="2"/>
        <v>3400</v>
      </c>
      <c r="B118" s="81" t="s">
        <v>764</v>
      </c>
      <c r="C118" s="83"/>
      <c r="D118" s="82">
        <f>0</f>
        <v>0</v>
      </c>
      <c r="F118" s="32">
        <f t="shared" si="3"/>
        <v>0</v>
      </c>
    </row>
    <row r="119" spans="1:6" x14ac:dyDescent="0.75">
      <c r="A119" s="85">
        <f t="shared" si="2"/>
        <v>3500</v>
      </c>
      <c r="B119" s="81" t="s">
        <v>306</v>
      </c>
      <c r="C119" s="83"/>
      <c r="D119" s="82">
        <f>0</f>
        <v>0</v>
      </c>
      <c r="F119" s="32">
        <f t="shared" si="3"/>
        <v>0</v>
      </c>
    </row>
    <row r="120" spans="1:6" x14ac:dyDescent="0.75">
      <c r="A120" s="85">
        <f t="shared" si="2"/>
        <v>3600</v>
      </c>
      <c r="B120" s="81" t="s">
        <v>938</v>
      </c>
      <c r="C120" s="82">
        <f>94000</f>
        <v>94000</v>
      </c>
      <c r="D120" s="83"/>
      <c r="F120" s="32">
        <f t="shared" si="3"/>
        <v>94000</v>
      </c>
    </row>
    <row r="121" spans="1:6" x14ac:dyDescent="0.75">
      <c r="A121" s="85">
        <f t="shared" si="2"/>
        <v>3800</v>
      </c>
      <c r="B121" s="81" t="s">
        <v>765</v>
      </c>
      <c r="C121" s="83"/>
      <c r="D121" s="82">
        <f>0</f>
        <v>0</v>
      </c>
      <c r="F121" s="32">
        <f t="shared" si="3"/>
        <v>0</v>
      </c>
    </row>
    <row r="122" spans="1:6" x14ac:dyDescent="0.75">
      <c r="A122" s="85">
        <f t="shared" si="2"/>
        <v>3900</v>
      </c>
      <c r="B122" s="81" t="s">
        <v>311</v>
      </c>
      <c r="C122" s="93">
        <f>9072443.37-9740</f>
        <v>9062703.3699999992</v>
      </c>
      <c r="D122" s="83"/>
      <c r="F122" s="32">
        <f t="shared" si="3"/>
        <v>9062703.3699999992</v>
      </c>
    </row>
    <row r="123" spans="1:6" x14ac:dyDescent="0.75">
      <c r="A123" s="85">
        <f t="shared" si="2"/>
        <v>4100</v>
      </c>
      <c r="B123" s="81" t="s">
        <v>313</v>
      </c>
      <c r="C123" s="83"/>
      <c r="D123" s="82">
        <f>180129.42</f>
        <v>180129.42</v>
      </c>
      <c r="F123" s="32">
        <f t="shared" si="3"/>
        <v>-180129.42</v>
      </c>
    </row>
    <row r="124" spans="1:6" x14ac:dyDescent="0.75">
      <c r="A124" s="85">
        <f t="shared" si="2"/>
        <v>4500</v>
      </c>
      <c r="B124" s="81" t="s">
        <v>766</v>
      </c>
      <c r="C124" s="83"/>
      <c r="D124" s="82">
        <f>9948.35</f>
        <v>9948.35</v>
      </c>
      <c r="F124" s="32">
        <f t="shared" si="3"/>
        <v>-9948.35</v>
      </c>
    </row>
    <row r="125" spans="1:6" x14ac:dyDescent="0.75">
      <c r="A125" s="85">
        <f t="shared" si="2"/>
        <v>4900</v>
      </c>
      <c r="B125" s="81" t="s">
        <v>831</v>
      </c>
      <c r="C125" s="83"/>
      <c r="D125" s="82">
        <f>3835</f>
        <v>3835</v>
      </c>
      <c r="F125" s="32">
        <f t="shared" si="3"/>
        <v>-3835</v>
      </c>
    </row>
    <row r="126" spans="1:6" x14ac:dyDescent="0.75">
      <c r="A126" s="85">
        <f t="shared" si="2"/>
        <v>5000</v>
      </c>
      <c r="B126" s="81" t="s">
        <v>832</v>
      </c>
      <c r="C126" s="82">
        <f>6065.06</f>
        <v>6065.06</v>
      </c>
      <c r="D126" s="83"/>
      <c r="F126" s="32">
        <f t="shared" si="3"/>
        <v>6065.06</v>
      </c>
    </row>
    <row r="127" spans="1:6" x14ac:dyDescent="0.75">
      <c r="A127" s="85">
        <f t="shared" si="2"/>
        <v>5010</v>
      </c>
      <c r="B127" s="81" t="s">
        <v>833</v>
      </c>
      <c r="C127" s="82">
        <f>9235.99</f>
        <v>9235.99</v>
      </c>
      <c r="D127" s="83"/>
      <c r="F127" s="32">
        <f t="shared" si="3"/>
        <v>9235.99</v>
      </c>
    </row>
    <row r="128" spans="1:6" x14ac:dyDescent="0.75">
      <c r="A128" s="85">
        <f t="shared" si="2"/>
        <v>5050</v>
      </c>
      <c r="B128" s="81" t="s">
        <v>797</v>
      </c>
      <c r="C128" s="82">
        <f>36830.14</f>
        <v>36830.14</v>
      </c>
      <c r="D128" s="83"/>
      <c r="F128" s="32">
        <f t="shared" si="3"/>
        <v>36830.14</v>
      </c>
    </row>
    <row r="129" spans="1:6" x14ac:dyDescent="0.75">
      <c r="A129" s="85">
        <f t="shared" si="2"/>
        <v>6010</v>
      </c>
      <c r="B129" s="81" t="s">
        <v>798</v>
      </c>
      <c r="C129" s="82">
        <f>3905.48</f>
        <v>3905.48</v>
      </c>
      <c r="D129" s="83"/>
      <c r="F129" s="32">
        <f t="shared" si="3"/>
        <v>3905.48</v>
      </c>
    </row>
    <row r="130" spans="1:6" x14ac:dyDescent="0.75">
      <c r="A130" s="85">
        <f t="shared" si="2"/>
        <v>6025</v>
      </c>
      <c r="B130" s="81" t="s">
        <v>767</v>
      </c>
      <c r="C130" s="82">
        <f>188</f>
        <v>188</v>
      </c>
      <c r="D130" s="83"/>
      <c r="F130" s="32">
        <f t="shared" si="3"/>
        <v>188</v>
      </c>
    </row>
    <row r="131" spans="1:6" x14ac:dyDescent="0.75">
      <c r="A131" s="85">
        <f t="shared" si="2"/>
        <v>6030</v>
      </c>
      <c r="B131" s="81" t="s">
        <v>768</v>
      </c>
      <c r="C131" s="82">
        <f>872.11</f>
        <v>872.11</v>
      </c>
      <c r="D131" s="83"/>
      <c r="F131" s="32">
        <f t="shared" si="3"/>
        <v>872.11</v>
      </c>
    </row>
    <row r="132" spans="1:6" x14ac:dyDescent="0.75">
      <c r="A132" s="85">
        <f t="shared" si="2"/>
        <v>6075</v>
      </c>
      <c r="B132" s="81" t="s">
        <v>803</v>
      </c>
      <c r="C132" s="82">
        <f>8168.58</f>
        <v>8168.58</v>
      </c>
      <c r="D132" s="83"/>
      <c r="F132" s="32">
        <f t="shared" si="3"/>
        <v>8168.58</v>
      </c>
    </row>
    <row r="133" spans="1:6" x14ac:dyDescent="0.75">
      <c r="A133" s="85">
        <f t="shared" si="2"/>
        <v>6085</v>
      </c>
      <c r="B133" s="81" t="s">
        <v>769</v>
      </c>
      <c r="C133" s="82">
        <f>635.76</f>
        <v>635.76</v>
      </c>
      <c r="D133" s="83"/>
      <c r="F133" s="32">
        <f t="shared" si="3"/>
        <v>635.76</v>
      </c>
    </row>
    <row r="134" spans="1:6" x14ac:dyDescent="0.75">
      <c r="A134" s="85">
        <f t="shared" ref="A134:A161" si="4">VALUE(LEFT(B134,4))</f>
        <v>6105</v>
      </c>
      <c r="B134" s="81" t="s">
        <v>838</v>
      </c>
      <c r="C134" s="82">
        <f>2785.48</f>
        <v>2785.48</v>
      </c>
      <c r="D134" s="83"/>
      <c r="F134" s="32">
        <f t="shared" si="3"/>
        <v>2785.48</v>
      </c>
    </row>
    <row r="135" spans="1:6" x14ac:dyDescent="0.75">
      <c r="A135" s="85">
        <f t="shared" si="4"/>
        <v>6115</v>
      </c>
      <c r="B135" s="81" t="s">
        <v>839</v>
      </c>
      <c r="C135" s="82">
        <f>3111.42</f>
        <v>3111.42</v>
      </c>
      <c r="D135" s="83"/>
      <c r="F135" s="32">
        <f t="shared" ref="F135:F162" si="5">C135-D135</f>
        <v>3111.42</v>
      </c>
    </row>
    <row r="136" spans="1:6" x14ac:dyDescent="0.75">
      <c r="A136" s="85">
        <f t="shared" si="4"/>
        <v>6120</v>
      </c>
      <c r="B136" s="81" t="s">
        <v>770</v>
      </c>
      <c r="C136" s="83"/>
      <c r="D136" s="82">
        <f>2323.74</f>
        <v>2323.7399999999998</v>
      </c>
      <c r="F136" s="32">
        <f t="shared" si="5"/>
        <v>-2323.7399999999998</v>
      </c>
    </row>
    <row r="137" spans="1:6" x14ac:dyDescent="0.75">
      <c r="A137" s="85">
        <f t="shared" si="4"/>
        <v>6150</v>
      </c>
      <c r="B137" s="81" t="s">
        <v>771</v>
      </c>
      <c r="C137" s="82">
        <f>1794</f>
        <v>1794</v>
      </c>
      <c r="D137" s="83"/>
      <c r="F137" s="32">
        <f t="shared" si="5"/>
        <v>1794</v>
      </c>
    </row>
    <row r="138" spans="1:6" x14ac:dyDescent="0.75">
      <c r="A138" s="85">
        <f t="shared" si="4"/>
        <v>6155</v>
      </c>
      <c r="B138" s="81" t="s">
        <v>772</v>
      </c>
      <c r="C138" s="83"/>
      <c r="D138" s="82">
        <f>226</f>
        <v>226</v>
      </c>
      <c r="F138" s="32">
        <f t="shared" si="5"/>
        <v>-226</v>
      </c>
    </row>
    <row r="139" spans="1:6" x14ac:dyDescent="0.75">
      <c r="A139" s="85">
        <f t="shared" si="4"/>
        <v>6210</v>
      </c>
      <c r="B139" s="81" t="s">
        <v>773</v>
      </c>
      <c r="C139" s="82">
        <f>10</f>
        <v>10</v>
      </c>
      <c r="D139" s="83"/>
      <c r="F139" s="32">
        <f t="shared" si="5"/>
        <v>10</v>
      </c>
    </row>
    <row r="140" spans="1:6" x14ac:dyDescent="0.75">
      <c r="A140" s="85">
        <f t="shared" si="4"/>
        <v>6215</v>
      </c>
      <c r="B140" s="81" t="s">
        <v>774</v>
      </c>
      <c r="C140" s="82">
        <f>1735.41</f>
        <v>1735.41</v>
      </c>
      <c r="D140" s="83"/>
      <c r="F140" s="32">
        <f t="shared" si="5"/>
        <v>1735.41</v>
      </c>
    </row>
    <row r="141" spans="1:6" x14ac:dyDescent="0.75">
      <c r="A141" s="85">
        <f t="shared" si="4"/>
        <v>6220</v>
      </c>
      <c r="B141" s="81" t="s">
        <v>775</v>
      </c>
      <c r="C141" s="82">
        <f>1303.63</f>
        <v>1303.6300000000001</v>
      </c>
      <c r="D141" s="83"/>
      <c r="F141" s="32">
        <f t="shared" si="5"/>
        <v>1303.6300000000001</v>
      </c>
    </row>
    <row r="142" spans="1:6" x14ac:dyDescent="0.75">
      <c r="A142" s="85">
        <f t="shared" si="4"/>
        <v>6245</v>
      </c>
      <c r="B142" s="81" t="s">
        <v>776</v>
      </c>
      <c r="C142" s="82">
        <f>577.9</f>
        <v>577.9</v>
      </c>
      <c r="D142" s="83"/>
      <c r="F142" s="32">
        <f t="shared" si="5"/>
        <v>577.9</v>
      </c>
    </row>
    <row r="143" spans="1:6" x14ac:dyDescent="0.75">
      <c r="A143" s="85">
        <f t="shared" si="4"/>
        <v>6255</v>
      </c>
      <c r="B143" s="81" t="s">
        <v>777</v>
      </c>
      <c r="C143" s="82">
        <f>58.68</f>
        <v>58.68</v>
      </c>
      <c r="D143" s="83"/>
      <c r="F143" s="32">
        <f t="shared" si="5"/>
        <v>58.68</v>
      </c>
    </row>
    <row r="144" spans="1:6" x14ac:dyDescent="0.75">
      <c r="A144" s="85">
        <f t="shared" si="4"/>
        <v>6270</v>
      </c>
      <c r="B144" s="81" t="s">
        <v>778</v>
      </c>
      <c r="C144" s="82">
        <f>905</f>
        <v>905</v>
      </c>
      <c r="D144" s="83"/>
      <c r="F144" s="32">
        <f t="shared" si="5"/>
        <v>905</v>
      </c>
    </row>
    <row r="145" spans="1:6" x14ac:dyDescent="0.75">
      <c r="A145" s="85">
        <f t="shared" si="4"/>
        <v>6275</v>
      </c>
      <c r="B145" s="81" t="s">
        <v>790</v>
      </c>
      <c r="C145" s="82">
        <f>37925</f>
        <v>37925</v>
      </c>
      <c r="D145" s="83"/>
      <c r="F145" s="32">
        <f t="shared" si="5"/>
        <v>37925</v>
      </c>
    </row>
    <row r="146" spans="1:6" x14ac:dyDescent="0.75">
      <c r="A146" s="85">
        <f t="shared" si="4"/>
        <v>6280</v>
      </c>
      <c r="B146" s="81" t="s">
        <v>779</v>
      </c>
      <c r="C146" s="82">
        <f>1195</f>
        <v>1195</v>
      </c>
      <c r="D146" s="83"/>
      <c r="F146" s="32">
        <f t="shared" si="5"/>
        <v>1195</v>
      </c>
    </row>
    <row r="147" spans="1:6" x14ac:dyDescent="0.75">
      <c r="A147" s="85">
        <f t="shared" si="4"/>
        <v>6300</v>
      </c>
      <c r="B147" s="81" t="s">
        <v>840</v>
      </c>
      <c r="C147" s="82">
        <f>2338.72</f>
        <v>2338.7199999999998</v>
      </c>
      <c r="D147" s="83"/>
      <c r="F147" s="32">
        <f t="shared" si="5"/>
        <v>2338.7199999999998</v>
      </c>
    </row>
    <row r="148" spans="1:6" x14ac:dyDescent="0.75">
      <c r="A148" s="85">
        <f t="shared" si="4"/>
        <v>6315</v>
      </c>
      <c r="B148" s="81" t="s">
        <v>791</v>
      </c>
      <c r="C148" s="82">
        <f>10000</f>
        <v>10000</v>
      </c>
      <c r="D148" s="83"/>
      <c r="F148" s="32">
        <f t="shared" si="5"/>
        <v>10000</v>
      </c>
    </row>
    <row r="149" spans="1:6" x14ac:dyDescent="0.75">
      <c r="A149" s="85">
        <f t="shared" si="4"/>
        <v>6345</v>
      </c>
      <c r="B149" s="81" t="s">
        <v>792</v>
      </c>
      <c r="C149" s="82">
        <f>1822.74</f>
        <v>1822.74</v>
      </c>
      <c r="D149" s="83"/>
      <c r="F149" s="32">
        <f t="shared" si="5"/>
        <v>1822.74</v>
      </c>
    </row>
    <row r="150" spans="1:6" x14ac:dyDescent="0.75">
      <c r="A150" s="85">
        <f t="shared" si="4"/>
        <v>6400</v>
      </c>
      <c r="B150" s="81" t="s">
        <v>781</v>
      </c>
      <c r="C150" s="82">
        <f>27707.96</f>
        <v>27707.96</v>
      </c>
      <c r="D150" s="83"/>
      <c r="F150" s="32">
        <f t="shared" si="5"/>
        <v>27707.96</v>
      </c>
    </row>
    <row r="151" spans="1:6" x14ac:dyDescent="0.75">
      <c r="A151" s="85">
        <f t="shared" si="4"/>
        <v>6430</v>
      </c>
      <c r="B151" s="81" t="s">
        <v>782</v>
      </c>
      <c r="C151" s="82">
        <f>31582.16</f>
        <v>31582.16</v>
      </c>
      <c r="D151" s="83"/>
      <c r="F151" s="32">
        <f t="shared" si="5"/>
        <v>31582.16</v>
      </c>
    </row>
    <row r="152" spans="1:6" x14ac:dyDescent="0.75">
      <c r="A152" s="85">
        <f t="shared" si="4"/>
        <v>6435</v>
      </c>
      <c r="B152" s="81" t="s">
        <v>783</v>
      </c>
      <c r="C152" s="82">
        <f>1825</f>
        <v>1825</v>
      </c>
      <c r="D152" s="83"/>
      <c r="F152" s="32">
        <f t="shared" si="5"/>
        <v>1825</v>
      </c>
    </row>
    <row r="153" spans="1:6" x14ac:dyDescent="0.75">
      <c r="A153" s="85">
        <f t="shared" si="4"/>
        <v>6440</v>
      </c>
      <c r="B153" s="81" t="s">
        <v>948</v>
      </c>
      <c r="C153" s="82">
        <f>17369.77</f>
        <v>17369.77</v>
      </c>
      <c r="D153" s="83"/>
      <c r="F153" s="32">
        <f t="shared" si="5"/>
        <v>17369.77</v>
      </c>
    </row>
    <row r="154" spans="1:6" x14ac:dyDescent="0.75">
      <c r="A154" s="85">
        <f t="shared" si="4"/>
        <v>6445</v>
      </c>
      <c r="B154" s="81" t="s">
        <v>784</v>
      </c>
      <c r="C154" s="82">
        <f>8685.24</f>
        <v>8685.24</v>
      </c>
      <c r="D154" s="83"/>
      <c r="F154" s="32">
        <f t="shared" si="5"/>
        <v>8685.24</v>
      </c>
    </row>
    <row r="155" spans="1:6" x14ac:dyDescent="0.75">
      <c r="A155" s="85">
        <f t="shared" si="4"/>
        <v>6510</v>
      </c>
      <c r="B155" s="81" t="s">
        <v>785</v>
      </c>
      <c r="C155" s="82">
        <f>2673.22</f>
        <v>2673.22</v>
      </c>
      <c r="D155" s="83"/>
      <c r="F155" s="32">
        <f t="shared" si="5"/>
        <v>2673.22</v>
      </c>
    </row>
    <row r="156" spans="1:6" x14ac:dyDescent="0.75">
      <c r="A156" s="85">
        <f t="shared" si="4"/>
        <v>6550</v>
      </c>
      <c r="B156" s="81" t="s">
        <v>786</v>
      </c>
      <c r="C156" s="82">
        <f>3232.17</f>
        <v>3232.17</v>
      </c>
      <c r="D156" s="83"/>
      <c r="F156" s="32">
        <f t="shared" si="5"/>
        <v>3232.17</v>
      </c>
    </row>
    <row r="157" spans="1:6" x14ac:dyDescent="0.75">
      <c r="A157" s="85">
        <f t="shared" si="4"/>
        <v>7510</v>
      </c>
      <c r="B157" s="81" t="s">
        <v>787</v>
      </c>
      <c r="C157" s="82">
        <f>2058.28</f>
        <v>2058.2800000000002</v>
      </c>
      <c r="D157" s="83"/>
      <c r="F157" s="32">
        <f t="shared" si="5"/>
        <v>2058.2800000000002</v>
      </c>
    </row>
    <row r="158" spans="1:6" x14ac:dyDescent="0.75">
      <c r="A158" s="85">
        <f t="shared" si="4"/>
        <v>7520</v>
      </c>
      <c r="B158" s="81" t="s">
        <v>805</v>
      </c>
      <c r="C158" s="82">
        <f>1381.33</f>
        <v>1381.33</v>
      </c>
      <c r="D158" s="83"/>
      <c r="F158" s="32">
        <f t="shared" si="5"/>
        <v>1381.33</v>
      </c>
    </row>
    <row r="159" spans="1:6" x14ac:dyDescent="0.75">
      <c r="A159" s="85">
        <f t="shared" si="4"/>
        <v>7530</v>
      </c>
      <c r="B159" s="81" t="s">
        <v>788</v>
      </c>
      <c r="C159" s="82">
        <f>8878.2</f>
        <v>8878.2000000000007</v>
      </c>
      <c r="D159" s="83"/>
      <c r="F159" s="32">
        <f t="shared" si="5"/>
        <v>8878.2000000000007</v>
      </c>
    </row>
    <row r="160" spans="1:6" x14ac:dyDescent="0.75">
      <c r="A160" s="85">
        <f t="shared" si="4"/>
        <v>7540</v>
      </c>
      <c r="B160" s="81" t="s">
        <v>846</v>
      </c>
      <c r="C160" s="82">
        <f>19851.36</f>
        <v>19851.36</v>
      </c>
      <c r="D160" s="83"/>
      <c r="F160" s="32">
        <f t="shared" si="5"/>
        <v>19851.36</v>
      </c>
    </row>
    <row r="161" spans="1:6" x14ac:dyDescent="0.75">
      <c r="A161" s="85">
        <f t="shared" si="4"/>
        <v>7590</v>
      </c>
      <c r="B161" s="81" t="s">
        <v>944</v>
      </c>
      <c r="C161" s="82">
        <f>46674</f>
        <v>46674</v>
      </c>
      <c r="D161" s="83"/>
      <c r="F161" s="32">
        <f t="shared" si="5"/>
        <v>46674</v>
      </c>
    </row>
    <row r="162" spans="1:6" x14ac:dyDescent="0.75">
      <c r="A162" s="85">
        <f>VALUE(LEFT(B162,4))</f>
        <v>7100</v>
      </c>
      <c r="B162" s="81" t="s">
        <v>375</v>
      </c>
      <c r="C162" s="83"/>
      <c r="D162" s="82">
        <f>49.2</f>
        <v>49.2</v>
      </c>
      <c r="F162" s="32">
        <f t="shared" si="5"/>
        <v>-49.2</v>
      </c>
    </row>
    <row r="163" spans="1:6" x14ac:dyDescent="0.75">
      <c r="B163" s="81" t="s">
        <v>2</v>
      </c>
      <c r="C163" s="84">
        <f t="shared" ref="C163:D163" si="6">SUM(C6:C162)</f>
        <v>10695935.380000003</v>
      </c>
      <c r="D163" s="84">
        <f t="shared" si="6"/>
        <v>10695935.380000001</v>
      </c>
      <c r="F163" s="32">
        <f>SUM(F6:F162)</f>
        <v>-1.9383179505894077E-9</v>
      </c>
    </row>
    <row r="164" spans="1:6" x14ac:dyDescent="0.75">
      <c r="B164" s="81"/>
      <c r="C164" s="83"/>
      <c r="D164" s="83"/>
    </row>
    <row r="167" spans="1:6" x14ac:dyDescent="0.75">
      <c r="B167" s="198" t="s">
        <v>959</v>
      </c>
      <c r="C167" s="197"/>
      <c r="D167" s="197"/>
    </row>
  </sheetData>
  <mergeCells count="4">
    <mergeCell ref="B1:D1"/>
    <mergeCell ref="B2:D2"/>
    <mergeCell ref="B3:D3"/>
    <mergeCell ref="B167:D167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5362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15362" r:id="rId4" name="HEADER"/>
      </mc:Fallback>
    </mc:AlternateContent>
    <mc:AlternateContent xmlns:mc="http://schemas.openxmlformats.org/markup-compatibility/2006">
      <mc:Choice Requires="x14">
        <control shapeId="15361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15361" r:id="rId6" name="FILTER"/>
      </mc:Fallback>
    </mc:AlternateContent>
  </control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84AF-95B9-498A-8787-1BA616847AEE}">
  <sheetPr codeName="Sheet6">
    <tabColor theme="7" tint="0.59999389629810485"/>
  </sheetPr>
  <dimension ref="A1:F176"/>
  <sheetViews>
    <sheetView zoomScaleNormal="100" workbookViewId="0">
      <pane xSplit="2" ySplit="5" topLeftCell="C100" activePane="bottomRight" state="frozenSplit"/>
      <selection pane="topRight" activeCell="C1" sqref="C1"/>
      <selection pane="bottomLeft" activeCell="A3" sqref="A3"/>
      <selection pane="bottomRight" activeCell="A108" sqref="A108"/>
    </sheetView>
  </sheetViews>
  <sheetFormatPr defaultColWidth="9.1328125" defaultRowHeight="14.75" x14ac:dyDescent="0.75"/>
  <cols>
    <col min="1" max="1" width="9.1328125" style="85"/>
    <col min="2" max="2" width="52.40625" style="85" customWidth="1"/>
    <col min="3" max="4" width="13.7265625" style="85" customWidth="1"/>
    <col min="5" max="5" width="9.1328125" style="85"/>
    <col min="6" max="6" width="22.26953125" style="32" customWidth="1"/>
    <col min="7" max="16384" width="9.1328125" style="85"/>
  </cols>
  <sheetData>
    <row r="1" spans="1:6" ht="18" x14ac:dyDescent="0.8">
      <c r="B1" s="195" t="s">
        <v>696</v>
      </c>
      <c r="C1" s="197"/>
      <c r="D1" s="197"/>
    </row>
    <row r="2" spans="1:6" ht="18" x14ac:dyDescent="0.8">
      <c r="B2" s="195" t="s">
        <v>697</v>
      </c>
      <c r="C2" s="197"/>
      <c r="D2" s="197"/>
    </row>
    <row r="3" spans="1:6" x14ac:dyDescent="0.75">
      <c r="B3" s="199" t="s">
        <v>851</v>
      </c>
      <c r="C3" s="197"/>
      <c r="D3" s="197"/>
    </row>
    <row r="5" spans="1:6" x14ac:dyDescent="0.75">
      <c r="B5" s="52"/>
      <c r="C5" s="80" t="s">
        <v>0</v>
      </c>
      <c r="D5" s="80" t="s">
        <v>1</v>
      </c>
      <c r="F5" s="80" t="s">
        <v>170</v>
      </c>
    </row>
    <row r="6" spans="1:6" x14ac:dyDescent="0.75">
      <c r="A6" s="85">
        <f t="shared" ref="A6:A69" si="0">VALUE(LEFT(B6,4))</f>
        <v>1005</v>
      </c>
      <c r="B6" s="81" t="s">
        <v>698</v>
      </c>
      <c r="C6" s="82">
        <f>0</f>
        <v>0</v>
      </c>
      <c r="D6" s="83"/>
      <c r="F6" s="32">
        <f>C6-D6</f>
        <v>0</v>
      </c>
    </row>
    <row r="7" spans="1:6" x14ac:dyDescent="0.75">
      <c r="A7" s="85">
        <f t="shared" si="0"/>
        <v>1010</v>
      </c>
      <c r="B7" s="81" t="s">
        <v>193</v>
      </c>
      <c r="C7" s="82">
        <f>65999.31</f>
        <v>65999.31</v>
      </c>
      <c r="D7" s="83"/>
      <c r="F7" s="32">
        <f t="shared" ref="F7:F70" si="1">C7-D7</f>
        <v>65999.31</v>
      </c>
    </row>
    <row r="8" spans="1:6" x14ac:dyDescent="0.75">
      <c r="A8" s="85">
        <f t="shared" si="0"/>
        <v>1020</v>
      </c>
      <c r="B8" s="81" t="s">
        <v>194</v>
      </c>
      <c r="C8" s="82">
        <f>62706.24</f>
        <v>62706.239999999998</v>
      </c>
      <c r="D8" s="83"/>
      <c r="F8" s="32">
        <f t="shared" si="1"/>
        <v>62706.239999999998</v>
      </c>
    </row>
    <row r="9" spans="1:6" x14ac:dyDescent="0.75">
      <c r="A9" s="85">
        <f t="shared" si="0"/>
        <v>1200</v>
      </c>
      <c r="B9" s="81" t="s">
        <v>699</v>
      </c>
      <c r="C9" s="82">
        <f>137031.08</f>
        <v>137031.07999999999</v>
      </c>
      <c r="D9" s="83"/>
      <c r="F9" s="32">
        <f t="shared" si="1"/>
        <v>137031.07999999999</v>
      </c>
    </row>
    <row r="10" spans="1:6" x14ac:dyDescent="0.75">
      <c r="A10" s="85">
        <f t="shared" si="0"/>
        <v>1210</v>
      </c>
      <c r="B10" s="81" t="s">
        <v>700</v>
      </c>
      <c r="C10" s="82">
        <f>0</f>
        <v>0</v>
      </c>
      <c r="D10" s="83"/>
      <c r="F10" s="32">
        <f t="shared" si="1"/>
        <v>0</v>
      </c>
    </row>
    <row r="11" spans="1:6" x14ac:dyDescent="0.75">
      <c r="A11" s="85">
        <f t="shared" si="0"/>
        <v>1250</v>
      </c>
      <c r="B11" s="81" t="s">
        <v>701</v>
      </c>
      <c r="C11" s="82">
        <f>0</f>
        <v>0</v>
      </c>
      <c r="D11" s="83"/>
      <c r="F11" s="32">
        <f t="shared" si="1"/>
        <v>0</v>
      </c>
    </row>
    <row r="12" spans="1:6" x14ac:dyDescent="0.75">
      <c r="A12" s="85">
        <f t="shared" si="0"/>
        <v>1280</v>
      </c>
      <c r="B12" s="81" t="s">
        <v>702</v>
      </c>
      <c r="C12" s="82">
        <f>0</f>
        <v>0</v>
      </c>
      <c r="D12" s="83"/>
      <c r="F12" s="32">
        <f t="shared" si="1"/>
        <v>0</v>
      </c>
    </row>
    <row r="13" spans="1:6" x14ac:dyDescent="0.75">
      <c r="A13" s="85">
        <f t="shared" si="0"/>
        <v>1290</v>
      </c>
      <c r="B13" s="81" t="s">
        <v>703</v>
      </c>
      <c r="C13" s="82">
        <f>0</f>
        <v>0</v>
      </c>
      <c r="D13" s="83"/>
      <c r="F13" s="32">
        <f t="shared" si="1"/>
        <v>0</v>
      </c>
    </row>
    <row r="14" spans="1:6" x14ac:dyDescent="0.75">
      <c r="A14" s="85">
        <f t="shared" si="0"/>
        <v>1310</v>
      </c>
      <c r="B14" s="81" t="s">
        <v>200</v>
      </c>
      <c r="C14" s="82">
        <f>47104.51</f>
        <v>47104.51</v>
      </c>
      <c r="D14" s="83"/>
      <c r="F14" s="32">
        <f t="shared" si="1"/>
        <v>47104.51</v>
      </c>
    </row>
    <row r="15" spans="1:6" x14ac:dyDescent="0.75">
      <c r="A15" s="85">
        <f t="shared" si="0"/>
        <v>1320</v>
      </c>
      <c r="B15" s="81" t="s">
        <v>201</v>
      </c>
      <c r="C15" s="82">
        <f>0</f>
        <v>0</v>
      </c>
      <c r="D15" s="83"/>
      <c r="F15" s="32">
        <f t="shared" si="1"/>
        <v>0</v>
      </c>
    </row>
    <row r="16" spans="1:6" x14ac:dyDescent="0.75">
      <c r="A16" s="85">
        <f t="shared" si="0"/>
        <v>1330</v>
      </c>
      <c r="B16" s="81" t="s">
        <v>704</v>
      </c>
      <c r="C16" s="82">
        <f>0</f>
        <v>0</v>
      </c>
      <c r="D16" s="83"/>
      <c r="F16" s="32">
        <f t="shared" si="1"/>
        <v>0</v>
      </c>
    </row>
    <row r="17" spans="1:6" x14ac:dyDescent="0.75">
      <c r="A17" s="85">
        <f t="shared" si="0"/>
        <v>1340</v>
      </c>
      <c r="B17" s="81" t="s">
        <v>705</v>
      </c>
      <c r="C17" s="82">
        <f>4370</f>
        <v>4370</v>
      </c>
      <c r="D17" s="83"/>
      <c r="F17" s="32">
        <f t="shared" si="1"/>
        <v>4370</v>
      </c>
    </row>
    <row r="18" spans="1:6" x14ac:dyDescent="0.75">
      <c r="A18" s="85">
        <f t="shared" si="0"/>
        <v>1410</v>
      </c>
      <c r="B18" s="81" t="s">
        <v>204</v>
      </c>
      <c r="C18" s="82">
        <f>54083.78</f>
        <v>54083.78</v>
      </c>
      <c r="D18" s="83"/>
      <c r="F18" s="32">
        <f t="shared" si="1"/>
        <v>54083.78</v>
      </c>
    </row>
    <row r="19" spans="1:6" x14ac:dyDescent="0.75">
      <c r="A19" s="85">
        <f t="shared" si="0"/>
        <v>1430</v>
      </c>
      <c r="B19" s="81" t="s">
        <v>706</v>
      </c>
      <c r="C19" s="82">
        <f>0</f>
        <v>0</v>
      </c>
      <c r="D19" s="83"/>
      <c r="F19" s="32">
        <f t="shared" si="1"/>
        <v>0</v>
      </c>
    </row>
    <row r="20" spans="1:6" x14ac:dyDescent="0.75">
      <c r="A20" s="85">
        <f t="shared" si="0"/>
        <v>1710</v>
      </c>
      <c r="B20" s="81" t="s">
        <v>807</v>
      </c>
      <c r="C20" s="82">
        <f>97384.17</f>
        <v>97384.17</v>
      </c>
      <c r="D20" s="83"/>
      <c r="F20" s="32">
        <f t="shared" si="1"/>
        <v>97384.17</v>
      </c>
    </row>
    <row r="21" spans="1:6" x14ac:dyDescent="0.75">
      <c r="A21" s="85">
        <f t="shared" si="0"/>
        <v>1715</v>
      </c>
      <c r="B21" s="81" t="s">
        <v>707</v>
      </c>
      <c r="C21" s="82">
        <f>0</f>
        <v>0</v>
      </c>
      <c r="D21" s="83"/>
      <c r="F21" s="32">
        <f t="shared" si="1"/>
        <v>0</v>
      </c>
    </row>
    <row r="22" spans="1:6" x14ac:dyDescent="0.75">
      <c r="A22" s="85">
        <f t="shared" si="0"/>
        <v>1720</v>
      </c>
      <c r="B22" s="81" t="s">
        <v>708</v>
      </c>
      <c r="C22" s="82">
        <f>3937.6</f>
        <v>3937.6</v>
      </c>
      <c r="D22" s="83"/>
      <c r="F22" s="32">
        <f t="shared" si="1"/>
        <v>3937.6</v>
      </c>
    </row>
    <row r="23" spans="1:6" x14ac:dyDescent="0.75">
      <c r="A23" s="85">
        <f t="shared" si="0"/>
        <v>1725</v>
      </c>
      <c r="B23" s="81" t="s">
        <v>849</v>
      </c>
      <c r="C23" s="82">
        <f>2446.33</f>
        <v>2446.33</v>
      </c>
      <c r="D23" s="83"/>
      <c r="F23" s="32">
        <f t="shared" si="1"/>
        <v>2446.33</v>
      </c>
    </row>
    <row r="24" spans="1:6" x14ac:dyDescent="0.75">
      <c r="A24" s="85">
        <f t="shared" si="0"/>
        <v>1735</v>
      </c>
      <c r="B24" s="81" t="s">
        <v>709</v>
      </c>
      <c r="C24" s="82">
        <f>4977.65</f>
        <v>4977.6499999999996</v>
      </c>
      <c r="D24" s="83"/>
      <c r="F24" s="32">
        <f t="shared" si="1"/>
        <v>4977.6499999999996</v>
      </c>
    </row>
    <row r="25" spans="1:6" x14ac:dyDescent="0.75">
      <c r="A25" s="85">
        <f t="shared" si="0"/>
        <v>1740</v>
      </c>
      <c r="B25" s="81" t="s">
        <v>710</v>
      </c>
      <c r="C25" s="82">
        <f>0</f>
        <v>0</v>
      </c>
      <c r="D25" s="83"/>
      <c r="F25" s="32">
        <f t="shared" si="1"/>
        <v>0</v>
      </c>
    </row>
    <row r="26" spans="1:6" x14ac:dyDescent="0.75">
      <c r="A26" s="85">
        <f t="shared" si="0"/>
        <v>1745</v>
      </c>
      <c r="B26" s="81" t="s">
        <v>711</v>
      </c>
      <c r="C26" s="82">
        <f>179916.22</f>
        <v>179916.22</v>
      </c>
      <c r="D26" s="83"/>
      <c r="F26" s="32">
        <f t="shared" si="1"/>
        <v>179916.22</v>
      </c>
    </row>
    <row r="27" spans="1:6" x14ac:dyDescent="0.75">
      <c r="A27" s="85">
        <f t="shared" si="0"/>
        <v>1750</v>
      </c>
      <c r="B27" s="81" t="s">
        <v>808</v>
      </c>
      <c r="C27" s="82">
        <f>10394.01</f>
        <v>10394.01</v>
      </c>
      <c r="D27" s="83"/>
      <c r="F27" s="32">
        <f t="shared" si="1"/>
        <v>10394.01</v>
      </c>
    </row>
    <row r="28" spans="1:6" x14ac:dyDescent="0.75">
      <c r="A28" s="85">
        <f t="shared" si="0"/>
        <v>1755</v>
      </c>
      <c r="B28" s="81" t="s">
        <v>712</v>
      </c>
      <c r="C28" s="82">
        <f>787.91</f>
        <v>787.91</v>
      </c>
      <c r="D28" s="83"/>
      <c r="F28" s="32">
        <f t="shared" si="1"/>
        <v>787.91</v>
      </c>
    </row>
    <row r="29" spans="1:6" x14ac:dyDescent="0.75">
      <c r="A29" s="85">
        <f t="shared" si="0"/>
        <v>1760</v>
      </c>
      <c r="B29" s="81" t="s">
        <v>713</v>
      </c>
      <c r="C29" s="82">
        <f>20105.95</f>
        <v>20105.95</v>
      </c>
      <c r="D29" s="83"/>
      <c r="F29" s="32">
        <f t="shared" si="1"/>
        <v>20105.95</v>
      </c>
    </row>
    <row r="30" spans="1:6" x14ac:dyDescent="0.75">
      <c r="A30" s="85">
        <f t="shared" si="0"/>
        <v>1765</v>
      </c>
      <c r="B30" s="81" t="s">
        <v>714</v>
      </c>
      <c r="C30" s="82">
        <f>1015.31</f>
        <v>1015.31</v>
      </c>
      <c r="D30" s="83"/>
      <c r="F30" s="32">
        <f t="shared" si="1"/>
        <v>1015.31</v>
      </c>
    </row>
    <row r="31" spans="1:6" x14ac:dyDescent="0.75">
      <c r="A31" s="85">
        <f t="shared" si="0"/>
        <v>1781</v>
      </c>
      <c r="B31" s="81" t="s">
        <v>809</v>
      </c>
      <c r="C31" s="83"/>
      <c r="D31" s="82">
        <f>33286.51</f>
        <v>33286.51</v>
      </c>
      <c r="F31" s="32">
        <f t="shared" si="1"/>
        <v>-33286.51</v>
      </c>
    </row>
    <row r="32" spans="1:6" x14ac:dyDescent="0.75">
      <c r="A32" s="85">
        <f t="shared" si="0"/>
        <v>1782</v>
      </c>
      <c r="B32" s="81" t="s">
        <v>715</v>
      </c>
      <c r="C32" s="82">
        <f>0</f>
        <v>0</v>
      </c>
      <c r="D32" s="83"/>
      <c r="F32" s="32">
        <f t="shared" si="1"/>
        <v>0</v>
      </c>
    </row>
    <row r="33" spans="1:6" x14ac:dyDescent="0.75">
      <c r="A33" s="85">
        <f t="shared" si="0"/>
        <v>1783</v>
      </c>
      <c r="B33" s="81" t="s">
        <v>716</v>
      </c>
      <c r="C33" s="83"/>
      <c r="D33" s="82">
        <f>328.13</f>
        <v>328.13</v>
      </c>
      <c r="F33" s="32">
        <f t="shared" si="1"/>
        <v>-328.13</v>
      </c>
    </row>
    <row r="34" spans="1:6" x14ac:dyDescent="0.75">
      <c r="A34" s="85">
        <f t="shared" si="0"/>
        <v>1784</v>
      </c>
      <c r="B34" s="81" t="s">
        <v>850</v>
      </c>
      <c r="C34" s="83"/>
      <c r="D34" s="82">
        <f>192.14</f>
        <v>192.14</v>
      </c>
      <c r="F34" s="32">
        <f t="shared" si="1"/>
        <v>-192.14</v>
      </c>
    </row>
    <row r="35" spans="1:6" x14ac:dyDescent="0.75">
      <c r="A35" s="85">
        <f t="shared" si="0"/>
        <v>1785</v>
      </c>
      <c r="B35" s="81" t="s">
        <v>717</v>
      </c>
      <c r="C35" s="83"/>
      <c r="D35" s="82">
        <f>3743.34</f>
        <v>3743.34</v>
      </c>
      <c r="F35" s="32">
        <f t="shared" si="1"/>
        <v>-3743.34</v>
      </c>
    </row>
    <row r="36" spans="1:6" x14ac:dyDescent="0.75">
      <c r="A36" s="85">
        <f t="shared" si="0"/>
        <v>1786</v>
      </c>
      <c r="B36" s="81" t="s">
        <v>718</v>
      </c>
      <c r="C36" s="82">
        <f>0</f>
        <v>0</v>
      </c>
      <c r="D36" s="83"/>
      <c r="F36" s="32">
        <f t="shared" si="1"/>
        <v>0</v>
      </c>
    </row>
    <row r="37" spans="1:6" x14ac:dyDescent="0.75">
      <c r="A37" s="85">
        <f t="shared" si="0"/>
        <v>1787</v>
      </c>
      <c r="B37" s="81" t="s">
        <v>719</v>
      </c>
      <c r="C37" s="83"/>
      <c r="D37" s="82">
        <f>160458.46</f>
        <v>160458.46</v>
      </c>
      <c r="F37" s="32">
        <f t="shared" si="1"/>
        <v>-160458.46</v>
      </c>
    </row>
    <row r="38" spans="1:6" x14ac:dyDescent="0.75">
      <c r="A38" s="85">
        <f t="shared" si="0"/>
        <v>1788</v>
      </c>
      <c r="B38" s="81" t="s">
        <v>810</v>
      </c>
      <c r="C38" s="83"/>
      <c r="D38" s="82">
        <f>10394.01</f>
        <v>10394.01</v>
      </c>
      <c r="F38" s="32">
        <f t="shared" si="1"/>
        <v>-10394.01</v>
      </c>
    </row>
    <row r="39" spans="1:6" x14ac:dyDescent="0.75">
      <c r="A39" s="85">
        <f t="shared" si="0"/>
        <v>1789</v>
      </c>
      <c r="B39" s="81" t="s">
        <v>720</v>
      </c>
      <c r="C39" s="83"/>
      <c r="D39" s="82">
        <f>787.91</f>
        <v>787.91</v>
      </c>
      <c r="F39" s="32">
        <f t="shared" si="1"/>
        <v>-787.91</v>
      </c>
    </row>
    <row r="40" spans="1:6" x14ac:dyDescent="0.75">
      <c r="A40" s="85">
        <f t="shared" si="0"/>
        <v>1790</v>
      </c>
      <c r="B40" s="81" t="s">
        <v>721</v>
      </c>
      <c r="C40" s="83"/>
      <c r="D40" s="82">
        <f>1015.31</f>
        <v>1015.31</v>
      </c>
      <c r="F40" s="32">
        <f t="shared" si="1"/>
        <v>-1015.31</v>
      </c>
    </row>
    <row r="41" spans="1:6" x14ac:dyDescent="0.75">
      <c r="A41" s="85">
        <f t="shared" si="0"/>
        <v>1791</v>
      </c>
      <c r="B41" s="81" t="s">
        <v>722</v>
      </c>
      <c r="C41" s="83"/>
      <c r="D41" s="82">
        <f>19474.53</f>
        <v>19474.53</v>
      </c>
      <c r="F41" s="32">
        <f t="shared" si="1"/>
        <v>-19474.53</v>
      </c>
    </row>
    <row r="42" spans="1:6" x14ac:dyDescent="0.75">
      <c r="A42" s="85">
        <f t="shared" si="0"/>
        <v>1810</v>
      </c>
      <c r="B42" s="81" t="s">
        <v>957</v>
      </c>
      <c r="C42" s="82">
        <f>74007</f>
        <v>74007</v>
      </c>
      <c r="D42" s="83"/>
      <c r="F42" s="32">
        <f t="shared" si="1"/>
        <v>74007</v>
      </c>
    </row>
    <row r="43" spans="1:6" x14ac:dyDescent="0.75">
      <c r="A43" s="85">
        <f t="shared" si="0"/>
        <v>1820</v>
      </c>
      <c r="B43" s="81" t="s">
        <v>229</v>
      </c>
      <c r="C43" s="82">
        <f>0</f>
        <v>0</v>
      </c>
      <c r="D43" s="83"/>
      <c r="F43" s="32">
        <f t="shared" si="1"/>
        <v>0</v>
      </c>
    </row>
    <row r="44" spans="1:6" x14ac:dyDescent="0.75">
      <c r="A44" s="85">
        <f t="shared" si="0"/>
        <v>1830</v>
      </c>
      <c r="B44" s="81" t="s">
        <v>723</v>
      </c>
      <c r="C44" s="82">
        <f>0</f>
        <v>0</v>
      </c>
      <c r="D44" s="83"/>
      <c r="F44" s="32">
        <f t="shared" si="1"/>
        <v>0</v>
      </c>
    </row>
    <row r="45" spans="1:6" x14ac:dyDescent="0.75">
      <c r="A45" s="85">
        <f t="shared" si="0"/>
        <v>1840</v>
      </c>
      <c r="B45" s="81" t="s">
        <v>811</v>
      </c>
      <c r="C45" s="82">
        <f>0</f>
        <v>0</v>
      </c>
      <c r="D45" s="83"/>
      <c r="F45" s="32">
        <f t="shared" si="1"/>
        <v>0</v>
      </c>
    </row>
    <row r="46" spans="1:6" x14ac:dyDescent="0.75">
      <c r="A46" s="85">
        <f t="shared" si="0"/>
        <v>1900</v>
      </c>
      <c r="B46" s="81" t="s">
        <v>233</v>
      </c>
      <c r="C46" s="82">
        <f>5980</f>
        <v>5980</v>
      </c>
      <c r="D46" s="83"/>
      <c r="F46" s="32">
        <f t="shared" si="1"/>
        <v>5980</v>
      </c>
    </row>
    <row r="47" spans="1:6" x14ac:dyDescent="0.75">
      <c r="A47" s="85">
        <f t="shared" si="0"/>
        <v>1902</v>
      </c>
      <c r="B47" s="81" t="s">
        <v>812</v>
      </c>
      <c r="C47" s="82">
        <f>3245</f>
        <v>3245</v>
      </c>
      <c r="D47" s="83"/>
      <c r="F47" s="32">
        <f t="shared" si="1"/>
        <v>3245</v>
      </c>
    </row>
    <row r="48" spans="1:6" x14ac:dyDescent="0.75">
      <c r="A48" s="85">
        <f t="shared" si="0"/>
        <v>1904</v>
      </c>
      <c r="B48" s="81" t="s">
        <v>724</v>
      </c>
      <c r="C48" s="82">
        <f>0</f>
        <v>0</v>
      </c>
      <c r="D48" s="83"/>
      <c r="F48" s="32">
        <f t="shared" si="1"/>
        <v>0</v>
      </c>
    </row>
    <row r="49" spans="1:6" x14ac:dyDescent="0.75">
      <c r="A49" s="85">
        <f t="shared" si="0"/>
        <v>1906</v>
      </c>
      <c r="B49" s="81" t="s">
        <v>725</v>
      </c>
      <c r="C49" s="82">
        <f>0</f>
        <v>0</v>
      </c>
      <c r="D49" s="83"/>
      <c r="F49" s="32">
        <f t="shared" si="1"/>
        <v>0</v>
      </c>
    </row>
    <row r="50" spans="1:6" x14ac:dyDescent="0.75">
      <c r="A50" s="85">
        <f t="shared" si="0"/>
        <v>1908</v>
      </c>
      <c r="B50" s="81" t="s">
        <v>241</v>
      </c>
      <c r="C50" s="82">
        <f>0</f>
        <v>0</v>
      </c>
      <c r="D50" s="83"/>
      <c r="F50" s="32">
        <f t="shared" si="1"/>
        <v>0</v>
      </c>
    </row>
    <row r="51" spans="1:6" x14ac:dyDescent="0.75">
      <c r="A51" s="85">
        <f t="shared" si="0"/>
        <v>1910</v>
      </c>
      <c r="B51" s="81" t="s">
        <v>726</v>
      </c>
      <c r="C51" s="82">
        <f>2500</f>
        <v>2500</v>
      </c>
      <c r="D51" s="83"/>
      <c r="F51" s="32">
        <f t="shared" si="1"/>
        <v>2500</v>
      </c>
    </row>
    <row r="52" spans="1:6" x14ac:dyDescent="0.75">
      <c r="A52" s="85">
        <f t="shared" si="0"/>
        <v>1912</v>
      </c>
      <c r="B52" s="81" t="s">
        <v>727</v>
      </c>
      <c r="C52" s="82">
        <f>0</f>
        <v>0</v>
      </c>
      <c r="D52" s="83"/>
      <c r="F52" s="32">
        <f t="shared" si="1"/>
        <v>0</v>
      </c>
    </row>
    <row r="53" spans="1:6" x14ac:dyDescent="0.75">
      <c r="A53" s="85">
        <f t="shared" si="0"/>
        <v>1914</v>
      </c>
      <c r="B53" s="81" t="s">
        <v>247</v>
      </c>
      <c r="C53" s="82">
        <f>0</f>
        <v>0</v>
      </c>
      <c r="D53" s="83"/>
      <c r="F53" s="32">
        <f t="shared" si="1"/>
        <v>0</v>
      </c>
    </row>
    <row r="54" spans="1:6" x14ac:dyDescent="0.75">
      <c r="A54" s="85">
        <f t="shared" si="0"/>
        <v>1916</v>
      </c>
      <c r="B54" s="81" t="s">
        <v>728</v>
      </c>
      <c r="C54" s="82">
        <f>0</f>
        <v>0</v>
      </c>
      <c r="D54" s="83"/>
      <c r="F54" s="32">
        <f t="shared" si="1"/>
        <v>0</v>
      </c>
    </row>
    <row r="55" spans="1:6" x14ac:dyDescent="0.75">
      <c r="A55" s="85">
        <f t="shared" si="0"/>
        <v>1918</v>
      </c>
      <c r="B55" s="81" t="s">
        <v>729</v>
      </c>
      <c r="C55" s="82">
        <f>0</f>
        <v>0</v>
      </c>
      <c r="D55" s="83"/>
      <c r="F55" s="32">
        <f t="shared" si="1"/>
        <v>0</v>
      </c>
    </row>
    <row r="56" spans="1:6" x14ac:dyDescent="0.75">
      <c r="A56" s="85">
        <f t="shared" si="0"/>
        <v>1920</v>
      </c>
      <c r="B56" s="81" t="s">
        <v>730</v>
      </c>
      <c r="C56" s="82">
        <f>0</f>
        <v>0</v>
      </c>
      <c r="D56" s="83"/>
      <c r="F56" s="32">
        <f t="shared" si="1"/>
        <v>0</v>
      </c>
    </row>
    <row r="57" spans="1:6" x14ac:dyDescent="0.75">
      <c r="A57" s="85">
        <f t="shared" si="0"/>
        <v>1922</v>
      </c>
      <c r="B57" s="81" t="s">
        <v>731</v>
      </c>
      <c r="C57" s="82">
        <f>0</f>
        <v>0</v>
      </c>
      <c r="D57" s="83"/>
      <c r="F57" s="32">
        <f t="shared" si="1"/>
        <v>0</v>
      </c>
    </row>
    <row r="58" spans="1:6" x14ac:dyDescent="0.75">
      <c r="A58" s="85">
        <f t="shared" si="0"/>
        <v>1924</v>
      </c>
      <c r="B58" s="81" t="s">
        <v>732</v>
      </c>
      <c r="C58" s="82">
        <f>16253.59</f>
        <v>16253.59</v>
      </c>
      <c r="D58" s="83"/>
      <c r="F58" s="32">
        <f t="shared" si="1"/>
        <v>16253.59</v>
      </c>
    </row>
    <row r="59" spans="1:6" x14ac:dyDescent="0.75">
      <c r="A59" s="85">
        <f t="shared" si="0"/>
        <v>1926</v>
      </c>
      <c r="B59" s="81" t="s">
        <v>733</v>
      </c>
      <c r="C59" s="82">
        <f>0</f>
        <v>0</v>
      </c>
      <c r="D59" s="83"/>
      <c r="F59" s="32">
        <f t="shared" si="1"/>
        <v>0</v>
      </c>
    </row>
    <row r="60" spans="1:6" x14ac:dyDescent="0.75">
      <c r="A60" s="85">
        <f t="shared" si="0"/>
        <v>1928</v>
      </c>
      <c r="B60" s="81" t="s">
        <v>734</v>
      </c>
      <c r="C60" s="82">
        <f>43132.88</f>
        <v>43132.88</v>
      </c>
      <c r="D60" s="83"/>
      <c r="F60" s="32">
        <f t="shared" si="1"/>
        <v>43132.88</v>
      </c>
    </row>
    <row r="61" spans="1:6" x14ac:dyDescent="0.75">
      <c r="A61" s="85">
        <f t="shared" si="0"/>
        <v>1930</v>
      </c>
      <c r="B61" s="81" t="s">
        <v>735</v>
      </c>
      <c r="C61" s="82">
        <f>0</f>
        <v>0</v>
      </c>
      <c r="D61" s="83"/>
      <c r="F61" s="32">
        <f t="shared" si="1"/>
        <v>0</v>
      </c>
    </row>
    <row r="62" spans="1:6" x14ac:dyDescent="0.75">
      <c r="A62" s="85">
        <f t="shared" si="0"/>
        <v>1950</v>
      </c>
      <c r="B62" s="81" t="s">
        <v>930</v>
      </c>
      <c r="C62" s="83"/>
      <c r="D62" s="82">
        <f>37797.09</f>
        <v>37797.089999999997</v>
      </c>
      <c r="F62" s="32">
        <f t="shared" si="1"/>
        <v>-37797.089999999997</v>
      </c>
    </row>
    <row r="63" spans="1:6" x14ac:dyDescent="0.75">
      <c r="A63" s="85">
        <f t="shared" si="0"/>
        <v>1932</v>
      </c>
      <c r="B63" s="81" t="s">
        <v>736</v>
      </c>
      <c r="C63" s="82">
        <f>0</f>
        <v>0</v>
      </c>
      <c r="D63" s="83"/>
      <c r="F63" s="32">
        <f t="shared" si="1"/>
        <v>0</v>
      </c>
    </row>
    <row r="64" spans="1:6" x14ac:dyDescent="0.75">
      <c r="A64" s="85">
        <f t="shared" si="0"/>
        <v>1960</v>
      </c>
      <c r="B64" s="81" t="s">
        <v>737</v>
      </c>
      <c r="C64" s="82">
        <f>0</f>
        <v>0</v>
      </c>
      <c r="D64" s="83"/>
      <c r="F64" s="32">
        <f t="shared" si="1"/>
        <v>0</v>
      </c>
    </row>
    <row r="65" spans="1:6" x14ac:dyDescent="0.75">
      <c r="A65" s="85">
        <f t="shared" si="0"/>
        <v>1980</v>
      </c>
      <c r="B65" s="81" t="s">
        <v>738</v>
      </c>
      <c r="C65" s="82">
        <f>0</f>
        <v>0</v>
      </c>
      <c r="D65" s="83"/>
      <c r="F65" s="32">
        <f t="shared" si="1"/>
        <v>0</v>
      </c>
    </row>
    <row r="66" spans="1:6" x14ac:dyDescent="0.75">
      <c r="A66" s="85">
        <f t="shared" si="0"/>
        <v>2000</v>
      </c>
      <c r="B66" s="81" t="s">
        <v>251</v>
      </c>
      <c r="C66" s="83"/>
      <c r="D66" s="82">
        <f>76633.41</f>
        <v>76633.41</v>
      </c>
      <c r="F66" s="32">
        <f t="shared" si="1"/>
        <v>-76633.41</v>
      </c>
    </row>
    <row r="67" spans="1:6" x14ac:dyDescent="0.75">
      <c r="A67" s="85">
        <f t="shared" si="0"/>
        <v>2101</v>
      </c>
      <c r="B67" s="81" t="s">
        <v>739</v>
      </c>
      <c r="C67" s="83"/>
      <c r="D67" s="82">
        <f>1785.65</f>
        <v>1785.65</v>
      </c>
      <c r="F67" s="32">
        <f t="shared" si="1"/>
        <v>-1785.65</v>
      </c>
    </row>
    <row r="68" spans="1:6" x14ac:dyDescent="0.75">
      <c r="A68" s="85">
        <f t="shared" si="0"/>
        <v>2102</v>
      </c>
      <c r="B68" s="81" t="s">
        <v>740</v>
      </c>
      <c r="C68" s="83"/>
      <c r="D68" s="82">
        <f>14131.86</f>
        <v>14131.86</v>
      </c>
      <c r="F68" s="32">
        <f t="shared" si="1"/>
        <v>-14131.86</v>
      </c>
    </row>
    <row r="69" spans="1:6" x14ac:dyDescent="0.75">
      <c r="A69" s="85">
        <f t="shared" si="0"/>
        <v>2103</v>
      </c>
      <c r="B69" s="81" t="s">
        <v>813</v>
      </c>
      <c r="C69" s="83"/>
      <c r="D69" s="82">
        <f>8469.4</f>
        <v>8469.4</v>
      </c>
      <c r="F69" s="32">
        <f t="shared" si="1"/>
        <v>-8469.4</v>
      </c>
    </row>
    <row r="70" spans="1:6" x14ac:dyDescent="0.75">
      <c r="A70" s="85">
        <f t="shared" ref="A70:A133" si="2">VALUE(LEFT(B70,4))</f>
        <v>2104</v>
      </c>
      <c r="B70" s="81" t="s">
        <v>741</v>
      </c>
      <c r="C70" s="83"/>
      <c r="D70" s="82">
        <f>9891.02</f>
        <v>9891.02</v>
      </c>
      <c r="F70" s="32">
        <f t="shared" si="1"/>
        <v>-9891.02</v>
      </c>
    </row>
    <row r="71" spans="1:6" x14ac:dyDescent="0.75">
      <c r="A71" s="85">
        <f t="shared" si="2"/>
        <v>2105</v>
      </c>
      <c r="B71" s="81" t="s">
        <v>814</v>
      </c>
      <c r="C71" s="83"/>
      <c r="D71" s="82">
        <f>0</f>
        <v>0</v>
      </c>
      <c r="F71" s="32">
        <f t="shared" ref="F71:F134" si="3">C71-D71</f>
        <v>0</v>
      </c>
    </row>
    <row r="72" spans="1:6" x14ac:dyDescent="0.75">
      <c r="A72" s="85">
        <f t="shared" si="2"/>
        <v>2010</v>
      </c>
      <c r="B72" s="81" t="s">
        <v>277</v>
      </c>
      <c r="C72" s="83"/>
      <c r="D72" s="82">
        <f>0</f>
        <v>0</v>
      </c>
      <c r="F72" s="32">
        <f t="shared" si="3"/>
        <v>0</v>
      </c>
    </row>
    <row r="73" spans="1:6" x14ac:dyDescent="0.75">
      <c r="A73" s="85">
        <f t="shared" si="2"/>
        <v>2020</v>
      </c>
      <c r="B73" s="81" t="s">
        <v>742</v>
      </c>
      <c r="C73" s="83"/>
      <c r="D73" s="82">
        <f>0</f>
        <v>0</v>
      </c>
      <c r="F73" s="32">
        <f t="shared" si="3"/>
        <v>0</v>
      </c>
    </row>
    <row r="74" spans="1:6" x14ac:dyDescent="0.75">
      <c r="A74" s="85">
        <f t="shared" si="2"/>
        <v>2106</v>
      </c>
      <c r="B74" s="81" t="s">
        <v>743</v>
      </c>
      <c r="C74" s="83"/>
      <c r="D74" s="82">
        <f>7738.94</f>
        <v>7738.94</v>
      </c>
      <c r="F74" s="32">
        <f t="shared" si="3"/>
        <v>-7738.94</v>
      </c>
    </row>
    <row r="75" spans="1:6" x14ac:dyDescent="0.75">
      <c r="A75" s="85">
        <f t="shared" si="2"/>
        <v>2210</v>
      </c>
      <c r="B75" s="81" t="s">
        <v>744</v>
      </c>
      <c r="C75" s="83"/>
      <c r="D75" s="82">
        <f>609814.73</f>
        <v>609814.73</v>
      </c>
      <c r="F75" s="32">
        <f t="shared" si="3"/>
        <v>-609814.73</v>
      </c>
    </row>
    <row r="76" spans="1:6" x14ac:dyDescent="0.75">
      <c r="A76" s="85">
        <f t="shared" si="2"/>
        <v>2231</v>
      </c>
      <c r="B76" s="81" t="s">
        <v>745</v>
      </c>
      <c r="C76" s="83"/>
      <c r="D76" s="82">
        <f>0</f>
        <v>0</v>
      </c>
      <c r="F76" s="32">
        <f t="shared" si="3"/>
        <v>0</v>
      </c>
    </row>
    <row r="77" spans="1:6" x14ac:dyDescent="0.75">
      <c r="A77" s="85">
        <f t="shared" si="2"/>
        <v>2232</v>
      </c>
      <c r="B77" s="81" t="s">
        <v>746</v>
      </c>
      <c r="C77" s="83"/>
      <c r="D77" s="82">
        <f>0</f>
        <v>0</v>
      </c>
      <c r="F77" s="32">
        <f t="shared" si="3"/>
        <v>0</v>
      </c>
    </row>
    <row r="78" spans="1:6" x14ac:dyDescent="0.75">
      <c r="A78" s="85">
        <f t="shared" si="2"/>
        <v>2233</v>
      </c>
      <c r="B78" s="81" t="s">
        <v>747</v>
      </c>
      <c r="C78" s="83"/>
      <c r="D78" s="82">
        <f>0</f>
        <v>0</v>
      </c>
      <c r="F78" s="32">
        <f t="shared" si="3"/>
        <v>0</v>
      </c>
    </row>
    <row r="79" spans="1:6" x14ac:dyDescent="0.75">
      <c r="A79" s="85">
        <f t="shared" si="2"/>
        <v>2235</v>
      </c>
      <c r="B79" s="81" t="s">
        <v>748</v>
      </c>
      <c r="C79" s="83"/>
      <c r="D79" s="82">
        <f>0</f>
        <v>0</v>
      </c>
      <c r="F79" s="32">
        <f t="shared" si="3"/>
        <v>0</v>
      </c>
    </row>
    <row r="80" spans="1:6" x14ac:dyDescent="0.75">
      <c r="A80" s="85">
        <f t="shared" si="2"/>
        <v>2236</v>
      </c>
      <c r="B80" s="81" t="s">
        <v>749</v>
      </c>
      <c r="C80" s="83"/>
      <c r="D80" s="82">
        <f>0</f>
        <v>0</v>
      </c>
      <c r="F80" s="32">
        <f t="shared" si="3"/>
        <v>0</v>
      </c>
    </row>
    <row r="81" spans="1:6" x14ac:dyDescent="0.75">
      <c r="A81" s="85">
        <f t="shared" si="2"/>
        <v>2250</v>
      </c>
      <c r="B81" s="81" t="s">
        <v>750</v>
      </c>
      <c r="C81" s="83"/>
      <c r="D81" s="82">
        <f>0</f>
        <v>0</v>
      </c>
      <c r="F81" s="32">
        <f t="shared" si="3"/>
        <v>0</v>
      </c>
    </row>
    <row r="82" spans="1:6" x14ac:dyDescent="0.75">
      <c r="A82" s="85">
        <f t="shared" si="2"/>
        <v>2270</v>
      </c>
      <c r="B82" s="81" t="s">
        <v>751</v>
      </c>
      <c r="C82" s="83"/>
      <c r="D82" s="82">
        <f>0</f>
        <v>0</v>
      </c>
      <c r="F82" s="32">
        <f t="shared" si="3"/>
        <v>0</v>
      </c>
    </row>
    <row r="83" spans="1:6" x14ac:dyDescent="0.75">
      <c r="A83" s="85">
        <f t="shared" si="2"/>
        <v>2280</v>
      </c>
      <c r="B83" s="81" t="s">
        <v>752</v>
      </c>
      <c r="C83" s="83"/>
      <c r="D83" s="82">
        <f>0</f>
        <v>0</v>
      </c>
      <c r="F83" s="32">
        <f t="shared" si="3"/>
        <v>0</v>
      </c>
    </row>
    <row r="84" spans="1:6" x14ac:dyDescent="0.75">
      <c r="A84" s="85">
        <f t="shared" si="2"/>
        <v>2285</v>
      </c>
      <c r="B84" s="81" t="s">
        <v>753</v>
      </c>
      <c r="C84" s="83"/>
      <c r="D84" s="82">
        <f>0</f>
        <v>0</v>
      </c>
      <c r="F84" s="32">
        <f t="shared" si="3"/>
        <v>0</v>
      </c>
    </row>
    <row r="85" spans="1:6" x14ac:dyDescent="0.75">
      <c r="A85" s="85">
        <f t="shared" si="2"/>
        <v>2290</v>
      </c>
      <c r="B85" s="81" t="s">
        <v>754</v>
      </c>
      <c r="C85" s="83"/>
      <c r="D85" s="82">
        <f>9740</f>
        <v>9740</v>
      </c>
      <c r="F85" s="32">
        <f t="shared" si="3"/>
        <v>-9740</v>
      </c>
    </row>
    <row r="86" spans="1:6" x14ac:dyDescent="0.75">
      <c r="A86" s="85">
        <f t="shared" si="2"/>
        <v>2305</v>
      </c>
      <c r="B86" s="81" t="s">
        <v>755</v>
      </c>
      <c r="C86" s="83"/>
      <c r="D86" s="82">
        <f>1221957.72</f>
        <v>1221957.72</v>
      </c>
      <c r="F86" s="32">
        <f t="shared" si="3"/>
        <v>-1221957.72</v>
      </c>
    </row>
    <row r="87" spans="1:6" x14ac:dyDescent="0.75">
      <c r="A87" s="85">
        <f t="shared" si="2"/>
        <v>2310</v>
      </c>
      <c r="B87" s="81" t="s">
        <v>756</v>
      </c>
      <c r="C87" s="83"/>
      <c r="D87" s="82">
        <f>0</f>
        <v>0</v>
      </c>
      <c r="F87" s="32">
        <f t="shared" si="3"/>
        <v>0</v>
      </c>
    </row>
    <row r="88" spans="1:6" x14ac:dyDescent="0.75">
      <c r="A88" s="85">
        <f t="shared" si="2"/>
        <v>2400</v>
      </c>
      <c r="B88" s="81" t="s">
        <v>757</v>
      </c>
      <c r="C88" s="82">
        <f>2072.1</f>
        <v>2072.1</v>
      </c>
      <c r="D88" s="83"/>
      <c r="F88" s="32">
        <f t="shared" si="3"/>
        <v>2072.1</v>
      </c>
    </row>
    <row r="89" spans="1:6" x14ac:dyDescent="0.75">
      <c r="A89" s="85">
        <f t="shared" si="2"/>
        <v>2405</v>
      </c>
      <c r="B89" s="81" t="s">
        <v>815</v>
      </c>
      <c r="C89" s="83"/>
      <c r="D89" s="82">
        <f>64872.59</f>
        <v>64872.59</v>
      </c>
      <c r="F89" s="32">
        <f t="shared" si="3"/>
        <v>-64872.59</v>
      </c>
    </row>
    <row r="90" spans="1:6" x14ac:dyDescent="0.75">
      <c r="A90" s="85">
        <f t="shared" si="2"/>
        <v>2410</v>
      </c>
      <c r="B90" s="81" t="s">
        <v>758</v>
      </c>
      <c r="C90" s="83"/>
      <c r="D90" s="82">
        <f>0</f>
        <v>0</v>
      </c>
      <c r="F90" s="32">
        <f t="shared" si="3"/>
        <v>0</v>
      </c>
    </row>
    <row r="91" spans="1:6" x14ac:dyDescent="0.75">
      <c r="A91" s="85">
        <f t="shared" si="2"/>
        <v>2415</v>
      </c>
      <c r="B91" s="81" t="s">
        <v>759</v>
      </c>
      <c r="C91" s="83"/>
      <c r="D91" s="82">
        <f>0</f>
        <v>0</v>
      </c>
      <c r="F91" s="32">
        <f t="shared" si="3"/>
        <v>0</v>
      </c>
    </row>
    <row r="92" spans="1:6" x14ac:dyDescent="0.75">
      <c r="A92" s="85">
        <f t="shared" si="2"/>
        <v>2420</v>
      </c>
      <c r="B92" s="81" t="s">
        <v>760</v>
      </c>
      <c r="C92" s="83"/>
      <c r="D92" s="82">
        <f>0</f>
        <v>0</v>
      </c>
      <c r="F92" s="32">
        <f t="shared" si="3"/>
        <v>0</v>
      </c>
    </row>
    <row r="93" spans="1:6" x14ac:dyDescent="0.75">
      <c r="A93" s="85">
        <f t="shared" si="2"/>
        <v>2425</v>
      </c>
      <c r="B93" s="81" t="s">
        <v>761</v>
      </c>
      <c r="C93" s="83"/>
      <c r="D93" s="82">
        <f>0</f>
        <v>0</v>
      </c>
      <c r="F93" s="32">
        <f t="shared" si="3"/>
        <v>0</v>
      </c>
    </row>
    <row r="94" spans="1:6" x14ac:dyDescent="0.75">
      <c r="A94" s="85">
        <f t="shared" si="2"/>
        <v>2430</v>
      </c>
      <c r="B94" s="81" t="s">
        <v>762</v>
      </c>
      <c r="C94" s="83"/>
      <c r="D94" s="82">
        <f>0</f>
        <v>0</v>
      </c>
      <c r="F94" s="32">
        <f t="shared" si="3"/>
        <v>0</v>
      </c>
    </row>
    <row r="95" spans="1:6" x14ac:dyDescent="0.75">
      <c r="A95" s="85">
        <f t="shared" si="2"/>
        <v>2470</v>
      </c>
      <c r="B95" s="81" t="s">
        <v>958</v>
      </c>
      <c r="C95" s="83"/>
      <c r="D95" s="82">
        <f>74007</f>
        <v>74007</v>
      </c>
      <c r="F95" s="32">
        <f t="shared" si="3"/>
        <v>-74007</v>
      </c>
    </row>
    <row r="96" spans="1:6" x14ac:dyDescent="0.75">
      <c r="A96" s="85">
        <f t="shared" si="2"/>
        <v>2705</v>
      </c>
      <c r="B96" s="81" t="s">
        <v>816</v>
      </c>
      <c r="C96" s="83"/>
      <c r="D96" s="82">
        <f>50000</f>
        <v>50000</v>
      </c>
      <c r="F96" s="32">
        <f t="shared" si="3"/>
        <v>-50000</v>
      </c>
    </row>
    <row r="97" spans="1:6" x14ac:dyDescent="0.75">
      <c r="A97" s="85">
        <f t="shared" si="2"/>
        <v>2710</v>
      </c>
      <c r="B97" s="81" t="s">
        <v>817</v>
      </c>
      <c r="C97" s="83"/>
      <c r="D97" s="82">
        <f>15000</f>
        <v>15000</v>
      </c>
      <c r="F97" s="32">
        <f t="shared" si="3"/>
        <v>-15000</v>
      </c>
    </row>
    <row r="98" spans="1:6" x14ac:dyDescent="0.75">
      <c r="A98" s="85">
        <f t="shared" si="2"/>
        <v>2715</v>
      </c>
      <c r="B98" s="81" t="s">
        <v>818</v>
      </c>
      <c r="C98" s="83"/>
      <c r="D98" s="82">
        <f>25000</f>
        <v>25000</v>
      </c>
      <c r="F98" s="32">
        <f t="shared" si="3"/>
        <v>-25000</v>
      </c>
    </row>
    <row r="99" spans="1:6" x14ac:dyDescent="0.75">
      <c r="A99" s="85">
        <f t="shared" si="2"/>
        <v>2720</v>
      </c>
      <c r="B99" s="81" t="s">
        <v>819</v>
      </c>
      <c r="C99" s="83"/>
      <c r="D99" s="82">
        <f>50000</f>
        <v>50000</v>
      </c>
      <c r="F99" s="32">
        <f t="shared" si="3"/>
        <v>-50000</v>
      </c>
    </row>
    <row r="100" spans="1:6" x14ac:dyDescent="0.75">
      <c r="A100" s="85">
        <f t="shared" si="2"/>
        <v>2725</v>
      </c>
      <c r="B100" s="81" t="s">
        <v>820</v>
      </c>
      <c r="C100" s="83"/>
      <c r="D100" s="82">
        <f>60000</f>
        <v>60000</v>
      </c>
      <c r="F100" s="32">
        <f t="shared" si="3"/>
        <v>-60000</v>
      </c>
    </row>
    <row r="101" spans="1:6" x14ac:dyDescent="0.75">
      <c r="A101" s="85">
        <f t="shared" si="2"/>
        <v>2730</v>
      </c>
      <c r="B101" s="81" t="s">
        <v>821</v>
      </c>
      <c r="C101" s="83"/>
      <c r="D101" s="82">
        <f>100000</f>
        <v>100000</v>
      </c>
      <c r="F101" s="32">
        <f t="shared" si="3"/>
        <v>-100000</v>
      </c>
    </row>
    <row r="102" spans="1:6" x14ac:dyDescent="0.75">
      <c r="A102" s="85">
        <f t="shared" si="2"/>
        <v>2735</v>
      </c>
      <c r="B102" s="81" t="s">
        <v>822</v>
      </c>
      <c r="C102" s="83"/>
      <c r="D102" s="82">
        <f>150000</f>
        <v>150000</v>
      </c>
      <c r="F102" s="32">
        <f t="shared" si="3"/>
        <v>-150000</v>
      </c>
    </row>
    <row r="103" spans="1:6" x14ac:dyDescent="0.75">
      <c r="A103" s="85">
        <f t="shared" si="2"/>
        <v>2740</v>
      </c>
      <c r="B103" s="81" t="s">
        <v>823</v>
      </c>
      <c r="C103" s="83"/>
      <c r="D103" s="82">
        <f>37500</f>
        <v>37500</v>
      </c>
      <c r="F103" s="32">
        <f t="shared" si="3"/>
        <v>-37500</v>
      </c>
    </row>
    <row r="104" spans="1:6" x14ac:dyDescent="0.75">
      <c r="A104" s="85">
        <f t="shared" si="2"/>
        <v>2745</v>
      </c>
      <c r="B104" s="81" t="s">
        <v>940</v>
      </c>
      <c r="C104" s="83"/>
      <c r="D104" s="82">
        <f>71824.66</f>
        <v>71824.66</v>
      </c>
      <c r="F104" s="32">
        <f t="shared" si="3"/>
        <v>-71824.66</v>
      </c>
    </row>
    <row r="105" spans="1:6" x14ac:dyDescent="0.75">
      <c r="A105" s="85">
        <f t="shared" si="2"/>
        <v>2750</v>
      </c>
      <c r="B105" s="81" t="s">
        <v>824</v>
      </c>
      <c r="C105" s="83"/>
      <c r="D105" s="82">
        <f>50000</f>
        <v>50000</v>
      </c>
      <c r="F105" s="32">
        <f t="shared" si="3"/>
        <v>-50000</v>
      </c>
    </row>
    <row r="106" spans="1:6" x14ac:dyDescent="0.75">
      <c r="A106" s="85">
        <f t="shared" si="2"/>
        <v>2755</v>
      </c>
      <c r="B106" s="81" t="s">
        <v>825</v>
      </c>
      <c r="C106" s="83"/>
      <c r="D106" s="82">
        <f>25000</f>
        <v>25000</v>
      </c>
      <c r="F106" s="32">
        <f t="shared" si="3"/>
        <v>-25000</v>
      </c>
    </row>
    <row r="107" spans="1:6" x14ac:dyDescent="0.75">
      <c r="A107" s="85">
        <f t="shared" si="2"/>
        <v>2760</v>
      </c>
      <c r="B107" s="81" t="s">
        <v>826</v>
      </c>
      <c r="C107" s="83"/>
      <c r="D107" s="82">
        <f>100000</f>
        <v>100000</v>
      </c>
      <c r="F107" s="32">
        <f t="shared" si="3"/>
        <v>-100000</v>
      </c>
    </row>
    <row r="108" spans="1:6" x14ac:dyDescent="0.75">
      <c r="A108" s="85">
        <f t="shared" si="2"/>
        <v>2765</v>
      </c>
      <c r="B108" s="81" t="s">
        <v>827</v>
      </c>
      <c r="C108" s="83"/>
      <c r="D108" s="82">
        <f>50000</f>
        <v>50000</v>
      </c>
      <c r="F108" s="32">
        <f t="shared" si="3"/>
        <v>-50000</v>
      </c>
    </row>
    <row r="109" spans="1:6" x14ac:dyDescent="0.75">
      <c r="A109" s="85">
        <f t="shared" si="2"/>
        <v>2770</v>
      </c>
      <c r="B109" s="81" t="s">
        <v>828</v>
      </c>
      <c r="C109" s="83"/>
      <c r="D109" s="82">
        <f>2500</f>
        <v>2500</v>
      </c>
      <c r="F109" s="32">
        <f t="shared" si="3"/>
        <v>-2500</v>
      </c>
    </row>
    <row r="110" spans="1:6" x14ac:dyDescent="0.75">
      <c r="A110" s="85">
        <f t="shared" si="2"/>
        <v>2775</v>
      </c>
      <c r="B110" s="81" t="s">
        <v>829</v>
      </c>
      <c r="C110" s="83"/>
      <c r="D110" s="82">
        <f>50000</f>
        <v>50000</v>
      </c>
      <c r="F110" s="32">
        <f t="shared" si="3"/>
        <v>-50000</v>
      </c>
    </row>
    <row r="111" spans="1:6" x14ac:dyDescent="0.75">
      <c r="A111" s="85">
        <f t="shared" si="2"/>
        <v>2780</v>
      </c>
      <c r="B111" s="81" t="s">
        <v>830</v>
      </c>
      <c r="C111" s="83"/>
      <c r="D111" s="82">
        <f>25000</f>
        <v>25000</v>
      </c>
      <c r="F111" s="32">
        <f t="shared" si="3"/>
        <v>-25000</v>
      </c>
    </row>
    <row r="112" spans="1:6" x14ac:dyDescent="0.75">
      <c r="A112" s="85">
        <f t="shared" si="2"/>
        <v>2785</v>
      </c>
      <c r="B112" s="81" t="s">
        <v>947</v>
      </c>
      <c r="C112" s="83"/>
      <c r="D112" s="82">
        <f>0</f>
        <v>0</v>
      </c>
      <c r="F112" s="32">
        <f t="shared" si="3"/>
        <v>0</v>
      </c>
    </row>
    <row r="113" spans="1:6" x14ac:dyDescent="0.75">
      <c r="A113" s="85">
        <f t="shared" si="2"/>
        <v>2790</v>
      </c>
      <c r="B113" s="81" t="s">
        <v>943</v>
      </c>
      <c r="C113" s="82">
        <f>340829</f>
        <v>340829</v>
      </c>
      <c r="D113" s="83"/>
      <c r="F113" s="32">
        <f t="shared" si="3"/>
        <v>340829</v>
      </c>
    </row>
    <row r="114" spans="1:6" x14ac:dyDescent="0.75">
      <c r="A114" s="85">
        <f t="shared" si="2"/>
        <v>3000</v>
      </c>
      <c r="B114" s="81" t="s">
        <v>307</v>
      </c>
      <c r="C114" s="83"/>
      <c r="D114" s="82">
        <f>46184.14</f>
        <v>46184.14</v>
      </c>
      <c r="F114" s="32">
        <f t="shared" si="3"/>
        <v>-46184.14</v>
      </c>
    </row>
    <row r="115" spans="1:6" x14ac:dyDescent="0.75">
      <c r="A115" s="85">
        <f t="shared" si="2"/>
        <v>3100</v>
      </c>
      <c r="B115" s="81" t="s">
        <v>308</v>
      </c>
      <c r="C115" s="83"/>
      <c r="D115" s="82">
        <f>7277686.92</f>
        <v>7277686.9199999999</v>
      </c>
      <c r="F115" s="32">
        <f t="shared" si="3"/>
        <v>-7277686.9199999999</v>
      </c>
    </row>
    <row r="116" spans="1:6" x14ac:dyDescent="0.75">
      <c r="A116" s="85">
        <f t="shared" si="2"/>
        <v>3200</v>
      </c>
      <c r="B116" s="81" t="s">
        <v>309</v>
      </c>
      <c r="C116" s="83"/>
      <c r="D116" s="82">
        <f>0</f>
        <v>0</v>
      </c>
      <c r="F116" s="32">
        <f t="shared" si="3"/>
        <v>0</v>
      </c>
    </row>
    <row r="117" spans="1:6" x14ac:dyDescent="0.75">
      <c r="A117" s="85">
        <f t="shared" si="2"/>
        <v>3300</v>
      </c>
      <c r="B117" s="81" t="s">
        <v>763</v>
      </c>
      <c r="C117" s="83"/>
      <c r="D117" s="82">
        <f>0</f>
        <v>0</v>
      </c>
      <c r="F117" s="32">
        <f t="shared" si="3"/>
        <v>0</v>
      </c>
    </row>
    <row r="118" spans="1:6" x14ac:dyDescent="0.75">
      <c r="A118" s="85">
        <f t="shared" si="2"/>
        <v>3400</v>
      </c>
      <c r="B118" s="81" t="s">
        <v>764</v>
      </c>
      <c r="C118" s="83"/>
      <c r="D118" s="82">
        <f>0</f>
        <v>0</v>
      </c>
      <c r="F118" s="32">
        <f t="shared" si="3"/>
        <v>0</v>
      </c>
    </row>
    <row r="119" spans="1:6" x14ac:dyDescent="0.75">
      <c r="A119" s="85">
        <f t="shared" si="2"/>
        <v>3500</v>
      </c>
      <c r="B119" s="81" t="s">
        <v>306</v>
      </c>
      <c r="C119" s="83"/>
      <c r="D119" s="82">
        <f>0</f>
        <v>0</v>
      </c>
      <c r="F119" s="32">
        <f t="shared" si="3"/>
        <v>0</v>
      </c>
    </row>
    <row r="120" spans="1:6" x14ac:dyDescent="0.75">
      <c r="A120" s="85">
        <f t="shared" si="2"/>
        <v>3600</v>
      </c>
      <c r="B120" s="81" t="s">
        <v>938</v>
      </c>
      <c r="C120" s="82">
        <f>94000</f>
        <v>94000</v>
      </c>
      <c r="D120" s="83"/>
      <c r="F120" s="32">
        <f t="shared" si="3"/>
        <v>94000</v>
      </c>
    </row>
    <row r="121" spans="1:6" x14ac:dyDescent="0.75">
      <c r="A121" s="85">
        <f t="shared" si="2"/>
        <v>3800</v>
      </c>
      <c r="B121" s="81" t="s">
        <v>765</v>
      </c>
      <c r="C121" s="83"/>
      <c r="D121" s="82">
        <f>0</f>
        <v>0</v>
      </c>
      <c r="F121" s="32">
        <f t="shared" si="3"/>
        <v>0</v>
      </c>
    </row>
    <row r="122" spans="1:6" x14ac:dyDescent="0.75">
      <c r="A122" s="85">
        <f t="shared" si="2"/>
        <v>3900</v>
      </c>
      <c r="B122" s="81" t="s">
        <v>311</v>
      </c>
      <c r="C122" s="82">
        <f>9072443.37</f>
        <v>9072443.3699999992</v>
      </c>
      <c r="D122" s="83"/>
      <c r="F122" s="32">
        <f t="shared" si="3"/>
        <v>9072443.3699999992</v>
      </c>
    </row>
    <row r="123" spans="1:6" x14ac:dyDescent="0.75">
      <c r="A123" s="85">
        <f t="shared" si="2"/>
        <v>4100</v>
      </c>
      <c r="B123" s="81" t="s">
        <v>313</v>
      </c>
      <c r="C123" s="83"/>
      <c r="D123" s="82">
        <f>384398.97</f>
        <v>384398.97</v>
      </c>
      <c r="F123" s="32">
        <f t="shared" si="3"/>
        <v>-384398.97</v>
      </c>
    </row>
    <row r="124" spans="1:6" x14ac:dyDescent="0.75">
      <c r="A124" s="85">
        <f t="shared" si="2"/>
        <v>4500</v>
      </c>
      <c r="B124" s="81" t="s">
        <v>766</v>
      </c>
      <c r="C124" s="83"/>
      <c r="D124" s="82">
        <f>17578.6</f>
        <v>17578.599999999999</v>
      </c>
      <c r="F124" s="32">
        <f t="shared" si="3"/>
        <v>-17578.599999999999</v>
      </c>
    </row>
    <row r="125" spans="1:6" x14ac:dyDescent="0.75">
      <c r="A125" s="85">
        <f t="shared" si="2"/>
        <v>4900</v>
      </c>
      <c r="B125" s="81" t="s">
        <v>831</v>
      </c>
      <c r="C125" s="83"/>
      <c r="D125" s="82">
        <f>3835</f>
        <v>3835</v>
      </c>
      <c r="F125" s="32">
        <f t="shared" si="3"/>
        <v>-3835</v>
      </c>
    </row>
    <row r="126" spans="1:6" x14ac:dyDescent="0.75">
      <c r="A126" s="85">
        <f t="shared" si="2"/>
        <v>5000</v>
      </c>
      <c r="B126" s="81" t="s">
        <v>832</v>
      </c>
      <c r="C126" s="82">
        <f>20904.27</f>
        <v>20904.27</v>
      </c>
      <c r="D126" s="83"/>
      <c r="F126" s="32">
        <f t="shared" si="3"/>
        <v>20904.27</v>
      </c>
    </row>
    <row r="127" spans="1:6" x14ac:dyDescent="0.75">
      <c r="A127" s="85">
        <f t="shared" si="2"/>
        <v>5010</v>
      </c>
      <c r="B127" s="81" t="s">
        <v>833</v>
      </c>
      <c r="C127" s="82">
        <f>18441.55</f>
        <v>18441.55</v>
      </c>
      <c r="D127" s="83"/>
      <c r="F127" s="32">
        <f t="shared" si="3"/>
        <v>18441.55</v>
      </c>
    </row>
    <row r="128" spans="1:6" x14ac:dyDescent="0.75">
      <c r="A128" s="85">
        <f t="shared" si="2"/>
        <v>5050</v>
      </c>
      <c r="B128" s="81" t="s">
        <v>797</v>
      </c>
      <c r="C128" s="82">
        <f>69783.07</f>
        <v>69783.070000000007</v>
      </c>
      <c r="D128" s="83"/>
      <c r="F128" s="32">
        <f t="shared" si="3"/>
        <v>69783.070000000007</v>
      </c>
    </row>
    <row r="129" spans="1:6" x14ac:dyDescent="0.75">
      <c r="A129" s="85">
        <f t="shared" si="2"/>
        <v>6010</v>
      </c>
      <c r="B129" s="81" t="s">
        <v>798</v>
      </c>
      <c r="C129" s="82">
        <f>7810.96</f>
        <v>7810.96</v>
      </c>
      <c r="D129" s="83"/>
      <c r="F129" s="32">
        <f t="shared" si="3"/>
        <v>7810.96</v>
      </c>
    </row>
    <row r="130" spans="1:6" x14ac:dyDescent="0.75">
      <c r="A130" s="85">
        <f t="shared" si="2"/>
        <v>6025</v>
      </c>
      <c r="B130" s="81" t="s">
        <v>767</v>
      </c>
      <c r="C130" s="82">
        <f>816</f>
        <v>816</v>
      </c>
      <c r="D130" s="83"/>
      <c r="F130" s="32">
        <f t="shared" si="3"/>
        <v>816</v>
      </c>
    </row>
    <row r="131" spans="1:6" x14ac:dyDescent="0.75">
      <c r="A131" s="85">
        <f t="shared" si="2"/>
        <v>6030</v>
      </c>
      <c r="B131" s="81" t="s">
        <v>768</v>
      </c>
      <c r="C131" s="82">
        <f>1780.3</f>
        <v>1780.3</v>
      </c>
      <c r="D131" s="83"/>
      <c r="F131" s="32">
        <f t="shared" si="3"/>
        <v>1780.3</v>
      </c>
    </row>
    <row r="132" spans="1:6" x14ac:dyDescent="0.75">
      <c r="A132" s="85">
        <f t="shared" si="2"/>
        <v>6055</v>
      </c>
      <c r="B132" s="81" t="s">
        <v>837</v>
      </c>
      <c r="C132" s="82">
        <f>598</f>
        <v>598</v>
      </c>
      <c r="D132" s="83"/>
      <c r="F132" s="32">
        <f t="shared" si="3"/>
        <v>598</v>
      </c>
    </row>
    <row r="133" spans="1:6" x14ac:dyDescent="0.75">
      <c r="A133" s="85">
        <f t="shared" si="2"/>
        <v>6060</v>
      </c>
      <c r="B133" s="81" t="s">
        <v>852</v>
      </c>
      <c r="C133" s="82">
        <f>1298.71</f>
        <v>1298.71</v>
      </c>
      <c r="D133" s="83"/>
      <c r="F133" s="32">
        <f t="shared" si="3"/>
        <v>1298.71</v>
      </c>
    </row>
    <row r="134" spans="1:6" x14ac:dyDescent="0.75">
      <c r="A134" s="85">
        <f t="shared" ref="A134:A170" si="4">VALUE(LEFT(B134,4))</f>
        <v>6075</v>
      </c>
      <c r="B134" s="81" t="s">
        <v>803</v>
      </c>
      <c r="C134" s="82">
        <f>16315.39</f>
        <v>16315.39</v>
      </c>
      <c r="D134" s="83"/>
      <c r="F134" s="32">
        <f t="shared" si="3"/>
        <v>16315.39</v>
      </c>
    </row>
    <row r="135" spans="1:6" x14ac:dyDescent="0.75">
      <c r="A135" s="85">
        <f t="shared" si="4"/>
        <v>6085</v>
      </c>
      <c r="B135" s="81" t="s">
        <v>769</v>
      </c>
      <c r="C135" s="82">
        <f>1102.7</f>
        <v>1102.7</v>
      </c>
      <c r="D135" s="83"/>
      <c r="F135" s="32">
        <f t="shared" ref="F135:F171" si="5">C135-D135</f>
        <v>1102.7</v>
      </c>
    </row>
    <row r="136" spans="1:6" x14ac:dyDescent="0.75">
      <c r="A136" s="85">
        <f t="shared" si="4"/>
        <v>6105</v>
      </c>
      <c r="B136" s="81" t="s">
        <v>838</v>
      </c>
      <c r="C136" s="82">
        <f>3339.88</f>
        <v>3339.88</v>
      </c>
      <c r="D136" s="83"/>
      <c r="F136" s="32">
        <f t="shared" si="5"/>
        <v>3339.88</v>
      </c>
    </row>
    <row r="137" spans="1:6" x14ac:dyDescent="0.75">
      <c r="A137" s="85">
        <f t="shared" si="4"/>
        <v>6115</v>
      </c>
      <c r="B137" s="81" t="s">
        <v>839</v>
      </c>
      <c r="C137" s="82">
        <f>3111.42</f>
        <v>3111.42</v>
      </c>
      <c r="D137" s="83"/>
      <c r="F137" s="32">
        <f t="shared" si="5"/>
        <v>3111.42</v>
      </c>
    </row>
    <row r="138" spans="1:6" x14ac:dyDescent="0.75">
      <c r="A138" s="85">
        <f t="shared" si="4"/>
        <v>6120</v>
      </c>
      <c r="B138" s="81" t="s">
        <v>770</v>
      </c>
      <c r="C138" s="83"/>
      <c r="D138" s="82">
        <f>401.63</f>
        <v>401.63</v>
      </c>
      <c r="F138" s="32">
        <f t="shared" si="5"/>
        <v>-401.63</v>
      </c>
    </row>
    <row r="139" spans="1:6" x14ac:dyDescent="0.75">
      <c r="A139" s="85">
        <f t="shared" si="4"/>
        <v>6135</v>
      </c>
      <c r="B139" s="81" t="s">
        <v>853</v>
      </c>
      <c r="C139" s="82">
        <f>1369.33</f>
        <v>1369.33</v>
      </c>
      <c r="D139" s="83"/>
      <c r="F139" s="32">
        <f t="shared" si="5"/>
        <v>1369.33</v>
      </c>
    </row>
    <row r="140" spans="1:6" x14ac:dyDescent="0.75">
      <c r="A140" s="85">
        <f t="shared" si="4"/>
        <v>6150</v>
      </c>
      <c r="B140" s="81" t="s">
        <v>771</v>
      </c>
      <c r="C140" s="82">
        <f>2624</f>
        <v>2624</v>
      </c>
      <c r="D140" s="83"/>
      <c r="F140" s="32">
        <f t="shared" si="5"/>
        <v>2624</v>
      </c>
    </row>
    <row r="141" spans="1:6" x14ac:dyDescent="0.75">
      <c r="A141" s="85">
        <f t="shared" si="4"/>
        <v>6155</v>
      </c>
      <c r="B141" s="81" t="s">
        <v>772</v>
      </c>
      <c r="C141" s="82">
        <f>5974.3</f>
        <v>5974.3</v>
      </c>
      <c r="D141" s="83"/>
      <c r="F141" s="32">
        <f t="shared" si="5"/>
        <v>5974.3</v>
      </c>
    </row>
    <row r="142" spans="1:6" x14ac:dyDescent="0.75">
      <c r="A142" s="85">
        <f t="shared" si="4"/>
        <v>6210</v>
      </c>
      <c r="B142" s="81" t="s">
        <v>773</v>
      </c>
      <c r="C142" s="82">
        <f>835</f>
        <v>835</v>
      </c>
      <c r="D142" s="83"/>
      <c r="F142" s="32">
        <f t="shared" si="5"/>
        <v>835</v>
      </c>
    </row>
    <row r="143" spans="1:6" x14ac:dyDescent="0.75">
      <c r="A143" s="85">
        <f t="shared" si="4"/>
        <v>6215</v>
      </c>
      <c r="B143" s="81" t="s">
        <v>774</v>
      </c>
      <c r="C143" s="82">
        <f>1735.41</f>
        <v>1735.41</v>
      </c>
      <c r="D143" s="83"/>
      <c r="F143" s="32">
        <f t="shared" si="5"/>
        <v>1735.41</v>
      </c>
    </row>
    <row r="144" spans="1:6" x14ac:dyDescent="0.75">
      <c r="A144" s="85">
        <f t="shared" si="4"/>
        <v>6220</v>
      </c>
      <c r="B144" s="81" t="s">
        <v>775</v>
      </c>
      <c r="C144" s="82">
        <f>3048.97</f>
        <v>3048.97</v>
      </c>
      <c r="D144" s="83"/>
      <c r="F144" s="32">
        <f t="shared" si="5"/>
        <v>3048.97</v>
      </c>
    </row>
    <row r="145" spans="1:6" x14ac:dyDescent="0.75">
      <c r="A145" s="85">
        <f t="shared" si="4"/>
        <v>6245</v>
      </c>
      <c r="B145" s="81" t="s">
        <v>776</v>
      </c>
      <c r="C145" s="82">
        <f>1109.51</f>
        <v>1109.51</v>
      </c>
      <c r="D145" s="83"/>
      <c r="F145" s="32">
        <f t="shared" si="5"/>
        <v>1109.51</v>
      </c>
    </row>
    <row r="146" spans="1:6" x14ac:dyDescent="0.75">
      <c r="A146" s="85">
        <f t="shared" si="4"/>
        <v>6255</v>
      </c>
      <c r="B146" s="81" t="s">
        <v>777</v>
      </c>
      <c r="C146" s="82">
        <f>58.68</f>
        <v>58.68</v>
      </c>
      <c r="D146" s="83"/>
      <c r="F146" s="32">
        <f t="shared" si="5"/>
        <v>58.68</v>
      </c>
    </row>
    <row r="147" spans="1:6" x14ac:dyDescent="0.75">
      <c r="A147" s="85">
        <f t="shared" si="4"/>
        <v>6265</v>
      </c>
      <c r="B147" s="81" t="s">
        <v>854</v>
      </c>
      <c r="C147" s="82">
        <f>14.5</f>
        <v>14.5</v>
      </c>
      <c r="D147" s="83"/>
      <c r="F147" s="32">
        <f t="shared" si="5"/>
        <v>14.5</v>
      </c>
    </row>
    <row r="148" spans="1:6" x14ac:dyDescent="0.75">
      <c r="A148" s="85">
        <f t="shared" si="4"/>
        <v>6270</v>
      </c>
      <c r="B148" s="81" t="s">
        <v>778</v>
      </c>
      <c r="C148" s="82">
        <f>37195</f>
        <v>37195</v>
      </c>
      <c r="D148" s="83"/>
      <c r="F148" s="32">
        <f t="shared" si="5"/>
        <v>37195</v>
      </c>
    </row>
    <row r="149" spans="1:6" x14ac:dyDescent="0.75">
      <c r="A149" s="85">
        <f t="shared" si="4"/>
        <v>6275</v>
      </c>
      <c r="B149" s="81" t="s">
        <v>790</v>
      </c>
      <c r="C149" s="82">
        <f>51290.76</f>
        <v>51290.76</v>
      </c>
      <c r="D149" s="83"/>
      <c r="F149" s="32">
        <f t="shared" si="5"/>
        <v>51290.76</v>
      </c>
    </row>
    <row r="150" spans="1:6" x14ac:dyDescent="0.75">
      <c r="A150" s="85">
        <f t="shared" si="4"/>
        <v>6280</v>
      </c>
      <c r="B150" s="81" t="s">
        <v>779</v>
      </c>
      <c r="C150" s="82">
        <f>9220</f>
        <v>9220</v>
      </c>
      <c r="D150" s="83"/>
      <c r="F150" s="32">
        <f t="shared" si="5"/>
        <v>9220</v>
      </c>
    </row>
    <row r="151" spans="1:6" x14ac:dyDescent="0.75">
      <c r="A151" s="85">
        <f t="shared" si="4"/>
        <v>6300</v>
      </c>
      <c r="B151" s="81" t="s">
        <v>840</v>
      </c>
      <c r="C151" s="82">
        <f>3255.78</f>
        <v>3255.78</v>
      </c>
      <c r="D151" s="83"/>
      <c r="F151" s="32">
        <f t="shared" si="5"/>
        <v>3255.78</v>
      </c>
    </row>
    <row r="152" spans="1:6" x14ac:dyDescent="0.75">
      <c r="A152" s="85">
        <f t="shared" si="4"/>
        <v>6315</v>
      </c>
      <c r="B152" s="81" t="s">
        <v>791</v>
      </c>
      <c r="C152" s="82">
        <f>16600.87</f>
        <v>16600.87</v>
      </c>
      <c r="D152" s="83"/>
      <c r="F152" s="32">
        <f t="shared" si="5"/>
        <v>16600.87</v>
      </c>
    </row>
    <row r="153" spans="1:6" x14ac:dyDescent="0.75">
      <c r="A153" s="85">
        <f t="shared" si="4"/>
        <v>6335</v>
      </c>
      <c r="B153" s="81" t="s">
        <v>855</v>
      </c>
      <c r="C153" s="82">
        <f>178.37</f>
        <v>178.37</v>
      </c>
      <c r="D153" s="83"/>
      <c r="F153" s="32">
        <f t="shared" si="5"/>
        <v>178.37</v>
      </c>
    </row>
    <row r="154" spans="1:6" x14ac:dyDescent="0.75">
      <c r="A154" s="85">
        <f t="shared" si="4"/>
        <v>6345</v>
      </c>
      <c r="B154" s="81" t="s">
        <v>792</v>
      </c>
      <c r="C154" s="82">
        <f>1822.74</f>
        <v>1822.74</v>
      </c>
      <c r="D154" s="83"/>
      <c r="F154" s="32">
        <f t="shared" si="5"/>
        <v>1822.74</v>
      </c>
    </row>
    <row r="155" spans="1:6" x14ac:dyDescent="0.75">
      <c r="A155" s="85">
        <f t="shared" si="4"/>
        <v>6350</v>
      </c>
      <c r="B155" s="81" t="s">
        <v>780</v>
      </c>
      <c r="C155" s="82">
        <f>473.95</f>
        <v>473.95</v>
      </c>
      <c r="D155" s="83"/>
      <c r="F155" s="32">
        <f t="shared" si="5"/>
        <v>473.95</v>
      </c>
    </row>
    <row r="156" spans="1:6" x14ac:dyDescent="0.75">
      <c r="A156" s="85">
        <f t="shared" si="4"/>
        <v>6400</v>
      </c>
      <c r="B156" s="81" t="s">
        <v>781</v>
      </c>
      <c r="C156" s="82">
        <f>61324.65</f>
        <v>61324.65</v>
      </c>
      <c r="D156" s="83"/>
      <c r="F156" s="32">
        <f t="shared" si="5"/>
        <v>61324.65</v>
      </c>
    </row>
    <row r="157" spans="1:6" x14ac:dyDescent="0.75">
      <c r="A157" s="85">
        <f t="shared" si="4"/>
        <v>6430</v>
      </c>
      <c r="B157" s="81" t="s">
        <v>782</v>
      </c>
      <c r="C157" s="82">
        <f>57148.76</f>
        <v>57148.76</v>
      </c>
      <c r="D157" s="83"/>
      <c r="F157" s="32">
        <f t="shared" si="5"/>
        <v>57148.76</v>
      </c>
    </row>
    <row r="158" spans="1:6" x14ac:dyDescent="0.75">
      <c r="A158" s="85">
        <f t="shared" si="4"/>
        <v>6435</v>
      </c>
      <c r="B158" s="81" t="s">
        <v>783</v>
      </c>
      <c r="C158" s="82">
        <f>4122.47</f>
        <v>4122.47</v>
      </c>
      <c r="D158" s="83"/>
      <c r="F158" s="32">
        <f t="shared" si="5"/>
        <v>4122.47</v>
      </c>
    </row>
    <row r="159" spans="1:6" x14ac:dyDescent="0.75">
      <c r="A159" s="85">
        <f t="shared" si="4"/>
        <v>6440</v>
      </c>
      <c r="B159" s="81" t="s">
        <v>948</v>
      </c>
      <c r="C159" s="82">
        <f>34739.54</f>
        <v>34739.54</v>
      </c>
      <c r="D159" s="83"/>
      <c r="F159" s="32">
        <f t="shared" si="5"/>
        <v>34739.54</v>
      </c>
    </row>
    <row r="160" spans="1:6" x14ac:dyDescent="0.75">
      <c r="A160" s="85">
        <f t="shared" si="4"/>
        <v>6445</v>
      </c>
      <c r="B160" s="81" t="s">
        <v>784</v>
      </c>
      <c r="C160" s="82">
        <f>17838.38</f>
        <v>17838.38</v>
      </c>
      <c r="D160" s="83"/>
      <c r="F160" s="32">
        <f t="shared" si="5"/>
        <v>17838.38</v>
      </c>
    </row>
    <row r="161" spans="1:6" x14ac:dyDescent="0.75">
      <c r="A161" s="85">
        <f t="shared" si="4"/>
        <v>6510</v>
      </c>
      <c r="B161" s="81" t="s">
        <v>785</v>
      </c>
      <c r="C161" s="82">
        <f>5655.15</f>
        <v>5655.15</v>
      </c>
      <c r="D161" s="83"/>
      <c r="F161" s="32">
        <f t="shared" si="5"/>
        <v>5655.15</v>
      </c>
    </row>
    <row r="162" spans="1:6" x14ac:dyDescent="0.75">
      <c r="A162" s="85">
        <f t="shared" si="4"/>
        <v>6525</v>
      </c>
      <c r="B162" s="81" t="s">
        <v>794</v>
      </c>
      <c r="C162" s="82">
        <f>1232.88</f>
        <v>1232.8800000000001</v>
      </c>
      <c r="D162" s="83"/>
      <c r="F162" s="32">
        <f t="shared" si="5"/>
        <v>1232.8800000000001</v>
      </c>
    </row>
    <row r="163" spans="1:6" x14ac:dyDescent="0.75">
      <c r="A163" s="85">
        <f t="shared" si="4"/>
        <v>6545</v>
      </c>
      <c r="B163" s="81" t="s">
        <v>856</v>
      </c>
      <c r="C163" s="82">
        <f>48.37</f>
        <v>48.37</v>
      </c>
      <c r="D163" s="83"/>
      <c r="F163" s="32">
        <f t="shared" si="5"/>
        <v>48.37</v>
      </c>
    </row>
    <row r="164" spans="1:6" x14ac:dyDescent="0.75">
      <c r="A164" s="85">
        <f t="shared" si="4"/>
        <v>6550</v>
      </c>
      <c r="B164" s="81" t="s">
        <v>786</v>
      </c>
      <c r="C164" s="82">
        <f>7478.63</f>
        <v>7478.63</v>
      </c>
      <c r="D164" s="83"/>
      <c r="F164" s="32">
        <f t="shared" si="5"/>
        <v>7478.63</v>
      </c>
    </row>
    <row r="165" spans="1:6" x14ac:dyDescent="0.75">
      <c r="A165" s="85">
        <f t="shared" si="4"/>
        <v>6555</v>
      </c>
      <c r="B165" s="81" t="s">
        <v>857</v>
      </c>
      <c r="C165" s="82">
        <f>422.9</f>
        <v>422.9</v>
      </c>
      <c r="D165" s="83"/>
      <c r="F165" s="32">
        <f t="shared" si="5"/>
        <v>422.9</v>
      </c>
    </row>
    <row r="166" spans="1:6" x14ac:dyDescent="0.75">
      <c r="A166" s="85">
        <f t="shared" si="4"/>
        <v>7510</v>
      </c>
      <c r="B166" s="81" t="s">
        <v>787</v>
      </c>
      <c r="C166" s="82">
        <f>3836.66</f>
        <v>3836.66</v>
      </c>
      <c r="D166" s="83"/>
      <c r="F166" s="32">
        <f t="shared" si="5"/>
        <v>3836.66</v>
      </c>
    </row>
    <row r="167" spans="1:6" x14ac:dyDescent="0.75">
      <c r="A167" s="85">
        <f t="shared" si="4"/>
        <v>7520</v>
      </c>
      <c r="B167" s="81" t="s">
        <v>805</v>
      </c>
      <c r="C167" s="82">
        <f>2679.88</f>
        <v>2679.88</v>
      </c>
      <c r="D167" s="83"/>
      <c r="F167" s="32">
        <f t="shared" si="5"/>
        <v>2679.88</v>
      </c>
    </row>
    <row r="168" spans="1:6" x14ac:dyDescent="0.75">
      <c r="A168" s="85">
        <f t="shared" si="4"/>
        <v>7530</v>
      </c>
      <c r="B168" s="81" t="s">
        <v>788</v>
      </c>
      <c r="C168" s="82">
        <f>17934.7</f>
        <v>17934.7</v>
      </c>
      <c r="D168" s="83"/>
      <c r="F168" s="32">
        <f t="shared" si="5"/>
        <v>17934.7</v>
      </c>
    </row>
    <row r="169" spans="1:6" x14ac:dyDescent="0.75">
      <c r="A169" s="85">
        <f t="shared" si="4"/>
        <v>7540</v>
      </c>
      <c r="B169" s="81" t="s">
        <v>846</v>
      </c>
      <c r="C169" s="82">
        <f>39114.38</f>
        <v>39114.379999999997</v>
      </c>
      <c r="D169" s="83"/>
      <c r="F169" s="32">
        <f t="shared" si="5"/>
        <v>39114.379999999997</v>
      </c>
    </row>
    <row r="170" spans="1:6" x14ac:dyDescent="0.75">
      <c r="A170" s="85">
        <f t="shared" si="4"/>
        <v>7590</v>
      </c>
      <c r="B170" s="81" t="s">
        <v>944</v>
      </c>
      <c r="C170" s="82">
        <f>76086</f>
        <v>76086</v>
      </c>
      <c r="D170" s="83"/>
      <c r="F170" s="32">
        <f t="shared" si="5"/>
        <v>76086</v>
      </c>
    </row>
    <row r="171" spans="1:6" x14ac:dyDescent="0.75">
      <c r="A171" s="85">
        <f>VALUE(LEFT(B171,4))</f>
        <v>7100</v>
      </c>
      <c r="B171" s="81" t="s">
        <v>375</v>
      </c>
      <c r="C171" s="83"/>
      <c r="D171" s="82">
        <f>66.11</f>
        <v>66.11</v>
      </c>
      <c r="F171" s="32">
        <f t="shared" si="5"/>
        <v>-66.11</v>
      </c>
    </row>
    <row r="172" spans="1:6" x14ac:dyDescent="0.75">
      <c r="B172" s="81" t="s">
        <v>2</v>
      </c>
      <c r="C172" s="84">
        <f t="shared" ref="C172:D172" si="6">SUM(C6:C171)</f>
        <v>10958495.780000005</v>
      </c>
      <c r="D172" s="84">
        <f t="shared" si="6"/>
        <v>10958495.780000001</v>
      </c>
      <c r="F172" s="32">
        <f>SUM(F6:F171)</f>
        <v>-7.1246120114665246E-10</v>
      </c>
    </row>
    <row r="173" spans="1:6" x14ac:dyDescent="0.75">
      <c r="B173" s="81"/>
      <c r="C173" s="83"/>
      <c r="D173" s="83"/>
    </row>
    <row r="176" spans="1:6" x14ac:dyDescent="0.75">
      <c r="B176" s="198" t="s">
        <v>960</v>
      </c>
      <c r="C176" s="197"/>
      <c r="D176" s="197"/>
    </row>
  </sheetData>
  <mergeCells count="4">
    <mergeCell ref="B1:D1"/>
    <mergeCell ref="B2:D2"/>
    <mergeCell ref="B3:D3"/>
    <mergeCell ref="B176:D176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9458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19458" r:id="rId4" name="HEADER"/>
      </mc:Fallback>
    </mc:AlternateContent>
    <mc:AlternateContent xmlns:mc="http://schemas.openxmlformats.org/markup-compatibility/2006">
      <mc:Choice Requires="x14">
        <control shapeId="19457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19457" r:id="rId6" name="FILTER"/>
      </mc:Fallback>
    </mc:AlternateContent>
  </control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E265-4EE3-454E-95F7-B8F49FD83FE6}">
  <sheetPr codeName="Sheet7">
    <tabColor theme="7" tint="0.59999389629810485"/>
  </sheetPr>
  <dimension ref="A1:F182"/>
  <sheetViews>
    <sheetView zoomScaleNormal="100" workbookViewId="0">
      <pane xSplit="2" ySplit="5" topLeftCell="C149" activePane="bottomRight" state="frozenSplit"/>
      <selection pane="topRight" activeCell="C1" sqref="C1"/>
      <selection pane="bottomLeft" activeCell="A3" sqref="A3"/>
      <selection pane="bottomRight" activeCell="B179" sqref="B179"/>
    </sheetView>
  </sheetViews>
  <sheetFormatPr defaultColWidth="9.1328125" defaultRowHeight="14.75" x14ac:dyDescent="0.75"/>
  <cols>
    <col min="1" max="1" width="9.1328125" style="85"/>
    <col min="2" max="2" width="52.40625" style="85" customWidth="1"/>
    <col min="3" max="4" width="13.7265625" style="85" customWidth="1"/>
    <col min="5" max="5" width="9.1328125" style="85"/>
    <col min="6" max="6" width="21.54296875" style="32" customWidth="1"/>
    <col min="7" max="16384" width="9.1328125" style="85"/>
  </cols>
  <sheetData>
    <row r="1" spans="1:6" ht="18" x14ac:dyDescent="0.8">
      <c r="B1" s="195" t="s">
        <v>696</v>
      </c>
      <c r="C1" s="197"/>
      <c r="D1" s="197"/>
    </row>
    <row r="2" spans="1:6" ht="18" x14ac:dyDescent="0.8">
      <c r="B2" s="195" t="s">
        <v>697</v>
      </c>
      <c r="C2" s="197"/>
      <c r="D2" s="197"/>
    </row>
    <row r="3" spans="1:6" x14ac:dyDescent="0.75">
      <c r="B3" s="199" t="s">
        <v>858</v>
      </c>
      <c r="C3" s="197"/>
      <c r="D3" s="197"/>
    </row>
    <row r="5" spans="1:6" x14ac:dyDescent="0.75">
      <c r="B5" s="52"/>
      <c r="C5" s="80" t="s">
        <v>0</v>
      </c>
      <c r="D5" s="80" t="s">
        <v>1</v>
      </c>
      <c r="F5" s="80" t="s">
        <v>170</v>
      </c>
    </row>
    <row r="6" spans="1:6" x14ac:dyDescent="0.75">
      <c r="A6" s="85">
        <f t="shared" ref="A6:A69" si="0">VALUE(LEFT(B6,4))</f>
        <v>1005</v>
      </c>
      <c r="B6" s="81" t="s">
        <v>698</v>
      </c>
      <c r="C6" s="82">
        <f>0</f>
        <v>0</v>
      </c>
      <c r="D6" s="83"/>
      <c r="F6" s="32">
        <f>C6-D6</f>
        <v>0</v>
      </c>
    </row>
    <row r="7" spans="1:6" x14ac:dyDescent="0.75">
      <c r="A7" s="85">
        <f t="shared" si="0"/>
        <v>1010</v>
      </c>
      <c r="B7" s="81" t="s">
        <v>193</v>
      </c>
      <c r="C7" s="82">
        <f>97029.48</f>
        <v>97029.48</v>
      </c>
      <c r="D7" s="83"/>
      <c r="F7" s="32">
        <f t="shared" ref="F7:F70" si="1">C7-D7</f>
        <v>97029.48</v>
      </c>
    </row>
    <row r="8" spans="1:6" x14ac:dyDescent="0.75">
      <c r="A8" s="85">
        <f t="shared" si="0"/>
        <v>1020</v>
      </c>
      <c r="B8" s="81" t="s">
        <v>194</v>
      </c>
      <c r="C8" s="82">
        <f>695.41</f>
        <v>695.41</v>
      </c>
      <c r="D8" s="83"/>
      <c r="F8" s="32">
        <f t="shared" si="1"/>
        <v>695.41</v>
      </c>
    </row>
    <row r="9" spans="1:6" x14ac:dyDescent="0.75">
      <c r="A9" s="85">
        <f t="shared" si="0"/>
        <v>1200</v>
      </c>
      <c r="B9" s="81" t="s">
        <v>699</v>
      </c>
      <c r="C9" s="82">
        <f>177439.08</f>
        <v>177439.08</v>
      </c>
      <c r="D9" s="83"/>
      <c r="F9" s="32">
        <f t="shared" si="1"/>
        <v>177439.08</v>
      </c>
    </row>
    <row r="10" spans="1:6" x14ac:dyDescent="0.75">
      <c r="A10" s="85">
        <f t="shared" si="0"/>
        <v>1210</v>
      </c>
      <c r="B10" s="81" t="s">
        <v>700</v>
      </c>
      <c r="C10" s="82">
        <f>0</f>
        <v>0</v>
      </c>
      <c r="D10" s="83"/>
      <c r="F10" s="32">
        <f t="shared" si="1"/>
        <v>0</v>
      </c>
    </row>
    <row r="11" spans="1:6" x14ac:dyDescent="0.75">
      <c r="A11" s="85">
        <f t="shared" si="0"/>
        <v>1250</v>
      </c>
      <c r="B11" s="81" t="s">
        <v>701</v>
      </c>
      <c r="C11" s="82">
        <f>0</f>
        <v>0</v>
      </c>
      <c r="D11" s="83"/>
      <c r="F11" s="32">
        <f t="shared" si="1"/>
        <v>0</v>
      </c>
    </row>
    <row r="12" spans="1:6" x14ac:dyDescent="0.75">
      <c r="A12" s="85">
        <f t="shared" si="0"/>
        <v>1280</v>
      </c>
      <c r="B12" s="81" t="s">
        <v>702</v>
      </c>
      <c r="C12" s="82">
        <f>0</f>
        <v>0</v>
      </c>
      <c r="D12" s="83"/>
      <c r="F12" s="32">
        <f t="shared" si="1"/>
        <v>0</v>
      </c>
    </row>
    <row r="13" spans="1:6" x14ac:dyDescent="0.75">
      <c r="A13" s="85">
        <f t="shared" si="0"/>
        <v>1290</v>
      </c>
      <c r="B13" s="81" t="s">
        <v>703</v>
      </c>
      <c r="C13" s="82">
        <f>0</f>
        <v>0</v>
      </c>
      <c r="D13" s="83"/>
      <c r="F13" s="32">
        <f t="shared" si="1"/>
        <v>0</v>
      </c>
    </row>
    <row r="14" spans="1:6" x14ac:dyDescent="0.75">
      <c r="A14" s="85">
        <f t="shared" si="0"/>
        <v>1310</v>
      </c>
      <c r="B14" s="81" t="s">
        <v>200</v>
      </c>
      <c r="C14" s="82">
        <f>60724.09</f>
        <v>60724.09</v>
      </c>
      <c r="D14" s="83"/>
      <c r="F14" s="32">
        <f t="shared" si="1"/>
        <v>60724.09</v>
      </c>
    </row>
    <row r="15" spans="1:6" x14ac:dyDescent="0.75">
      <c r="A15" s="85">
        <f t="shared" si="0"/>
        <v>1320</v>
      </c>
      <c r="B15" s="81" t="s">
        <v>201</v>
      </c>
      <c r="C15" s="82">
        <f>2365</f>
        <v>2365</v>
      </c>
      <c r="D15" s="83"/>
      <c r="F15" s="32">
        <f t="shared" si="1"/>
        <v>2365</v>
      </c>
    </row>
    <row r="16" spans="1:6" x14ac:dyDescent="0.75">
      <c r="A16" s="85">
        <f t="shared" si="0"/>
        <v>1330</v>
      </c>
      <c r="B16" s="81" t="s">
        <v>704</v>
      </c>
      <c r="C16" s="82">
        <f>0</f>
        <v>0</v>
      </c>
      <c r="D16" s="83"/>
      <c r="F16" s="32">
        <f t="shared" si="1"/>
        <v>0</v>
      </c>
    </row>
    <row r="17" spans="1:6" x14ac:dyDescent="0.75">
      <c r="A17" s="85">
        <f t="shared" si="0"/>
        <v>1340</v>
      </c>
      <c r="B17" s="81" t="s">
        <v>705</v>
      </c>
      <c r="C17" s="82">
        <f>4370</f>
        <v>4370</v>
      </c>
      <c r="D17" s="83"/>
      <c r="F17" s="32">
        <f t="shared" si="1"/>
        <v>4370</v>
      </c>
    </row>
    <row r="18" spans="1:6" x14ac:dyDescent="0.75">
      <c r="A18" s="85">
        <f t="shared" si="0"/>
        <v>1410</v>
      </c>
      <c r="B18" s="81" t="s">
        <v>204</v>
      </c>
      <c r="C18" s="82">
        <f>45041.92</f>
        <v>45041.919999999998</v>
      </c>
      <c r="D18" s="83"/>
      <c r="F18" s="32">
        <f t="shared" si="1"/>
        <v>45041.919999999998</v>
      </c>
    </row>
    <row r="19" spans="1:6" x14ac:dyDescent="0.75">
      <c r="A19" s="85">
        <f t="shared" si="0"/>
        <v>1430</v>
      </c>
      <c r="B19" s="81" t="s">
        <v>706</v>
      </c>
      <c r="C19" s="82">
        <f>0</f>
        <v>0</v>
      </c>
      <c r="D19" s="83"/>
      <c r="F19" s="32">
        <f t="shared" si="1"/>
        <v>0</v>
      </c>
    </row>
    <row r="20" spans="1:6" x14ac:dyDescent="0.75">
      <c r="A20" s="85">
        <f t="shared" si="0"/>
        <v>1710</v>
      </c>
      <c r="B20" s="81" t="s">
        <v>807</v>
      </c>
      <c r="C20" s="82">
        <f>97384.17</f>
        <v>97384.17</v>
      </c>
      <c r="D20" s="83"/>
      <c r="F20" s="32">
        <f t="shared" si="1"/>
        <v>97384.17</v>
      </c>
    </row>
    <row r="21" spans="1:6" x14ac:dyDescent="0.75">
      <c r="A21" s="85">
        <f t="shared" si="0"/>
        <v>1715</v>
      </c>
      <c r="B21" s="81" t="s">
        <v>707</v>
      </c>
      <c r="C21" s="82">
        <f>0</f>
        <v>0</v>
      </c>
      <c r="D21" s="83"/>
      <c r="F21" s="32">
        <f t="shared" si="1"/>
        <v>0</v>
      </c>
    </row>
    <row r="22" spans="1:6" x14ac:dyDescent="0.75">
      <c r="A22" s="85">
        <f t="shared" si="0"/>
        <v>1720</v>
      </c>
      <c r="B22" s="81" t="s">
        <v>708</v>
      </c>
      <c r="C22" s="82">
        <f>3937.6</f>
        <v>3937.6</v>
      </c>
      <c r="D22" s="83"/>
      <c r="F22" s="32">
        <f t="shared" si="1"/>
        <v>3937.6</v>
      </c>
    </row>
    <row r="23" spans="1:6" x14ac:dyDescent="0.75">
      <c r="A23" s="85">
        <f t="shared" si="0"/>
        <v>1725</v>
      </c>
      <c r="B23" s="81" t="s">
        <v>849</v>
      </c>
      <c r="C23" s="82">
        <f>2446.33</f>
        <v>2446.33</v>
      </c>
      <c r="D23" s="83"/>
      <c r="F23" s="32">
        <f t="shared" si="1"/>
        <v>2446.33</v>
      </c>
    </row>
    <row r="24" spans="1:6" x14ac:dyDescent="0.75">
      <c r="A24" s="85">
        <f t="shared" si="0"/>
        <v>1735</v>
      </c>
      <c r="B24" s="81" t="s">
        <v>709</v>
      </c>
      <c r="C24" s="82">
        <f>4977.65</f>
        <v>4977.6499999999996</v>
      </c>
      <c r="D24" s="83"/>
      <c r="F24" s="32">
        <f t="shared" si="1"/>
        <v>4977.6499999999996</v>
      </c>
    </row>
    <row r="25" spans="1:6" x14ac:dyDescent="0.75">
      <c r="A25" s="85">
        <f t="shared" si="0"/>
        <v>1740</v>
      </c>
      <c r="B25" s="81" t="s">
        <v>710</v>
      </c>
      <c r="C25" s="82">
        <f>0</f>
        <v>0</v>
      </c>
      <c r="D25" s="83"/>
      <c r="F25" s="32">
        <f t="shared" si="1"/>
        <v>0</v>
      </c>
    </row>
    <row r="26" spans="1:6" x14ac:dyDescent="0.75">
      <c r="A26" s="85">
        <f t="shared" si="0"/>
        <v>1745</v>
      </c>
      <c r="B26" s="81" t="s">
        <v>711</v>
      </c>
      <c r="C26" s="82">
        <f>196319.01</f>
        <v>196319.01</v>
      </c>
      <c r="D26" s="83"/>
      <c r="F26" s="32">
        <f t="shared" si="1"/>
        <v>196319.01</v>
      </c>
    </row>
    <row r="27" spans="1:6" x14ac:dyDescent="0.75">
      <c r="A27" s="85">
        <f t="shared" si="0"/>
        <v>1750</v>
      </c>
      <c r="B27" s="81" t="s">
        <v>808</v>
      </c>
      <c r="C27" s="82">
        <f>10394.01</f>
        <v>10394.01</v>
      </c>
      <c r="D27" s="83"/>
      <c r="F27" s="32">
        <f t="shared" si="1"/>
        <v>10394.01</v>
      </c>
    </row>
    <row r="28" spans="1:6" x14ac:dyDescent="0.75">
      <c r="A28" s="85">
        <f t="shared" si="0"/>
        <v>1755</v>
      </c>
      <c r="B28" s="81" t="s">
        <v>712</v>
      </c>
      <c r="C28" s="82">
        <f>787.91</f>
        <v>787.91</v>
      </c>
      <c r="D28" s="83"/>
      <c r="F28" s="32">
        <f t="shared" si="1"/>
        <v>787.91</v>
      </c>
    </row>
    <row r="29" spans="1:6" x14ac:dyDescent="0.75">
      <c r="A29" s="85">
        <f t="shared" si="0"/>
        <v>1760</v>
      </c>
      <c r="B29" s="81" t="s">
        <v>713</v>
      </c>
      <c r="C29" s="82">
        <f>20105.95</f>
        <v>20105.95</v>
      </c>
      <c r="D29" s="83"/>
      <c r="F29" s="32">
        <f t="shared" si="1"/>
        <v>20105.95</v>
      </c>
    </row>
    <row r="30" spans="1:6" x14ac:dyDescent="0.75">
      <c r="A30" s="85">
        <f t="shared" si="0"/>
        <v>1765</v>
      </c>
      <c r="B30" s="81" t="s">
        <v>714</v>
      </c>
      <c r="C30" s="82">
        <f>1015.31</f>
        <v>1015.31</v>
      </c>
      <c r="D30" s="83"/>
      <c r="F30" s="32">
        <f t="shared" si="1"/>
        <v>1015.31</v>
      </c>
    </row>
    <row r="31" spans="1:6" x14ac:dyDescent="0.75">
      <c r="A31" s="85">
        <f t="shared" si="0"/>
        <v>1781</v>
      </c>
      <c r="B31" s="81" t="s">
        <v>809</v>
      </c>
      <c r="C31" s="83"/>
      <c r="D31" s="82">
        <f>38155.72</f>
        <v>38155.72</v>
      </c>
      <c r="F31" s="32">
        <f t="shared" si="1"/>
        <v>-38155.72</v>
      </c>
    </row>
    <row r="32" spans="1:6" x14ac:dyDescent="0.75">
      <c r="A32" s="85">
        <f t="shared" si="0"/>
        <v>1782</v>
      </c>
      <c r="B32" s="81" t="s">
        <v>715</v>
      </c>
      <c r="C32" s="82">
        <f>0</f>
        <v>0</v>
      </c>
      <c r="D32" s="83"/>
      <c r="F32" s="32">
        <f t="shared" si="1"/>
        <v>0</v>
      </c>
    </row>
    <row r="33" spans="1:6" x14ac:dyDescent="0.75">
      <c r="A33" s="85">
        <f t="shared" si="0"/>
        <v>1783</v>
      </c>
      <c r="B33" s="81" t="s">
        <v>716</v>
      </c>
      <c r="C33" s="83"/>
      <c r="D33" s="82">
        <f>656.26</f>
        <v>656.26</v>
      </c>
      <c r="F33" s="32">
        <f t="shared" si="1"/>
        <v>-656.26</v>
      </c>
    </row>
    <row r="34" spans="1:6" x14ac:dyDescent="0.75">
      <c r="A34" s="85">
        <f t="shared" si="0"/>
        <v>1784</v>
      </c>
      <c r="B34" s="81" t="s">
        <v>850</v>
      </c>
      <c r="C34" s="83"/>
      <c r="D34" s="82">
        <f>314.46</f>
        <v>314.45999999999998</v>
      </c>
      <c r="F34" s="32">
        <f t="shared" si="1"/>
        <v>-314.45999999999998</v>
      </c>
    </row>
    <row r="35" spans="1:6" x14ac:dyDescent="0.75">
      <c r="A35" s="85">
        <f t="shared" si="0"/>
        <v>1785</v>
      </c>
      <c r="B35" s="81" t="s">
        <v>717</v>
      </c>
      <c r="C35" s="83"/>
      <c r="D35" s="82">
        <f>3936.01</f>
        <v>3936.01</v>
      </c>
      <c r="F35" s="32">
        <f t="shared" si="1"/>
        <v>-3936.01</v>
      </c>
    </row>
    <row r="36" spans="1:6" x14ac:dyDescent="0.75">
      <c r="A36" s="85">
        <f t="shared" si="0"/>
        <v>1786</v>
      </c>
      <c r="B36" s="81" t="s">
        <v>718</v>
      </c>
      <c r="C36" s="82">
        <f>0</f>
        <v>0</v>
      </c>
      <c r="D36" s="83"/>
      <c r="F36" s="32">
        <f t="shared" si="1"/>
        <v>0</v>
      </c>
    </row>
    <row r="37" spans="1:6" x14ac:dyDescent="0.75">
      <c r="A37" s="85">
        <f t="shared" si="0"/>
        <v>1787</v>
      </c>
      <c r="B37" s="81" t="s">
        <v>719</v>
      </c>
      <c r="C37" s="83"/>
      <c r="D37" s="82">
        <f>162932.71</f>
        <v>162932.71</v>
      </c>
      <c r="F37" s="32">
        <f t="shared" si="1"/>
        <v>-162932.71</v>
      </c>
    </row>
    <row r="38" spans="1:6" x14ac:dyDescent="0.75">
      <c r="A38" s="85">
        <f t="shared" si="0"/>
        <v>1788</v>
      </c>
      <c r="B38" s="81" t="s">
        <v>810</v>
      </c>
      <c r="C38" s="83"/>
      <c r="D38" s="82">
        <f>10394.01</f>
        <v>10394.01</v>
      </c>
      <c r="F38" s="32">
        <f t="shared" si="1"/>
        <v>-10394.01</v>
      </c>
    </row>
    <row r="39" spans="1:6" x14ac:dyDescent="0.75">
      <c r="A39" s="85">
        <f t="shared" si="0"/>
        <v>1789</v>
      </c>
      <c r="B39" s="81" t="s">
        <v>720</v>
      </c>
      <c r="C39" s="83"/>
      <c r="D39" s="82">
        <f>787.91</f>
        <v>787.91</v>
      </c>
      <c r="F39" s="32">
        <f t="shared" si="1"/>
        <v>-787.91</v>
      </c>
    </row>
    <row r="40" spans="1:6" x14ac:dyDescent="0.75">
      <c r="A40" s="85">
        <f t="shared" si="0"/>
        <v>1790</v>
      </c>
      <c r="B40" s="81" t="s">
        <v>721</v>
      </c>
      <c r="C40" s="83"/>
      <c r="D40" s="82">
        <f>1015.31</f>
        <v>1015.31</v>
      </c>
      <c r="F40" s="32">
        <f t="shared" si="1"/>
        <v>-1015.31</v>
      </c>
    </row>
    <row r="41" spans="1:6" x14ac:dyDescent="0.75">
      <c r="A41" s="85">
        <f t="shared" si="0"/>
        <v>1791</v>
      </c>
      <c r="B41" s="81" t="s">
        <v>722</v>
      </c>
      <c r="C41" s="83"/>
      <c r="D41" s="82">
        <f>19634.76</f>
        <v>19634.759999999998</v>
      </c>
      <c r="F41" s="32">
        <f t="shared" si="1"/>
        <v>-19634.759999999998</v>
      </c>
    </row>
    <row r="42" spans="1:6" x14ac:dyDescent="0.75">
      <c r="A42" s="85">
        <f t="shared" si="0"/>
        <v>1810</v>
      </c>
      <c r="B42" s="81" t="s">
        <v>957</v>
      </c>
      <c r="C42" s="82">
        <f>68003</f>
        <v>68003</v>
      </c>
      <c r="D42" s="83"/>
      <c r="F42" s="32">
        <f t="shared" si="1"/>
        <v>68003</v>
      </c>
    </row>
    <row r="43" spans="1:6" x14ac:dyDescent="0.75">
      <c r="A43" s="85">
        <f t="shared" si="0"/>
        <v>1820</v>
      </c>
      <c r="B43" s="81" t="s">
        <v>229</v>
      </c>
      <c r="C43" s="82">
        <f>0</f>
        <v>0</v>
      </c>
      <c r="D43" s="83"/>
      <c r="F43" s="32">
        <f t="shared" si="1"/>
        <v>0</v>
      </c>
    </row>
    <row r="44" spans="1:6" x14ac:dyDescent="0.75">
      <c r="A44" s="85">
        <f t="shared" si="0"/>
        <v>1830</v>
      </c>
      <c r="B44" s="81" t="s">
        <v>723</v>
      </c>
      <c r="C44" s="82">
        <f>0</f>
        <v>0</v>
      </c>
      <c r="D44" s="83"/>
      <c r="F44" s="32">
        <f t="shared" si="1"/>
        <v>0</v>
      </c>
    </row>
    <row r="45" spans="1:6" x14ac:dyDescent="0.75">
      <c r="A45" s="85">
        <f t="shared" si="0"/>
        <v>1840</v>
      </c>
      <c r="B45" s="81" t="s">
        <v>811</v>
      </c>
      <c r="C45" s="82">
        <f>0</f>
        <v>0</v>
      </c>
      <c r="D45" s="83"/>
      <c r="F45" s="32">
        <f t="shared" si="1"/>
        <v>0</v>
      </c>
    </row>
    <row r="46" spans="1:6" x14ac:dyDescent="0.75">
      <c r="A46" s="85">
        <f t="shared" si="0"/>
        <v>1900</v>
      </c>
      <c r="B46" s="81" t="s">
        <v>233</v>
      </c>
      <c r="C46" s="82">
        <f>5980</f>
        <v>5980</v>
      </c>
      <c r="D46" s="83"/>
      <c r="F46" s="32">
        <f t="shared" si="1"/>
        <v>5980</v>
      </c>
    </row>
    <row r="47" spans="1:6" x14ac:dyDescent="0.75">
      <c r="A47" s="85">
        <f t="shared" si="0"/>
        <v>1902</v>
      </c>
      <c r="B47" s="81" t="s">
        <v>812</v>
      </c>
      <c r="C47" s="82">
        <f>3245</f>
        <v>3245</v>
      </c>
      <c r="D47" s="83"/>
      <c r="F47" s="32">
        <f t="shared" si="1"/>
        <v>3245</v>
      </c>
    </row>
    <row r="48" spans="1:6" x14ac:dyDescent="0.75">
      <c r="A48" s="85">
        <f t="shared" si="0"/>
        <v>1904</v>
      </c>
      <c r="B48" s="81" t="s">
        <v>724</v>
      </c>
      <c r="C48" s="82">
        <f>0</f>
        <v>0</v>
      </c>
      <c r="D48" s="83"/>
      <c r="F48" s="32">
        <f t="shared" si="1"/>
        <v>0</v>
      </c>
    </row>
    <row r="49" spans="1:6" x14ac:dyDescent="0.75">
      <c r="A49" s="85">
        <f t="shared" si="0"/>
        <v>1906</v>
      </c>
      <c r="B49" s="81" t="s">
        <v>725</v>
      </c>
      <c r="C49" s="82">
        <f>0</f>
        <v>0</v>
      </c>
      <c r="D49" s="83"/>
      <c r="F49" s="32">
        <f t="shared" si="1"/>
        <v>0</v>
      </c>
    </row>
    <row r="50" spans="1:6" x14ac:dyDescent="0.75">
      <c r="A50" s="85">
        <f t="shared" si="0"/>
        <v>1908</v>
      </c>
      <c r="B50" s="81" t="s">
        <v>241</v>
      </c>
      <c r="C50" s="82">
        <f>0</f>
        <v>0</v>
      </c>
      <c r="D50" s="83"/>
      <c r="F50" s="32">
        <f t="shared" si="1"/>
        <v>0</v>
      </c>
    </row>
    <row r="51" spans="1:6" x14ac:dyDescent="0.75">
      <c r="A51" s="85">
        <f t="shared" si="0"/>
        <v>1910</v>
      </c>
      <c r="B51" s="81" t="s">
        <v>726</v>
      </c>
      <c r="C51" s="82">
        <f>2500</f>
        <v>2500</v>
      </c>
      <c r="D51" s="83"/>
      <c r="F51" s="32">
        <f t="shared" si="1"/>
        <v>2500</v>
      </c>
    </row>
    <row r="52" spans="1:6" x14ac:dyDescent="0.75">
      <c r="A52" s="85">
        <f t="shared" si="0"/>
        <v>1912</v>
      </c>
      <c r="B52" s="81" t="s">
        <v>727</v>
      </c>
      <c r="C52" s="82">
        <f>0</f>
        <v>0</v>
      </c>
      <c r="D52" s="83"/>
      <c r="F52" s="32">
        <f t="shared" si="1"/>
        <v>0</v>
      </c>
    </row>
    <row r="53" spans="1:6" x14ac:dyDescent="0.75">
      <c r="A53" s="85">
        <f t="shared" si="0"/>
        <v>1914</v>
      </c>
      <c r="B53" s="81" t="s">
        <v>247</v>
      </c>
      <c r="C53" s="82">
        <f>0</f>
        <v>0</v>
      </c>
      <c r="D53" s="83"/>
      <c r="F53" s="32">
        <f t="shared" si="1"/>
        <v>0</v>
      </c>
    </row>
    <row r="54" spans="1:6" x14ac:dyDescent="0.75">
      <c r="A54" s="85">
        <f t="shared" si="0"/>
        <v>1916</v>
      </c>
      <c r="B54" s="81" t="s">
        <v>728</v>
      </c>
      <c r="C54" s="82">
        <f>0</f>
        <v>0</v>
      </c>
      <c r="D54" s="83"/>
      <c r="F54" s="32">
        <f t="shared" si="1"/>
        <v>0</v>
      </c>
    </row>
    <row r="55" spans="1:6" x14ac:dyDescent="0.75">
      <c r="A55" s="85">
        <f t="shared" si="0"/>
        <v>1918</v>
      </c>
      <c r="B55" s="81" t="s">
        <v>729</v>
      </c>
      <c r="C55" s="82">
        <f>0</f>
        <v>0</v>
      </c>
      <c r="D55" s="83"/>
      <c r="F55" s="32">
        <f t="shared" si="1"/>
        <v>0</v>
      </c>
    </row>
    <row r="56" spans="1:6" x14ac:dyDescent="0.75">
      <c r="A56" s="85">
        <f t="shared" si="0"/>
        <v>1920</v>
      </c>
      <c r="B56" s="81" t="s">
        <v>730</v>
      </c>
      <c r="C56" s="82">
        <f>0</f>
        <v>0</v>
      </c>
      <c r="D56" s="83"/>
      <c r="F56" s="32">
        <f t="shared" si="1"/>
        <v>0</v>
      </c>
    </row>
    <row r="57" spans="1:6" x14ac:dyDescent="0.75">
      <c r="A57" s="85">
        <f t="shared" si="0"/>
        <v>1922</v>
      </c>
      <c r="B57" s="81" t="s">
        <v>731</v>
      </c>
      <c r="C57" s="82">
        <f>0</f>
        <v>0</v>
      </c>
      <c r="D57" s="83"/>
      <c r="F57" s="32">
        <f t="shared" si="1"/>
        <v>0</v>
      </c>
    </row>
    <row r="58" spans="1:6" x14ac:dyDescent="0.75">
      <c r="A58" s="85">
        <f t="shared" si="0"/>
        <v>1924</v>
      </c>
      <c r="B58" s="81" t="s">
        <v>732</v>
      </c>
      <c r="C58" s="82">
        <f>16253.59</f>
        <v>16253.59</v>
      </c>
      <c r="D58" s="83"/>
      <c r="F58" s="32">
        <f t="shared" si="1"/>
        <v>16253.59</v>
      </c>
    </row>
    <row r="59" spans="1:6" x14ac:dyDescent="0.75">
      <c r="A59" s="85">
        <f t="shared" si="0"/>
        <v>1926</v>
      </c>
      <c r="B59" s="81" t="s">
        <v>733</v>
      </c>
      <c r="C59" s="82">
        <f>0</f>
        <v>0</v>
      </c>
      <c r="D59" s="83"/>
      <c r="F59" s="32">
        <f t="shared" si="1"/>
        <v>0</v>
      </c>
    </row>
    <row r="60" spans="1:6" x14ac:dyDescent="0.75">
      <c r="A60" s="85">
        <f t="shared" si="0"/>
        <v>1928</v>
      </c>
      <c r="B60" s="81" t="s">
        <v>734</v>
      </c>
      <c r="C60" s="82">
        <f>43132.88</f>
        <v>43132.88</v>
      </c>
      <c r="D60" s="83"/>
      <c r="F60" s="32">
        <f t="shared" si="1"/>
        <v>43132.88</v>
      </c>
    </row>
    <row r="61" spans="1:6" x14ac:dyDescent="0.75">
      <c r="A61" s="85">
        <f t="shared" si="0"/>
        <v>1930</v>
      </c>
      <c r="B61" s="81" t="s">
        <v>735</v>
      </c>
      <c r="C61" s="82">
        <f>0</f>
        <v>0</v>
      </c>
      <c r="D61" s="83"/>
      <c r="F61" s="32">
        <f t="shared" si="1"/>
        <v>0</v>
      </c>
    </row>
    <row r="62" spans="1:6" x14ac:dyDescent="0.75">
      <c r="A62" s="85">
        <f t="shared" si="0"/>
        <v>1950</v>
      </c>
      <c r="B62" s="81" t="s">
        <v>930</v>
      </c>
      <c r="C62" s="83"/>
      <c r="D62" s="82">
        <f>39740.55</f>
        <v>39740.550000000003</v>
      </c>
      <c r="F62" s="32">
        <f t="shared" si="1"/>
        <v>-39740.550000000003</v>
      </c>
    </row>
    <row r="63" spans="1:6" x14ac:dyDescent="0.75">
      <c r="A63" s="85">
        <f t="shared" si="0"/>
        <v>1932</v>
      </c>
      <c r="B63" s="81" t="s">
        <v>736</v>
      </c>
      <c r="C63" s="82">
        <f>0</f>
        <v>0</v>
      </c>
      <c r="D63" s="83"/>
      <c r="F63" s="32">
        <f t="shared" si="1"/>
        <v>0</v>
      </c>
    </row>
    <row r="64" spans="1:6" x14ac:dyDescent="0.75">
      <c r="A64" s="85">
        <f t="shared" si="0"/>
        <v>1960</v>
      </c>
      <c r="B64" s="81" t="s">
        <v>737</v>
      </c>
      <c r="C64" s="82">
        <f>0</f>
        <v>0</v>
      </c>
      <c r="D64" s="83"/>
      <c r="F64" s="32">
        <f t="shared" si="1"/>
        <v>0</v>
      </c>
    </row>
    <row r="65" spans="1:6" x14ac:dyDescent="0.75">
      <c r="A65" s="85">
        <f t="shared" si="0"/>
        <v>1980</v>
      </c>
      <c r="B65" s="81" t="s">
        <v>738</v>
      </c>
      <c r="C65" s="82">
        <f>0</f>
        <v>0</v>
      </c>
      <c r="D65" s="83"/>
      <c r="F65" s="32">
        <f t="shared" si="1"/>
        <v>0</v>
      </c>
    </row>
    <row r="66" spans="1:6" x14ac:dyDescent="0.75">
      <c r="A66" s="85">
        <f t="shared" si="0"/>
        <v>2000</v>
      </c>
      <c r="B66" s="81" t="s">
        <v>251</v>
      </c>
      <c r="C66" s="83"/>
      <c r="D66" s="82">
        <f>79293.73</f>
        <v>79293.73</v>
      </c>
      <c r="F66" s="32">
        <f t="shared" si="1"/>
        <v>-79293.73</v>
      </c>
    </row>
    <row r="67" spans="1:6" x14ac:dyDescent="0.75">
      <c r="A67" s="85">
        <f t="shared" si="0"/>
        <v>2101</v>
      </c>
      <c r="B67" s="81" t="s">
        <v>739</v>
      </c>
      <c r="C67" s="83"/>
      <c r="D67" s="82">
        <f>1622.42</f>
        <v>1622.42</v>
      </c>
      <c r="F67" s="32">
        <f t="shared" si="1"/>
        <v>-1622.42</v>
      </c>
    </row>
    <row r="68" spans="1:6" x14ac:dyDescent="0.75">
      <c r="A68" s="85">
        <f t="shared" si="0"/>
        <v>2102</v>
      </c>
      <c r="B68" s="81" t="s">
        <v>740</v>
      </c>
      <c r="C68" s="83"/>
      <c r="D68" s="82">
        <f>13298.98</f>
        <v>13298.98</v>
      </c>
      <c r="F68" s="32">
        <f t="shared" si="1"/>
        <v>-13298.98</v>
      </c>
    </row>
    <row r="69" spans="1:6" x14ac:dyDescent="0.75">
      <c r="A69" s="85">
        <f t="shared" si="0"/>
        <v>2103</v>
      </c>
      <c r="B69" s="81" t="s">
        <v>813</v>
      </c>
      <c r="C69" s="83"/>
      <c r="D69" s="82">
        <f>8469.4</f>
        <v>8469.4</v>
      </c>
      <c r="F69" s="32">
        <f t="shared" si="1"/>
        <v>-8469.4</v>
      </c>
    </row>
    <row r="70" spans="1:6" x14ac:dyDescent="0.75">
      <c r="A70" s="85">
        <f t="shared" ref="A70:A133" si="2">VALUE(LEFT(B70,4))</f>
        <v>2104</v>
      </c>
      <c r="B70" s="81" t="s">
        <v>741</v>
      </c>
      <c r="C70" s="83"/>
      <c r="D70" s="82">
        <f>8751.2</f>
        <v>8751.2000000000007</v>
      </c>
      <c r="F70" s="32">
        <f t="shared" si="1"/>
        <v>-8751.2000000000007</v>
      </c>
    </row>
    <row r="71" spans="1:6" x14ac:dyDescent="0.75">
      <c r="A71" s="85">
        <f t="shared" si="2"/>
        <v>2105</v>
      </c>
      <c r="B71" s="81" t="s">
        <v>814</v>
      </c>
      <c r="C71" s="83"/>
      <c r="D71" s="82">
        <f>0</f>
        <v>0</v>
      </c>
      <c r="F71" s="32">
        <f t="shared" ref="F71:F134" si="3">C71-D71</f>
        <v>0</v>
      </c>
    </row>
    <row r="72" spans="1:6" x14ac:dyDescent="0.75">
      <c r="A72" s="85">
        <f t="shared" si="2"/>
        <v>2010</v>
      </c>
      <c r="B72" s="81" t="s">
        <v>277</v>
      </c>
      <c r="C72" s="83"/>
      <c r="D72" s="82">
        <f>0</f>
        <v>0</v>
      </c>
      <c r="F72" s="32">
        <f t="shared" si="3"/>
        <v>0</v>
      </c>
    </row>
    <row r="73" spans="1:6" x14ac:dyDescent="0.75">
      <c r="A73" s="85">
        <f t="shared" si="2"/>
        <v>2020</v>
      </c>
      <c r="B73" s="81" t="s">
        <v>742</v>
      </c>
      <c r="C73" s="83"/>
      <c r="D73" s="82">
        <f>0</f>
        <v>0</v>
      </c>
      <c r="F73" s="32">
        <f t="shared" si="3"/>
        <v>0</v>
      </c>
    </row>
    <row r="74" spans="1:6" x14ac:dyDescent="0.75">
      <c r="A74" s="85">
        <f t="shared" si="2"/>
        <v>2106</v>
      </c>
      <c r="B74" s="81" t="s">
        <v>743</v>
      </c>
      <c r="C74" s="83"/>
      <c r="D74" s="82">
        <f>7460.33</f>
        <v>7460.33</v>
      </c>
      <c r="F74" s="32">
        <f t="shared" si="3"/>
        <v>-7460.33</v>
      </c>
    </row>
    <row r="75" spans="1:6" x14ac:dyDescent="0.75">
      <c r="A75" s="85">
        <f t="shared" si="2"/>
        <v>2210</v>
      </c>
      <c r="B75" s="81" t="s">
        <v>744</v>
      </c>
      <c r="C75" s="83"/>
      <c r="D75" s="82">
        <f>619007.76</f>
        <v>619007.76</v>
      </c>
      <c r="F75" s="32">
        <f t="shared" si="3"/>
        <v>-619007.76</v>
      </c>
    </row>
    <row r="76" spans="1:6" x14ac:dyDescent="0.75">
      <c r="A76" s="85">
        <f t="shared" si="2"/>
        <v>2231</v>
      </c>
      <c r="B76" s="81" t="s">
        <v>745</v>
      </c>
      <c r="C76" s="83"/>
      <c r="D76" s="82">
        <f>0</f>
        <v>0</v>
      </c>
      <c r="F76" s="32">
        <f t="shared" si="3"/>
        <v>0</v>
      </c>
    </row>
    <row r="77" spans="1:6" x14ac:dyDescent="0.75">
      <c r="A77" s="85">
        <f t="shared" si="2"/>
        <v>2232</v>
      </c>
      <c r="B77" s="81" t="s">
        <v>746</v>
      </c>
      <c r="C77" s="83"/>
      <c r="D77" s="82">
        <f>0</f>
        <v>0</v>
      </c>
      <c r="F77" s="32">
        <f t="shared" si="3"/>
        <v>0</v>
      </c>
    </row>
    <row r="78" spans="1:6" x14ac:dyDescent="0.75">
      <c r="A78" s="85">
        <f t="shared" si="2"/>
        <v>2233</v>
      </c>
      <c r="B78" s="81" t="s">
        <v>747</v>
      </c>
      <c r="C78" s="83"/>
      <c r="D78" s="82">
        <f>0</f>
        <v>0</v>
      </c>
      <c r="F78" s="32">
        <f t="shared" si="3"/>
        <v>0</v>
      </c>
    </row>
    <row r="79" spans="1:6" x14ac:dyDescent="0.75">
      <c r="A79" s="85">
        <f t="shared" si="2"/>
        <v>2235</v>
      </c>
      <c r="B79" s="81" t="s">
        <v>748</v>
      </c>
      <c r="C79" s="83"/>
      <c r="D79" s="82">
        <f>0</f>
        <v>0</v>
      </c>
      <c r="F79" s="32">
        <f t="shared" si="3"/>
        <v>0</v>
      </c>
    </row>
    <row r="80" spans="1:6" x14ac:dyDescent="0.75">
      <c r="A80" s="85">
        <f t="shared" si="2"/>
        <v>2236</v>
      </c>
      <c r="B80" s="81" t="s">
        <v>749</v>
      </c>
      <c r="C80" s="83"/>
      <c r="D80" s="82">
        <f>0</f>
        <v>0</v>
      </c>
      <c r="F80" s="32">
        <f t="shared" si="3"/>
        <v>0</v>
      </c>
    </row>
    <row r="81" spans="1:6" x14ac:dyDescent="0.75">
      <c r="A81" s="85">
        <f t="shared" si="2"/>
        <v>2250</v>
      </c>
      <c r="B81" s="81" t="s">
        <v>750</v>
      </c>
      <c r="C81" s="83"/>
      <c r="D81" s="82">
        <f>0</f>
        <v>0</v>
      </c>
      <c r="F81" s="32">
        <f t="shared" si="3"/>
        <v>0</v>
      </c>
    </row>
    <row r="82" spans="1:6" x14ac:dyDescent="0.75">
      <c r="A82" s="85">
        <f t="shared" si="2"/>
        <v>2270</v>
      </c>
      <c r="B82" s="81" t="s">
        <v>751</v>
      </c>
      <c r="C82" s="83"/>
      <c r="D82" s="82">
        <f>0</f>
        <v>0</v>
      </c>
      <c r="F82" s="32">
        <f t="shared" si="3"/>
        <v>0</v>
      </c>
    </row>
    <row r="83" spans="1:6" x14ac:dyDescent="0.75">
      <c r="A83" s="85">
        <f t="shared" si="2"/>
        <v>2280</v>
      </c>
      <c r="B83" s="81" t="s">
        <v>752</v>
      </c>
      <c r="C83" s="83"/>
      <c r="D83" s="82">
        <f>0</f>
        <v>0</v>
      </c>
      <c r="F83" s="32">
        <f t="shared" si="3"/>
        <v>0</v>
      </c>
    </row>
    <row r="84" spans="1:6" x14ac:dyDescent="0.75">
      <c r="A84" s="85">
        <f t="shared" si="2"/>
        <v>2285</v>
      </c>
      <c r="B84" s="81" t="s">
        <v>753</v>
      </c>
      <c r="C84" s="83"/>
      <c r="D84" s="82">
        <f>0</f>
        <v>0</v>
      </c>
      <c r="F84" s="32">
        <f t="shared" si="3"/>
        <v>0</v>
      </c>
    </row>
    <row r="85" spans="1:6" x14ac:dyDescent="0.75">
      <c r="A85" s="85">
        <f t="shared" si="2"/>
        <v>2290</v>
      </c>
      <c r="B85" s="81" t="s">
        <v>754</v>
      </c>
      <c r="C85" s="83"/>
      <c r="D85" s="82">
        <f>9740</f>
        <v>9740</v>
      </c>
      <c r="F85" s="32">
        <f t="shared" si="3"/>
        <v>-9740</v>
      </c>
    </row>
    <row r="86" spans="1:6" x14ac:dyDescent="0.75">
      <c r="A86" s="85">
        <f t="shared" si="2"/>
        <v>2305</v>
      </c>
      <c r="B86" s="81" t="s">
        <v>755</v>
      </c>
      <c r="C86" s="83"/>
      <c r="D86" s="82">
        <f>1221957.72</f>
        <v>1221957.72</v>
      </c>
      <c r="F86" s="32">
        <f t="shared" si="3"/>
        <v>-1221957.72</v>
      </c>
    </row>
    <row r="87" spans="1:6" x14ac:dyDescent="0.75">
      <c r="A87" s="85">
        <f t="shared" si="2"/>
        <v>2310</v>
      </c>
      <c r="B87" s="81" t="s">
        <v>756</v>
      </c>
      <c r="C87" s="83"/>
      <c r="D87" s="82">
        <f>0</f>
        <v>0</v>
      </c>
      <c r="F87" s="32">
        <f t="shared" si="3"/>
        <v>0</v>
      </c>
    </row>
    <row r="88" spans="1:6" x14ac:dyDescent="0.75">
      <c r="A88" s="85">
        <f t="shared" si="2"/>
        <v>2320</v>
      </c>
      <c r="B88" s="81" t="s">
        <v>859</v>
      </c>
      <c r="C88" s="83"/>
      <c r="D88" s="82">
        <f>0</f>
        <v>0</v>
      </c>
      <c r="F88" s="32">
        <f t="shared" si="3"/>
        <v>0</v>
      </c>
    </row>
    <row r="89" spans="1:6" x14ac:dyDescent="0.75">
      <c r="A89" s="85">
        <f t="shared" si="2"/>
        <v>2400</v>
      </c>
      <c r="B89" s="81" t="s">
        <v>757</v>
      </c>
      <c r="C89" s="83"/>
      <c r="D89" s="82">
        <f>16066.29</f>
        <v>16066.29</v>
      </c>
      <c r="F89" s="32">
        <f t="shared" si="3"/>
        <v>-16066.29</v>
      </c>
    </row>
    <row r="90" spans="1:6" x14ac:dyDescent="0.75">
      <c r="A90" s="85">
        <f t="shared" si="2"/>
        <v>2405</v>
      </c>
      <c r="B90" s="81" t="s">
        <v>815</v>
      </c>
      <c r="C90" s="83"/>
      <c r="D90" s="82">
        <f>60417.08</f>
        <v>60417.08</v>
      </c>
      <c r="F90" s="32">
        <f t="shared" si="3"/>
        <v>-60417.08</v>
      </c>
    </row>
    <row r="91" spans="1:6" x14ac:dyDescent="0.75">
      <c r="A91" s="85">
        <f t="shared" si="2"/>
        <v>2410</v>
      </c>
      <c r="B91" s="81" t="s">
        <v>758</v>
      </c>
      <c r="C91" s="83"/>
      <c r="D91" s="82">
        <f>0</f>
        <v>0</v>
      </c>
      <c r="F91" s="32">
        <f t="shared" si="3"/>
        <v>0</v>
      </c>
    </row>
    <row r="92" spans="1:6" x14ac:dyDescent="0.75">
      <c r="A92" s="85">
        <f t="shared" si="2"/>
        <v>2415</v>
      </c>
      <c r="B92" s="81" t="s">
        <v>759</v>
      </c>
      <c r="C92" s="83"/>
      <c r="D92" s="82">
        <f>0</f>
        <v>0</v>
      </c>
      <c r="F92" s="32">
        <f t="shared" si="3"/>
        <v>0</v>
      </c>
    </row>
    <row r="93" spans="1:6" x14ac:dyDescent="0.75">
      <c r="A93" s="85">
        <f t="shared" si="2"/>
        <v>2420</v>
      </c>
      <c r="B93" s="81" t="s">
        <v>760</v>
      </c>
      <c r="C93" s="83"/>
      <c r="D93" s="82">
        <f>0</f>
        <v>0</v>
      </c>
      <c r="F93" s="32">
        <f t="shared" si="3"/>
        <v>0</v>
      </c>
    </row>
    <row r="94" spans="1:6" x14ac:dyDescent="0.75">
      <c r="A94" s="85">
        <f t="shared" si="2"/>
        <v>2425</v>
      </c>
      <c r="B94" s="81" t="s">
        <v>761</v>
      </c>
      <c r="C94" s="83"/>
      <c r="D94" s="82">
        <f>0</f>
        <v>0</v>
      </c>
      <c r="F94" s="32">
        <f t="shared" si="3"/>
        <v>0</v>
      </c>
    </row>
    <row r="95" spans="1:6" x14ac:dyDescent="0.75">
      <c r="A95" s="85">
        <f t="shared" si="2"/>
        <v>2430</v>
      </c>
      <c r="B95" s="81" t="s">
        <v>762</v>
      </c>
      <c r="C95" s="83"/>
      <c r="D95" s="82">
        <f>0</f>
        <v>0</v>
      </c>
      <c r="F95" s="32">
        <f t="shared" si="3"/>
        <v>0</v>
      </c>
    </row>
    <row r="96" spans="1:6" x14ac:dyDescent="0.75">
      <c r="A96" s="85">
        <f t="shared" si="2"/>
        <v>2470</v>
      </c>
      <c r="B96" s="81" t="s">
        <v>958</v>
      </c>
      <c r="C96" s="83"/>
      <c r="D96" s="82">
        <f>68003</f>
        <v>68003</v>
      </c>
      <c r="F96" s="32">
        <f t="shared" si="3"/>
        <v>-68003</v>
      </c>
    </row>
    <row r="97" spans="1:6" x14ac:dyDescent="0.75">
      <c r="A97" s="85">
        <f t="shared" si="2"/>
        <v>2705</v>
      </c>
      <c r="B97" s="81" t="s">
        <v>816</v>
      </c>
      <c r="C97" s="83"/>
      <c r="D97" s="82">
        <f>50000</f>
        <v>50000</v>
      </c>
      <c r="F97" s="32">
        <f t="shared" si="3"/>
        <v>-50000</v>
      </c>
    </row>
    <row r="98" spans="1:6" x14ac:dyDescent="0.75">
      <c r="A98" s="85">
        <f t="shared" si="2"/>
        <v>2710</v>
      </c>
      <c r="B98" s="81" t="s">
        <v>817</v>
      </c>
      <c r="C98" s="83"/>
      <c r="D98" s="82">
        <f>15000</f>
        <v>15000</v>
      </c>
      <c r="F98" s="32">
        <f t="shared" si="3"/>
        <v>-15000</v>
      </c>
    </row>
    <row r="99" spans="1:6" x14ac:dyDescent="0.75">
      <c r="A99" s="85">
        <f t="shared" si="2"/>
        <v>2715</v>
      </c>
      <c r="B99" s="81" t="s">
        <v>818</v>
      </c>
      <c r="C99" s="83"/>
      <c r="D99" s="82">
        <f>25000</f>
        <v>25000</v>
      </c>
      <c r="F99" s="32">
        <f t="shared" si="3"/>
        <v>-25000</v>
      </c>
    </row>
    <row r="100" spans="1:6" x14ac:dyDescent="0.75">
      <c r="A100" s="85">
        <f t="shared" si="2"/>
        <v>2720</v>
      </c>
      <c r="B100" s="81" t="s">
        <v>819</v>
      </c>
      <c r="C100" s="83"/>
      <c r="D100" s="82">
        <f>50000</f>
        <v>50000</v>
      </c>
      <c r="F100" s="32">
        <f t="shared" si="3"/>
        <v>-50000</v>
      </c>
    </row>
    <row r="101" spans="1:6" x14ac:dyDescent="0.75">
      <c r="A101" s="85">
        <f t="shared" si="2"/>
        <v>2725</v>
      </c>
      <c r="B101" s="81" t="s">
        <v>820</v>
      </c>
      <c r="C101" s="83"/>
      <c r="D101" s="82">
        <f>60000</f>
        <v>60000</v>
      </c>
      <c r="F101" s="32">
        <f t="shared" si="3"/>
        <v>-60000</v>
      </c>
    </row>
    <row r="102" spans="1:6" x14ac:dyDescent="0.75">
      <c r="A102" s="85">
        <f t="shared" si="2"/>
        <v>2730</v>
      </c>
      <c r="B102" s="81" t="s">
        <v>821</v>
      </c>
      <c r="C102" s="83"/>
      <c r="D102" s="82">
        <f>100000</f>
        <v>100000</v>
      </c>
      <c r="F102" s="32">
        <f t="shared" si="3"/>
        <v>-100000</v>
      </c>
    </row>
    <row r="103" spans="1:6" x14ac:dyDescent="0.75">
      <c r="A103" s="85">
        <f t="shared" si="2"/>
        <v>2735</v>
      </c>
      <c r="B103" s="81" t="s">
        <v>822</v>
      </c>
      <c r="C103" s="83"/>
      <c r="D103" s="82">
        <f>150000</f>
        <v>150000</v>
      </c>
      <c r="F103" s="32">
        <f t="shared" si="3"/>
        <v>-150000</v>
      </c>
    </row>
    <row r="104" spans="1:6" x14ac:dyDescent="0.75">
      <c r="A104" s="85">
        <f t="shared" si="2"/>
        <v>2740</v>
      </c>
      <c r="B104" s="81" t="s">
        <v>823</v>
      </c>
      <c r="C104" s="83"/>
      <c r="D104" s="82">
        <f>40000</f>
        <v>40000</v>
      </c>
      <c r="F104" s="32">
        <f t="shared" si="3"/>
        <v>-40000</v>
      </c>
    </row>
    <row r="105" spans="1:6" x14ac:dyDescent="0.75">
      <c r="A105" s="85">
        <f t="shared" si="2"/>
        <v>2745</v>
      </c>
      <c r="B105" s="81" t="s">
        <v>940</v>
      </c>
      <c r="C105" s="83"/>
      <c r="D105" s="82">
        <f>91777.39</f>
        <v>91777.39</v>
      </c>
      <c r="F105" s="32">
        <f t="shared" si="3"/>
        <v>-91777.39</v>
      </c>
    </row>
    <row r="106" spans="1:6" x14ac:dyDescent="0.75">
      <c r="A106" s="85">
        <f t="shared" si="2"/>
        <v>2750</v>
      </c>
      <c r="B106" s="81" t="s">
        <v>824</v>
      </c>
      <c r="C106" s="83"/>
      <c r="D106" s="82">
        <f>50000</f>
        <v>50000</v>
      </c>
      <c r="F106" s="32">
        <f t="shared" si="3"/>
        <v>-50000</v>
      </c>
    </row>
    <row r="107" spans="1:6" x14ac:dyDescent="0.75">
      <c r="A107" s="85">
        <f t="shared" si="2"/>
        <v>2755</v>
      </c>
      <c r="B107" s="81" t="s">
        <v>825</v>
      </c>
      <c r="C107" s="83"/>
      <c r="D107" s="82">
        <f>25000</f>
        <v>25000</v>
      </c>
      <c r="F107" s="32">
        <f t="shared" si="3"/>
        <v>-25000</v>
      </c>
    </row>
    <row r="108" spans="1:6" x14ac:dyDescent="0.75">
      <c r="A108" s="85">
        <f t="shared" si="2"/>
        <v>2760</v>
      </c>
      <c r="B108" s="81" t="s">
        <v>826</v>
      </c>
      <c r="C108" s="83"/>
      <c r="D108" s="82">
        <f>170000</f>
        <v>170000</v>
      </c>
      <c r="F108" s="32">
        <f t="shared" si="3"/>
        <v>-170000</v>
      </c>
    </row>
    <row r="109" spans="1:6" x14ac:dyDescent="0.75">
      <c r="A109" s="85">
        <f t="shared" si="2"/>
        <v>2765</v>
      </c>
      <c r="B109" s="81" t="s">
        <v>827</v>
      </c>
      <c r="C109" s="83"/>
      <c r="D109" s="82">
        <f>50000</f>
        <v>50000</v>
      </c>
      <c r="F109" s="32">
        <f t="shared" si="3"/>
        <v>-50000</v>
      </c>
    </row>
    <row r="110" spans="1:6" x14ac:dyDescent="0.75">
      <c r="A110" s="85">
        <f t="shared" si="2"/>
        <v>2770</v>
      </c>
      <c r="B110" s="81" t="s">
        <v>828</v>
      </c>
      <c r="C110" s="83"/>
      <c r="D110" s="82">
        <f>2500</f>
        <v>2500</v>
      </c>
      <c r="F110" s="32">
        <f t="shared" si="3"/>
        <v>-2500</v>
      </c>
    </row>
    <row r="111" spans="1:6" x14ac:dyDescent="0.75">
      <c r="A111" s="85">
        <f t="shared" si="2"/>
        <v>2775</v>
      </c>
      <c r="B111" s="81" t="s">
        <v>829</v>
      </c>
      <c r="C111" s="83"/>
      <c r="D111" s="82">
        <f>50000</f>
        <v>50000</v>
      </c>
      <c r="F111" s="32">
        <f t="shared" si="3"/>
        <v>-50000</v>
      </c>
    </row>
    <row r="112" spans="1:6" x14ac:dyDescent="0.75">
      <c r="A112" s="85">
        <f t="shared" si="2"/>
        <v>2780</v>
      </c>
      <c r="B112" s="81" t="s">
        <v>830</v>
      </c>
      <c r="C112" s="83"/>
      <c r="D112" s="82">
        <f>25000</f>
        <v>25000</v>
      </c>
      <c r="F112" s="32">
        <f t="shared" si="3"/>
        <v>-25000</v>
      </c>
    </row>
    <row r="113" spans="1:6" x14ac:dyDescent="0.75">
      <c r="A113" s="85">
        <f t="shared" si="2"/>
        <v>2785</v>
      </c>
      <c r="B113" s="81" t="s">
        <v>947</v>
      </c>
      <c r="C113" s="83"/>
      <c r="D113" s="82">
        <f>0</f>
        <v>0</v>
      </c>
      <c r="F113" s="32">
        <f t="shared" si="3"/>
        <v>0</v>
      </c>
    </row>
    <row r="114" spans="1:6" x14ac:dyDescent="0.75">
      <c r="A114" s="85">
        <f t="shared" si="2"/>
        <v>2790</v>
      </c>
      <c r="B114" s="81" t="s">
        <v>943</v>
      </c>
      <c r="C114" s="82">
        <f>382772</f>
        <v>382772</v>
      </c>
      <c r="D114" s="83"/>
      <c r="F114" s="32">
        <f t="shared" si="3"/>
        <v>382772</v>
      </c>
    </row>
    <row r="115" spans="1:6" x14ac:dyDescent="0.75">
      <c r="A115" s="85">
        <f t="shared" si="2"/>
        <v>3000</v>
      </c>
      <c r="B115" s="81" t="s">
        <v>307</v>
      </c>
      <c r="C115" s="83"/>
      <c r="D115" s="82">
        <f>46184.14</f>
        <v>46184.14</v>
      </c>
      <c r="F115" s="32">
        <f t="shared" si="3"/>
        <v>-46184.14</v>
      </c>
    </row>
    <row r="116" spans="1:6" x14ac:dyDescent="0.75">
      <c r="A116" s="85">
        <f t="shared" si="2"/>
        <v>3100</v>
      </c>
      <c r="B116" s="81" t="s">
        <v>308</v>
      </c>
      <c r="C116" s="83"/>
      <c r="D116" s="82">
        <f>7367556.69</f>
        <v>7367556.6900000004</v>
      </c>
      <c r="F116" s="32">
        <f t="shared" si="3"/>
        <v>-7367556.6900000004</v>
      </c>
    </row>
    <row r="117" spans="1:6" x14ac:dyDescent="0.75">
      <c r="A117" s="85">
        <f t="shared" si="2"/>
        <v>3200</v>
      </c>
      <c r="B117" s="81" t="s">
        <v>309</v>
      </c>
      <c r="C117" s="83"/>
      <c r="D117" s="82">
        <f>0</f>
        <v>0</v>
      </c>
      <c r="F117" s="32">
        <f t="shared" si="3"/>
        <v>0</v>
      </c>
    </row>
    <row r="118" spans="1:6" x14ac:dyDescent="0.75">
      <c r="A118" s="85">
        <f t="shared" si="2"/>
        <v>3300</v>
      </c>
      <c r="B118" s="81" t="s">
        <v>763</v>
      </c>
      <c r="C118" s="83"/>
      <c r="D118" s="82">
        <f>0</f>
        <v>0</v>
      </c>
      <c r="F118" s="32">
        <f t="shared" si="3"/>
        <v>0</v>
      </c>
    </row>
    <row r="119" spans="1:6" x14ac:dyDescent="0.75">
      <c r="A119" s="85">
        <f t="shared" si="2"/>
        <v>3400</v>
      </c>
      <c r="B119" s="81" t="s">
        <v>764</v>
      </c>
      <c r="C119" s="83"/>
      <c r="D119" s="82">
        <f>0</f>
        <v>0</v>
      </c>
      <c r="F119" s="32">
        <f t="shared" si="3"/>
        <v>0</v>
      </c>
    </row>
    <row r="120" spans="1:6" x14ac:dyDescent="0.75">
      <c r="A120" s="85">
        <f t="shared" si="2"/>
        <v>3500</v>
      </c>
      <c r="B120" s="81" t="s">
        <v>306</v>
      </c>
      <c r="C120" s="83"/>
      <c r="D120" s="82">
        <f>0</f>
        <v>0</v>
      </c>
      <c r="F120" s="32">
        <f t="shared" si="3"/>
        <v>0</v>
      </c>
    </row>
    <row r="121" spans="1:6" x14ac:dyDescent="0.75">
      <c r="A121" s="85">
        <f t="shared" si="2"/>
        <v>3600</v>
      </c>
      <c r="B121" s="81" t="s">
        <v>938</v>
      </c>
      <c r="C121" s="82">
        <f>94000</f>
        <v>94000</v>
      </c>
      <c r="D121" s="83"/>
      <c r="F121" s="32">
        <f t="shared" si="3"/>
        <v>94000</v>
      </c>
    </row>
    <row r="122" spans="1:6" x14ac:dyDescent="0.75">
      <c r="A122" s="85">
        <f t="shared" si="2"/>
        <v>3800</v>
      </c>
      <c r="B122" s="81" t="s">
        <v>765</v>
      </c>
      <c r="C122" s="83"/>
      <c r="D122" s="82">
        <f>0</f>
        <v>0</v>
      </c>
      <c r="F122" s="32">
        <f t="shared" si="3"/>
        <v>0</v>
      </c>
    </row>
    <row r="123" spans="1:6" x14ac:dyDescent="0.75">
      <c r="A123" s="85">
        <f t="shared" si="2"/>
        <v>3900</v>
      </c>
      <c r="B123" s="81" t="s">
        <v>311</v>
      </c>
      <c r="C123" s="82">
        <f>9072443.37</f>
        <v>9072443.3699999992</v>
      </c>
      <c r="D123" s="83"/>
      <c r="F123" s="32">
        <f t="shared" si="3"/>
        <v>9072443.3699999992</v>
      </c>
    </row>
    <row r="124" spans="1:6" x14ac:dyDescent="0.75">
      <c r="A124" s="85">
        <f t="shared" si="2"/>
        <v>4100</v>
      </c>
      <c r="B124" s="81" t="s">
        <v>313</v>
      </c>
      <c r="C124" s="83"/>
      <c r="D124" s="82">
        <f>598919.41</f>
        <v>598919.41</v>
      </c>
      <c r="F124" s="32">
        <f t="shared" si="3"/>
        <v>-598919.41</v>
      </c>
    </row>
    <row r="125" spans="1:6" x14ac:dyDescent="0.75">
      <c r="A125" s="85">
        <f t="shared" si="2"/>
        <v>4500</v>
      </c>
      <c r="B125" s="81" t="s">
        <v>766</v>
      </c>
      <c r="C125" s="83"/>
      <c r="D125" s="82">
        <f>27893.87</f>
        <v>27893.87</v>
      </c>
      <c r="F125" s="32">
        <f t="shared" si="3"/>
        <v>-27893.87</v>
      </c>
    </row>
    <row r="126" spans="1:6" x14ac:dyDescent="0.75">
      <c r="A126" s="85">
        <f t="shared" si="2"/>
        <v>4900</v>
      </c>
      <c r="B126" s="81" t="s">
        <v>831</v>
      </c>
      <c r="C126" s="83"/>
      <c r="D126" s="82">
        <f>3835</f>
        <v>3835</v>
      </c>
      <c r="F126" s="32">
        <f t="shared" si="3"/>
        <v>-3835</v>
      </c>
    </row>
    <row r="127" spans="1:6" x14ac:dyDescent="0.75">
      <c r="A127" s="85">
        <f t="shared" si="2"/>
        <v>5000</v>
      </c>
      <c r="B127" s="81" t="s">
        <v>832</v>
      </c>
      <c r="C127" s="82">
        <f>25909.15</f>
        <v>25909.15</v>
      </c>
      <c r="D127" s="83"/>
      <c r="F127" s="32">
        <f t="shared" si="3"/>
        <v>25909.15</v>
      </c>
    </row>
    <row r="128" spans="1:6" x14ac:dyDescent="0.75">
      <c r="A128" s="85">
        <f t="shared" si="2"/>
        <v>5010</v>
      </c>
      <c r="B128" s="81" t="s">
        <v>833</v>
      </c>
      <c r="C128" s="82">
        <f>26422.55</f>
        <v>26422.55</v>
      </c>
      <c r="D128" s="83"/>
      <c r="F128" s="32">
        <f t="shared" si="3"/>
        <v>26422.55</v>
      </c>
    </row>
    <row r="129" spans="1:6" x14ac:dyDescent="0.75">
      <c r="A129" s="85">
        <f t="shared" si="2"/>
        <v>5030</v>
      </c>
      <c r="B129" s="81" t="s">
        <v>860</v>
      </c>
      <c r="C129" s="82">
        <f>10089.81</f>
        <v>10089.81</v>
      </c>
      <c r="D129" s="83"/>
      <c r="F129" s="32">
        <f t="shared" si="3"/>
        <v>10089.81</v>
      </c>
    </row>
    <row r="130" spans="1:6" x14ac:dyDescent="0.75">
      <c r="A130" s="85">
        <f t="shared" si="2"/>
        <v>5050</v>
      </c>
      <c r="B130" s="81" t="s">
        <v>797</v>
      </c>
      <c r="C130" s="82">
        <f>122330.17</f>
        <v>122330.17</v>
      </c>
      <c r="D130" s="83"/>
      <c r="F130" s="32">
        <f t="shared" si="3"/>
        <v>122330.17</v>
      </c>
    </row>
    <row r="131" spans="1:6" x14ac:dyDescent="0.75">
      <c r="A131" s="85">
        <f t="shared" si="2"/>
        <v>6010</v>
      </c>
      <c r="B131" s="81" t="s">
        <v>798</v>
      </c>
      <c r="C131" s="82">
        <f>9754.42</f>
        <v>9754.42</v>
      </c>
      <c r="D131" s="83"/>
      <c r="F131" s="32">
        <f t="shared" si="3"/>
        <v>9754.42</v>
      </c>
    </row>
    <row r="132" spans="1:6" x14ac:dyDescent="0.75">
      <c r="A132" s="85">
        <f t="shared" si="2"/>
        <v>6025</v>
      </c>
      <c r="B132" s="81" t="s">
        <v>767</v>
      </c>
      <c r="C132" s="82">
        <f>922.49</f>
        <v>922.49</v>
      </c>
      <c r="D132" s="83"/>
      <c r="F132" s="32">
        <f t="shared" si="3"/>
        <v>922.49</v>
      </c>
    </row>
    <row r="133" spans="1:6" x14ac:dyDescent="0.75">
      <c r="A133" s="85">
        <f t="shared" si="2"/>
        <v>6030</v>
      </c>
      <c r="B133" s="81" t="s">
        <v>768</v>
      </c>
      <c r="C133" s="82">
        <f>2236.83</f>
        <v>2236.83</v>
      </c>
      <c r="D133" s="83"/>
      <c r="F133" s="32">
        <f t="shared" si="3"/>
        <v>2236.83</v>
      </c>
    </row>
    <row r="134" spans="1:6" x14ac:dyDescent="0.75">
      <c r="A134" s="85">
        <f t="shared" ref="A134:A176" si="4">VALUE(LEFT(B134,4))</f>
        <v>6055</v>
      </c>
      <c r="B134" s="81" t="s">
        <v>837</v>
      </c>
      <c r="C134" s="82">
        <f>598</f>
        <v>598</v>
      </c>
      <c r="D134" s="83"/>
      <c r="F134" s="32">
        <f t="shared" si="3"/>
        <v>598</v>
      </c>
    </row>
    <row r="135" spans="1:6" x14ac:dyDescent="0.75">
      <c r="A135" s="85">
        <f t="shared" si="4"/>
        <v>6060</v>
      </c>
      <c r="B135" s="81" t="s">
        <v>852</v>
      </c>
      <c r="C135" s="82">
        <f>2605.48</f>
        <v>2605.48</v>
      </c>
      <c r="D135" s="83"/>
      <c r="F135" s="32">
        <f t="shared" ref="F135:F177" si="5">C135-D135</f>
        <v>2605.48</v>
      </c>
    </row>
    <row r="136" spans="1:6" x14ac:dyDescent="0.75">
      <c r="A136" s="85">
        <f t="shared" si="4"/>
        <v>6065</v>
      </c>
      <c r="B136" s="81" t="s">
        <v>861</v>
      </c>
      <c r="C136" s="82">
        <f>2500</f>
        <v>2500</v>
      </c>
      <c r="D136" s="83"/>
      <c r="F136" s="32">
        <f t="shared" si="5"/>
        <v>2500</v>
      </c>
    </row>
    <row r="137" spans="1:6" x14ac:dyDescent="0.75">
      <c r="A137" s="85">
        <f t="shared" si="4"/>
        <v>6075</v>
      </c>
      <c r="B137" s="81" t="s">
        <v>803</v>
      </c>
      <c r="C137" s="82">
        <f>24462.2</f>
        <v>24462.2</v>
      </c>
      <c r="D137" s="83"/>
      <c r="F137" s="32">
        <f t="shared" si="5"/>
        <v>24462.2</v>
      </c>
    </row>
    <row r="138" spans="1:6" x14ac:dyDescent="0.75">
      <c r="A138" s="85">
        <f t="shared" si="4"/>
        <v>6085</v>
      </c>
      <c r="B138" s="81" t="s">
        <v>769</v>
      </c>
      <c r="C138" s="82">
        <f>2135.85</f>
        <v>2135.85</v>
      </c>
      <c r="D138" s="83"/>
      <c r="F138" s="32">
        <f t="shared" si="5"/>
        <v>2135.85</v>
      </c>
    </row>
    <row r="139" spans="1:6" x14ac:dyDescent="0.75">
      <c r="A139" s="85">
        <f t="shared" si="4"/>
        <v>6100</v>
      </c>
      <c r="B139" s="81" t="s">
        <v>804</v>
      </c>
      <c r="C139" s="82">
        <f>1224</f>
        <v>1224</v>
      </c>
      <c r="D139" s="83"/>
      <c r="F139" s="32">
        <f t="shared" si="5"/>
        <v>1224</v>
      </c>
    </row>
    <row r="140" spans="1:6" x14ac:dyDescent="0.75">
      <c r="A140" s="85">
        <f t="shared" si="4"/>
        <v>6105</v>
      </c>
      <c r="B140" s="81" t="s">
        <v>838</v>
      </c>
      <c r="C140" s="82">
        <f>3339.88</f>
        <v>3339.88</v>
      </c>
      <c r="D140" s="83"/>
      <c r="F140" s="32">
        <f t="shared" si="5"/>
        <v>3339.88</v>
      </c>
    </row>
    <row r="141" spans="1:6" x14ac:dyDescent="0.75">
      <c r="A141" s="85">
        <f t="shared" si="4"/>
        <v>6115</v>
      </c>
      <c r="B141" s="81" t="s">
        <v>839</v>
      </c>
      <c r="C141" s="82">
        <f>3111.42</f>
        <v>3111.42</v>
      </c>
      <c r="D141" s="83"/>
      <c r="F141" s="32">
        <f t="shared" si="5"/>
        <v>3111.42</v>
      </c>
    </row>
    <row r="142" spans="1:6" x14ac:dyDescent="0.75">
      <c r="A142" s="85">
        <f t="shared" si="4"/>
        <v>6120</v>
      </c>
      <c r="B142" s="81" t="s">
        <v>770</v>
      </c>
      <c r="C142" s="83"/>
      <c r="D142" s="82">
        <f>401.63</f>
        <v>401.63</v>
      </c>
      <c r="F142" s="32">
        <f t="shared" si="5"/>
        <v>-401.63</v>
      </c>
    </row>
    <row r="143" spans="1:6" x14ac:dyDescent="0.75">
      <c r="A143" s="85">
        <f t="shared" si="4"/>
        <v>6135</v>
      </c>
      <c r="B143" s="81" t="s">
        <v>853</v>
      </c>
      <c r="C143" s="82">
        <f>7371.44</f>
        <v>7371.44</v>
      </c>
      <c r="D143" s="83"/>
      <c r="F143" s="32">
        <f t="shared" si="5"/>
        <v>7371.44</v>
      </c>
    </row>
    <row r="144" spans="1:6" x14ac:dyDescent="0.75">
      <c r="A144" s="85">
        <f t="shared" si="4"/>
        <v>6150</v>
      </c>
      <c r="B144" s="81" t="s">
        <v>771</v>
      </c>
      <c r="C144" s="82">
        <f>5477</f>
        <v>5477</v>
      </c>
      <c r="D144" s="83"/>
      <c r="F144" s="32">
        <f t="shared" si="5"/>
        <v>5477</v>
      </c>
    </row>
    <row r="145" spans="1:6" x14ac:dyDescent="0.75">
      <c r="A145" s="85">
        <f t="shared" si="4"/>
        <v>6155</v>
      </c>
      <c r="B145" s="81" t="s">
        <v>772</v>
      </c>
      <c r="C145" s="82">
        <f>9186.68</f>
        <v>9186.68</v>
      </c>
      <c r="D145" s="83"/>
      <c r="F145" s="32">
        <f t="shared" si="5"/>
        <v>9186.68</v>
      </c>
    </row>
    <row r="146" spans="1:6" x14ac:dyDescent="0.75">
      <c r="A146" s="85">
        <f t="shared" si="4"/>
        <v>6210</v>
      </c>
      <c r="B146" s="81" t="s">
        <v>773</v>
      </c>
      <c r="C146" s="82">
        <f>835</f>
        <v>835</v>
      </c>
      <c r="D146" s="83"/>
      <c r="F146" s="32">
        <f t="shared" si="5"/>
        <v>835</v>
      </c>
    </row>
    <row r="147" spans="1:6" x14ac:dyDescent="0.75">
      <c r="A147" s="85">
        <f t="shared" si="4"/>
        <v>6215</v>
      </c>
      <c r="B147" s="81" t="s">
        <v>774</v>
      </c>
      <c r="C147" s="82">
        <f>1735.41</f>
        <v>1735.41</v>
      </c>
      <c r="D147" s="83"/>
      <c r="F147" s="32">
        <f t="shared" si="5"/>
        <v>1735.41</v>
      </c>
    </row>
    <row r="148" spans="1:6" x14ac:dyDescent="0.75">
      <c r="A148" s="85">
        <f t="shared" si="4"/>
        <v>6220</v>
      </c>
      <c r="B148" s="81" t="s">
        <v>775</v>
      </c>
      <c r="C148" s="82">
        <f>4593.02</f>
        <v>4593.0200000000004</v>
      </c>
      <c r="D148" s="83"/>
      <c r="F148" s="32">
        <f t="shared" si="5"/>
        <v>4593.0200000000004</v>
      </c>
    </row>
    <row r="149" spans="1:6" x14ac:dyDescent="0.75">
      <c r="A149" s="85">
        <f t="shared" si="4"/>
        <v>6245</v>
      </c>
      <c r="B149" s="81" t="s">
        <v>776</v>
      </c>
      <c r="C149" s="82">
        <f>1580.02</f>
        <v>1580.02</v>
      </c>
      <c r="D149" s="83"/>
      <c r="F149" s="32">
        <f t="shared" si="5"/>
        <v>1580.02</v>
      </c>
    </row>
    <row r="150" spans="1:6" x14ac:dyDescent="0.75">
      <c r="A150" s="85">
        <f t="shared" si="4"/>
        <v>6255</v>
      </c>
      <c r="B150" s="81" t="s">
        <v>777</v>
      </c>
      <c r="C150" s="82">
        <f>58.68</f>
        <v>58.68</v>
      </c>
      <c r="D150" s="83"/>
      <c r="F150" s="32">
        <f t="shared" si="5"/>
        <v>58.68</v>
      </c>
    </row>
    <row r="151" spans="1:6" x14ac:dyDescent="0.75">
      <c r="A151" s="85">
        <f t="shared" si="4"/>
        <v>6260</v>
      </c>
      <c r="B151" s="81" t="s">
        <v>789</v>
      </c>
      <c r="C151" s="82">
        <f>261.17</f>
        <v>261.17</v>
      </c>
      <c r="D151" s="83"/>
      <c r="F151" s="32">
        <f t="shared" si="5"/>
        <v>261.17</v>
      </c>
    </row>
    <row r="152" spans="1:6" x14ac:dyDescent="0.75">
      <c r="A152" s="85">
        <f t="shared" si="4"/>
        <v>6265</v>
      </c>
      <c r="B152" s="81" t="s">
        <v>854</v>
      </c>
      <c r="C152" s="82">
        <f>14.5</f>
        <v>14.5</v>
      </c>
      <c r="D152" s="83"/>
      <c r="F152" s="32">
        <f t="shared" si="5"/>
        <v>14.5</v>
      </c>
    </row>
    <row r="153" spans="1:6" x14ac:dyDescent="0.75">
      <c r="A153" s="85">
        <f t="shared" si="4"/>
        <v>6270</v>
      </c>
      <c r="B153" s="81" t="s">
        <v>778</v>
      </c>
      <c r="C153" s="82">
        <f>73185</f>
        <v>73185</v>
      </c>
      <c r="D153" s="83"/>
      <c r="F153" s="32">
        <f t="shared" si="5"/>
        <v>73185</v>
      </c>
    </row>
    <row r="154" spans="1:6" x14ac:dyDescent="0.75">
      <c r="A154" s="85">
        <f t="shared" si="4"/>
        <v>6275</v>
      </c>
      <c r="B154" s="81" t="s">
        <v>790</v>
      </c>
      <c r="C154" s="82">
        <f>78031.52</f>
        <v>78031.520000000004</v>
      </c>
      <c r="D154" s="83"/>
      <c r="F154" s="32">
        <f t="shared" si="5"/>
        <v>78031.520000000004</v>
      </c>
    </row>
    <row r="155" spans="1:6" x14ac:dyDescent="0.75">
      <c r="A155" s="85">
        <f t="shared" si="4"/>
        <v>6280</v>
      </c>
      <c r="B155" s="81" t="s">
        <v>779</v>
      </c>
      <c r="C155" s="82">
        <f>18345</f>
        <v>18345</v>
      </c>
      <c r="D155" s="83"/>
      <c r="F155" s="32">
        <f t="shared" si="5"/>
        <v>18345</v>
      </c>
    </row>
    <row r="156" spans="1:6" x14ac:dyDescent="0.75">
      <c r="A156" s="85">
        <f t="shared" si="4"/>
        <v>6295</v>
      </c>
      <c r="B156" s="81" t="s">
        <v>795</v>
      </c>
      <c r="C156" s="82">
        <f>635</f>
        <v>635</v>
      </c>
      <c r="D156" s="83"/>
      <c r="F156" s="32">
        <f t="shared" si="5"/>
        <v>635</v>
      </c>
    </row>
    <row r="157" spans="1:6" x14ac:dyDescent="0.75">
      <c r="A157" s="85">
        <f t="shared" si="4"/>
        <v>6300</v>
      </c>
      <c r="B157" s="81" t="s">
        <v>840</v>
      </c>
      <c r="C157" s="82">
        <f>5817.62</f>
        <v>5817.62</v>
      </c>
      <c r="D157" s="83"/>
      <c r="F157" s="32">
        <f t="shared" si="5"/>
        <v>5817.62</v>
      </c>
    </row>
    <row r="158" spans="1:6" x14ac:dyDescent="0.75">
      <c r="A158" s="85">
        <f t="shared" si="4"/>
        <v>6315</v>
      </c>
      <c r="B158" s="81" t="s">
        <v>791</v>
      </c>
      <c r="C158" s="82">
        <f>27580.87</f>
        <v>27580.87</v>
      </c>
      <c r="D158" s="83"/>
      <c r="F158" s="32">
        <f t="shared" si="5"/>
        <v>27580.87</v>
      </c>
    </row>
    <row r="159" spans="1:6" x14ac:dyDescent="0.75">
      <c r="A159" s="85">
        <f t="shared" si="4"/>
        <v>6335</v>
      </c>
      <c r="B159" s="81" t="s">
        <v>855</v>
      </c>
      <c r="C159" s="82">
        <f>178.37</f>
        <v>178.37</v>
      </c>
      <c r="D159" s="83"/>
      <c r="F159" s="32">
        <f t="shared" si="5"/>
        <v>178.37</v>
      </c>
    </row>
    <row r="160" spans="1:6" x14ac:dyDescent="0.75">
      <c r="A160" s="85">
        <f t="shared" si="4"/>
        <v>6345</v>
      </c>
      <c r="B160" s="81" t="s">
        <v>792</v>
      </c>
      <c r="C160" s="82">
        <f>4911.42</f>
        <v>4911.42</v>
      </c>
      <c r="D160" s="83"/>
      <c r="F160" s="32">
        <f t="shared" si="5"/>
        <v>4911.42</v>
      </c>
    </row>
    <row r="161" spans="1:6" x14ac:dyDescent="0.75">
      <c r="A161" s="85">
        <f t="shared" si="4"/>
        <v>6350</v>
      </c>
      <c r="B161" s="81" t="s">
        <v>780</v>
      </c>
      <c r="C161" s="82">
        <f>4066.63</f>
        <v>4066.63</v>
      </c>
      <c r="D161" s="83"/>
      <c r="F161" s="32">
        <f t="shared" si="5"/>
        <v>4066.63</v>
      </c>
    </row>
    <row r="162" spans="1:6" x14ac:dyDescent="0.75">
      <c r="A162" s="85">
        <f t="shared" si="4"/>
        <v>6400</v>
      </c>
      <c r="B162" s="81" t="s">
        <v>781</v>
      </c>
      <c r="C162" s="82">
        <f>91267.65</f>
        <v>91267.65</v>
      </c>
      <c r="D162" s="83"/>
      <c r="F162" s="32">
        <f t="shared" si="5"/>
        <v>91267.65</v>
      </c>
    </row>
    <row r="163" spans="1:6" x14ac:dyDescent="0.75">
      <c r="A163" s="85">
        <f t="shared" si="4"/>
        <v>6430</v>
      </c>
      <c r="B163" s="81" t="s">
        <v>782</v>
      </c>
      <c r="C163" s="82">
        <f>91059.94</f>
        <v>91059.94</v>
      </c>
      <c r="D163" s="83"/>
      <c r="F163" s="32">
        <f t="shared" si="5"/>
        <v>91059.94</v>
      </c>
    </row>
    <row r="164" spans="1:6" x14ac:dyDescent="0.75">
      <c r="A164" s="85">
        <f t="shared" si="4"/>
        <v>6435</v>
      </c>
      <c r="B164" s="81" t="s">
        <v>783</v>
      </c>
      <c r="C164" s="82">
        <f>6020.51</f>
        <v>6020.51</v>
      </c>
      <c r="D164" s="83"/>
      <c r="F164" s="32">
        <f t="shared" si="5"/>
        <v>6020.51</v>
      </c>
    </row>
    <row r="165" spans="1:6" x14ac:dyDescent="0.75">
      <c r="A165" s="85">
        <f t="shared" si="4"/>
        <v>6440</v>
      </c>
      <c r="B165" s="81" t="s">
        <v>948</v>
      </c>
      <c r="C165" s="82">
        <f>52109.31</f>
        <v>52109.31</v>
      </c>
      <c r="D165" s="83"/>
      <c r="F165" s="32">
        <f t="shared" si="5"/>
        <v>52109.31</v>
      </c>
    </row>
    <row r="166" spans="1:6" x14ac:dyDescent="0.75">
      <c r="A166" s="85">
        <f t="shared" si="4"/>
        <v>6445</v>
      </c>
      <c r="B166" s="81" t="s">
        <v>784</v>
      </c>
      <c r="C166" s="82">
        <f>26309.73</f>
        <v>26309.73</v>
      </c>
      <c r="D166" s="83"/>
      <c r="F166" s="32">
        <f t="shared" si="5"/>
        <v>26309.73</v>
      </c>
    </row>
    <row r="167" spans="1:6" x14ac:dyDescent="0.75">
      <c r="A167" s="85">
        <f t="shared" si="4"/>
        <v>6510</v>
      </c>
      <c r="B167" s="81" t="s">
        <v>785</v>
      </c>
      <c r="C167" s="82">
        <f>8098.3</f>
        <v>8098.3</v>
      </c>
      <c r="D167" s="83"/>
      <c r="F167" s="32">
        <f t="shared" si="5"/>
        <v>8098.3</v>
      </c>
    </row>
    <row r="168" spans="1:6" x14ac:dyDescent="0.75">
      <c r="A168" s="85">
        <f t="shared" si="4"/>
        <v>6525</v>
      </c>
      <c r="B168" s="81" t="s">
        <v>794</v>
      </c>
      <c r="C168" s="82">
        <f>1232.88</f>
        <v>1232.8800000000001</v>
      </c>
      <c r="D168" s="83"/>
      <c r="F168" s="32">
        <f t="shared" si="5"/>
        <v>1232.8800000000001</v>
      </c>
    </row>
    <row r="169" spans="1:6" x14ac:dyDescent="0.75">
      <c r="A169" s="85">
        <f t="shared" si="4"/>
        <v>6545</v>
      </c>
      <c r="B169" s="81" t="s">
        <v>856</v>
      </c>
      <c r="C169" s="82">
        <f>48.37</f>
        <v>48.37</v>
      </c>
      <c r="D169" s="83"/>
      <c r="F169" s="32">
        <f t="shared" si="5"/>
        <v>48.37</v>
      </c>
    </row>
    <row r="170" spans="1:6" x14ac:dyDescent="0.75">
      <c r="A170" s="85">
        <f t="shared" si="4"/>
        <v>6550</v>
      </c>
      <c r="B170" s="81" t="s">
        <v>786</v>
      </c>
      <c r="C170" s="82">
        <f>12490.22</f>
        <v>12490.22</v>
      </c>
      <c r="D170" s="83"/>
      <c r="F170" s="32">
        <f t="shared" si="5"/>
        <v>12490.22</v>
      </c>
    </row>
    <row r="171" spans="1:6" x14ac:dyDescent="0.75">
      <c r="A171" s="85">
        <f t="shared" si="4"/>
        <v>6555</v>
      </c>
      <c r="B171" s="81" t="s">
        <v>857</v>
      </c>
      <c r="C171" s="82">
        <f>4961.29</f>
        <v>4961.29</v>
      </c>
      <c r="D171" s="83"/>
      <c r="F171" s="32">
        <f t="shared" si="5"/>
        <v>4961.29</v>
      </c>
    </row>
    <row r="172" spans="1:6" x14ac:dyDescent="0.75">
      <c r="A172" s="85">
        <f t="shared" si="4"/>
        <v>7510</v>
      </c>
      <c r="B172" s="81" t="s">
        <v>787</v>
      </c>
      <c r="C172" s="82">
        <f>5594.61</f>
        <v>5594.61</v>
      </c>
      <c r="D172" s="83"/>
      <c r="F172" s="32">
        <f t="shared" si="5"/>
        <v>5594.61</v>
      </c>
    </row>
    <row r="173" spans="1:6" x14ac:dyDescent="0.75">
      <c r="A173" s="85">
        <f t="shared" si="4"/>
        <v>7520</v>
      </c>
      <c r="B173" s="81" t="s">
        <v>805</v>
      </c>
      <c r="C173" s="82">
        <f>3894.01</f>
        <v>3894.01</v>
      </c>
      <c r="D173" s="83"/>
      <c r="F173" s="32">
        <f t="shared" si="5"/>
        <v>3894.01</v>
      </c>
    </row>
    <row r="174" spans="1:6" x14ac:dyDescent="0.75">
      <c r="A174" s="85">
        <f t="shared" si="4"/>
        <v>7530</v>
      </c>
      <c r="B174" s="81" t="s">
        <v>788</v>
      </c>
      <c r="C174" s="82">
        <f>27127.73</f>
        <v>27127.73</v>
      </c>
      <c r="D174" s="83"/>
      <c r="F174" s="32">
        <f t="shared" si="5"/>
        <v>27127.73</v>
      </c>
    </row>
    <row r="175" spans="1:6" x14ac:dyDescent="0.75">
      <c r="A175" s="85">
        <f t="shared" si="4"/>
        <v>7540</v>
      </c>
      <c r="B175" s="81" t="s">
        <v>846</v>
      </c>
      <c r="C175" s="82">
        <f>59067.11</f>
        <v>59067.11</v>
      </c>
      <c r="D175" s="83"/>
      <c r="F175" s="32">
        <f t="shared" si="5"/>
        <v>59067.11</v>
      </c>
    </row>
    <row r="176" spans="1:6" x14ac:dyDescent="0.75">
      <c r="A176" s="85">
        <f t="shared" si="4"/>
        <v>7590</v>
      </c>
      <c r="B176" s="81" t="s">
        <v>944</v>
      </c>
      <c r="C176" s="82">
        <f>106643</f>
        <v>106643</v>
      </c>
      <c r="D176" s="83"/>
      <c r="F176" s="32">
        <f t="shared" si="5"/>
        <v>106643</v>
      </c>
    </row>
    <row r="177" spans="1:6" x14ac:dyDescent="0.75">
      <c r="A177" s="85">
        <f>VALUE(LEFT(B177,4))</f>
        <v>7100</v>
      </c>
      <c r="B177" s="81" t="s">
        <v>375</v>
      </c>
      <c r="C177" s="83"/>
      <c r="D177" s="82">
        <f>70.28</f>
        <v>70.28</v>
      </c>
      <c r="F177" s="32">
        <f t="shared" si="5"/>
        <v>-70.28</v>
      </c>
    </row>
    <row r="178" spans="1:6" x14ac:dyDescent="0.75">
      <c r="B178" s="81" t="s">
        <v>2</v>
      </c>
      <c r="C178" s="84">
        <f t="shared" ref="C178:D178" si="6">SUM(C6:C177)</f>
        <v>11390794.019999998</v>
      </c>
      <c r="D178" s="84">
        <f t="shared" si="6"/>
        <v>11390794.020000001</v>
      </c>
      <c r="F178" s="32">
        <f>SUM(F6:F177)</f>
        <v>-1.9365700154594379E-9</v>
      </c>
    </row>
    <row r="179" spans="1:6" x14ac:dyDescent="0.75">
      <c r="B179" s="81"/>
      <c r="C179" s="83"/>
      <c r="D179" s="83"/>
    </row>
    <row r="182" spans="1:6" x14ac:dyDescent="0.75">
      <c r="B182" s="198" t="s">
        <v>961</v>
      </c>
      <c r="C182" s="197"/>
      <c r="D182" s="197"/>
    </row>
  </sheetData>
  <mergeCells count="4">
    <mergeCell ref="B1:D1"/>
    <mergeCell ref="B2:D2"/>
    <mergeCell ref="B3:D3"/>
    <mergeCell ref="B182:D182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20482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20482" r:id="rId4" name="HEADER"/>
      </mc:Fallback>
    </mc:AlternateContent>
    <mc:AlternateContent xmlns:mc="http://schemas.openxmlformats.org/markup-compatibility/2006">
      <mc:Choice Requires="x14">
        <control shapeId="20481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20481" r:id="rId6" name="FILTER"/>
      </mc:Fallback>
    </mc:AlternateContent>
  </control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9889-20CC-440F-A224-4B5C87F2CFF9}">
  <sheetPr codeName="Sheet8">
    <tabColor theme="7" tint="0.59999389629810485"/>
  </sheetPr>
  <dimension ref="A1:F187"/>
  <sheetViews>
    <sheetView zoomScaleNormal="100" workbookViewId="0">
      <pane xSplit="2" ySplit="5" topLeftCell="C6" activePane="bottomRight" state="frozenSplit"/>
      <selection pane="topRight" activeCell="C1" sqref="C1"/>
      <selection pane="bottomLeft" activeCell="A3" sqref="A3"/>
      <selection pane="bottomRight" activeCell="H22" sqref="H22:I22"/>
    </sheetView>
  </sheetViews>
  <sheetFormatPr defaultColWidth="9.1328125" defaultRowHeight="14.75" x14ac:dyDescent="0.75"/>
  <cols>
    <col min="1" max="1" width="9.1328125" style="85"/>
    <col min="2" max="2" width="52.40625" style="85" customWidth="1"/>
    <col min="3" max="4" width="13.7265625" style="85" customWidth="1"/>
    <col min="5" max="5" width="16.54296875" style="85" customWidth="1"/>
    <col min="6" max="6" width="21.54296875" style="32" customWidth="1"/>
    <col min="7" max="16384" width="9.1328125" style="85"/>
  </cols>
  <sheetData>
    <row r="1" spans="1:6" ht="18" x14ac:dyDescent="0.8">
      <c r="B1" s="195" t="s">
        <v>696</v>
      </c>
      <c r="C1" s="197"/>
      <c r="D1" s="197"/>
    </row>
    <row r="2" spans="1:6" ht="18" x14ac:dyDescent="0.8">
      <c r="B2" s="195" t="s">
        <v>697</v>
      </c>
      <c r="C2" s="197"/>
      <c r="D2" s="197"/>
    </row>
    <row r="3" spans="1:6" x14ac:dyDescent="0.75">
      <c r="B3" s="199" t="s">
        <v>862</v>
      </c>
      <c r="C3" s="197"/>
      <c r="D3" s="197"/>
    </row>
    <row r="5" spans="1:6" x14ac:dyDescent="0.75">
      <c r="B5" s="52"/>
      <c r="C5" s="80" t="s">
        <v>0</v>
      </c>
      <c r="D5" s="80" t="s">
        <v>1</v>
      </c>
      <c r="E5" s="35"/>
      <c r="F5" s="80" t="s">
        <v>170</v>
      </c>
    </row>
    <row r="6" spans="1:6" x14ac:dyDescent="0.75">
      <c r="A6" s="85">
        <f t="shared" ref="A6:A69" si="0">VALUE(LEFT(B6,4))</f>
        <v>1005</v>
      </c>
      <c r="B6" s="81" t="s">
        <v>698</v>
      </c>
      <c r="C6" s="82">
        <f>0</f>
        <v>0</v>
      </c>
      <c r="D6" s="83"/>
      <c r="F6" s="32">
        <f>C6-D6</f>
        <v>0</v>
      </c>
    </row>
    <row r="7" spans="1:6" x14ac:dyDescent="0.75">
      <c r="A7" s="85">
        <f t="shared" si="0"/>
        <v>1010</v>
      </c>
      <c r="B7" s="81" t="s">
        <v>193</v>
      </c>
      <c r="C7" s="82">
        <f>117973.39</f>
        <v>117973.39</v>
      </c>
      <c r="D7" s="83"/>
      <c r="F7" s="32">
        <f t="shared" ref="F7:F70" si="1">C7-D7</f>
        <v>117973.39</v>
      </c>
    </row>
    <row r="8" spans="1:6" x14ac:dyDescent="0.75">
      <c r="A8" s="85">
        <f t="shared" si="0"/>
        <v>1020</v>
      </c>
      <c r="B8" s="81" t="s">
        <v>194</v>
      </c>
      <c r="C8" s="82">
        <f>650.53</f>
        <v>650.53</v>
      </c>
      <c r="D8" s="83"/>
      <c r="F8" s="32">
        <f t="shared" si="1"/>
        <v>650.53</v>
      </c>
    </row>
    <row r="9" spans="1:6" x14ac:dyDescent="0.75">
      <c r="A9" s="85">
        <f t="shared" si="0"/>
        <v>1200</v>
      </c>
      <c r="B9" s="81" t="s">
        <v>699</v>
      </c>
      <c r="C9" s="82">
        <f>176115.13</f>
        <v>176115.13</v>
      </c>
      <c r="D9" s="83"/>
      <c r="F9" s="32">
        <f t="shared" si="1"/>
        <v>176115.13</v>
      </c>
    </row>
    <row r="10" spans="1:6" x14ac:dyDescent="0.75">
      <c r="A10" s="85">
        <f t="shared" si="0"/>
        <v>1210</v>
      </c>
      <c r="B10" s="81" t="s">
        <v>700</v>
      </c>
      <c r="C10" s="82">
        <f>0</f>
        <v>0</v>
      </c>
      <c r="D10" s="83"/>
      <c r="F10" s="32">
        <f t="shared" si="1"/>
        <v>0</v>
      </c>
    </row>
    <row r="11" spans="1:6" x14ac:dyDescent="0.75">
      <c r="A11" s="85">
        <f t="shared" si="0"/>
        <v>1250</v>
      </c>
      <c r="B11" s="81" t="s">
        <v>701</v>
      </c>
      <c r="C11" s="82">
        <f>0</f>
        <v>0</v>
      </c>
      <c r="D11" s="111">
        <v>1746</v>
      </c>
      <c r="F11" s="32">
        <f t="shared" si="1"/>
        <v>-1746</v>
      </c>
    </row>
    <row r="12" spans="1:6" x14ac:dyDescent="0.75">
      <c r="A12" s="85">
        <f t="shared" si="0"/>
        <v>1280</v>
      </c>
      <c r="B12" s="81" t="s">
        <v>702</v>
      </c>
      <c r="C12" s="82">
        <f>0</f>
        <v>0</v>
      </c>
      <c r="D12" s="83"/>
      <c r="F12" s="32">
        <f t="shared" si="1"/>
        <v>0</v>
      </c>
    </row>
    <row r="13" spans="1:6" x14ac:dyDescent="0.75">
      <c r="A13" s="85">
        <f t="shared" si="0"/>
        <v>1290</v>
      </c>
      <c r="B13" s="81" t="s">
        <v>703</v>
      </c>
      <c r="C13" s="82">
        <f>0</f>
        <v>0</v>
      </c>
      <c r="D13" s="83"/>
      <c r="F13" s="32">
        <f t="shared" si="1"/>
        <v>0</v>
      </c>
    </row>
    <row r="14" spans="1:6" x14ac:dyDescent="0.75">
      <c r="A14" s="85">
        <f t="shared" si="0"/>
        <v>1310</v>
      </c>
      <c r="B14" s="81" t="s">
        <v>200</v>
      </c>
      <c r="C14" s="93">
        <f>1994.8-27443.81+25449.01</f>
        <v>0</v>
      </c>
      <c r="D14" s="83"/>
      <c r="F14" s="32">
        <f t="shared" si="1"/>
        <v>0</v>
      </c>
    </row>
    <row r="15" spans="1:6" x14ac:dyDescent="0.75">
      <c r="A15" s="85">
        <f t="shared" si="0"/>
        <v>1320</v>
      </c>
      <c r="B15" s="81" t="s">
        <v>201</v>
      </c>
      <c r="C15" s="82">
        <f>0</f>
        <v>0</v>
      </c>
      <c r="D15" s="83"/>
      <c r="F15" s="32">
        <f t="shared" si="1"/>
        <v>0</v>
      </c>
    </row>
    <row r="16" spans="1:6" x14ac:dyDescent="0.75">
      <c r="A16" s="85">
        <f t="shared" si="0"/>
        <v>1330</v>
      </c>
      <c r="B16" s="81" t="s">
        <v>704</v>
      </c>
      <c r="C16" s="82">
        <f>0</f>
        <v>0</v>
      </c>
      <c r="D16" s="83"/>
      <c r="F16" s="32">
        <f t="shared" si="1"/>
        <v>0</v>
      </c>
    </row>
    <row r="17" spans="1:6" x14ac:dyDescent="0.75">
      <c r="A17" s="85">
        <f t="shared" si="0"/>
        <v>1340</v>
      </c>
      <c r="B17" s="81" t="s">
        <v>705</v>
      </c>
      <c r="C17" s="93">
        <f>49219.6-49219.6</f>
        <v>0</v>
      </c>
      <c r="D17" s="83"/>
      <c r="F17" s="32">
        <f t="shared" si="1"/>
        <v>0</v>
      </c>
    </row>
    <row r="18" spans="1:6" x14ac:dyDescent="0.75">
      <c r="A18" s="85">
        <f t="shared" si="0"/>
        <v>1410</v>
      </c>
      <c r="B18" s="81" t="s">
        <v>204</v>
      </c>
      <c r="C18" s="82">
        <f>13000</f>
        <v>13000</v>
      </c>
      <c r="D18" s="83"/>
      <c r="F18" s="32">
        <f t="shared" si="1"/>
        <v>13000</v>
      </c>
    </row>
    <row r="19" spans="1:6" x14ac:dyDescent="0.75">
      <c r="A19" s="85">
        <f t="shared" si="0"/>
        <v>1430</v>
      </c>
      <c r="B19" s="81" t="s">
        <v>706</v>
      </c>
      <c r="C19" s="82">
        <f>0</f>
        <v>0</v>
      </c>
      <c r="D19" s="83"/>
      <c r="F19" s="32">
        <f t="shared" si="1"/>
        <v>0</v>
      </c>
    </row>
    <row r="20" spans="1:6" x14ac:dyDescent="0.75">
      <c r="A20" s="85">
        <f t="shared" si="0"/>
        <v>1710</v>
      </c>
      <c r="B20" s="81" t="s">
        <v>807</v>
      </c>
      <c r="C20" s="82">
        <f>97384.17</f>
        <v>97384.17</v>
      </c>
      <c r="D20" s="83"/>
      <c r="F20" s="32">
        <f t="shared" si="1"/>
        <v>97384.17</v>
      </c>
    </row>
    <row r="21" spans="1:6" x14ac:dyDescent="0.75">
      <c r="A21" s="85">
        <f t="shared" si="0"/>
        <v>1715</v>
      </c>
      <c r="B21" s="81" t="s">
        <v>707</v>
      </c>
      <c r="C21" s="82">
        <f>0</f>
        <v>0</v>
      </c>
      <c r="D21" s="83"/>
      <c r="F21" s="32">
        <f t="shared" si="1"/>
        <v>0</v>
      </c>
    </row>
    <row r="22" spans="1:6" x14ac:dyDescent="0.75">
      <c r="A22" s="85">
        <f t="shared" si="0"/>
        <v>1720</v>
      </c>
      <c r="B22" s="81" t="s">
        <v>708</v>
      </c>
      <c r="C22" s="82">
        <f>3937.6</f>
        <v>3937.6</v>
      </c>
      <c r="D22" s="83"/>
      <c r="F22" s="32">
        <f t="shared" si="1"/>
        <v>3937.6</v>
      </c>
    </row>
    <row r="23" spans="1:6" x14ac:dyDescent="0.75">
      <c r="A23" s="85">
        <f t="shared" si="0"/>
        <v>1725</v>
      </c>
      <c r="B23" s="81" t="s">
        <v>849</v>
      </c>
      <c r="C23" s="82">
        <f>2446.33</f>
        <v>2446.33</v>
      </c>
      <c r="D23" s="83"/>
      <c r="F23" s="32">
        <f t="shared" si="1"/>
        <v>2446.33</v>
      </c>
    </row>
    <row r="24" spans="1:6" x14ac:dyDescent="0.75">
      <c r="A24" s="85">
        <f t="shared" si="0"/>
        <v>1735</v>
      </c>
      <c r="B24" s="81" t="s">
        <v>709</v>
      </c>
      <c r="C24" s="82">
        <f>4977.65</f>
        <v>4977.6499999999996</v>
      </c>
      <c r="D24" s="83"/>
      <c r="F24" s="32">
        <f t="shared" si="1"/>
        <v>4977.6499999999996</v>
      </c>
    </row>
    <row r="25" spans="1:6" x14ac:dyDescent="0.75">
      <c r="A25" s="85">
        <f t="shared" si="0"/>
        <v>1740</v>
      </c>
      <c r="B25" s="81" t="s">
        <v>710</v>
      </c>
      <c r="C25" s="82">
        <f>0</f>
        <v>0</v>
      </c>
      <c r="D25" s="83"/>
      <c r="F25" s="32">
        <f t="shared" si="1"/>
        <v>0</v>
      </c>
    </row>
    <row r="26" spans="1:6" x14ac:dyDescent="0.75">
      <c r="A26" s="85">
        <f t="shared" si="0"/>
        <v>1745</v>
      </c>
      <c r="B26" s="81" t="s">
        <v>711</v>
      </c>
      <c r="C26" s="82">
        <f>312187.15</f>
        <v>312187.15000000002</v>
      </c>
      <c r="D26" s="83"/>
      <c r="F26" s="32">
        <f t="shared" si="1"/>
        <v>312187.15000000002</v>
      </c>
    </row>
    <row r="27" spans="1:6" x14ac:dyDescent="0.75">
      <c r="A27" s="85">
        <f t="shared" si="0"/>
        <v>1750</v>
      </c>
      <c r="B27" s="81" t="s">
        <v>808</v>
      </c>
      <c r="C27" s="82">
        <f>10394.01</f>
        <v>10394.01</v>
      </c>
      <c r="D27" s="83"/>
      <c r="F27" s="32">
        <f t="shared" si="1"/>
        <v>10394.01</v>
      </c>
    </row>
    <row r="28" spans="1:6" x14ac:dyDescent="0.75">
      <c r="A28" s="85">
        <f t="shared" si="0"/>
        <v>1755</v>
      </c>
      <c r="B28" s="81" t="s">
        <v>712</v>
      </c>
      <c r="C28" s="82">
        <f>787.91</f>
        <v>787.91</v>
      </c>
      <c r="D28" s="83"/>
      <c r="F28" s="32">
        <f t="shared" si="1"/>
        <v>787.91</v>
      </c>
    </row>
    <row r="29" spans="1:6" x14ac:dyDescent="0.75">
      <c r="A29" s="85">
        <f t="shared" si="0"/>
        <v>1760</v>
      </c>
      <c r="B29" s="81" t="s">
        <v>713</v>
      </c>
      <c r="C29" s="82">
        <f>20105.95</f>
        <v>20105.95</v>
      </c>
      <c r="D29" s="83"/>
      <c r="F29" s="32">
        <f t="shared" si="1"/>
        <v>20105.95</v>
      </c>
    </row>
    <row r="30" spans="1:6" x14ac:dyDescent="0.75">
      <c r="A30" s="85">
        <f t="shared" si="0"/>
        <v>1765</v>
      </c>
      <c r="B30" s="81" t="s">
        <v>714</v>
      </c>
      <c r="C30" s="82">
        <f>1015.31</f>
        <v>1015.31</v>
      </c>
      <c r="D30" s="83"/>
      <c r="F30" s="32">
        <f t="shared" si="1"/>
        <v>1015.31</v>
      </c>
    </row>
    <row r="31" spans="1:6" x14ac:dyDescent="0.75">
      <c r="A31" s="85">
        <f t="shared" si="0"/>
        <v>1781</v>
      </c>
      <c r="B31" s="81" t="s">
        <v>809</v>
      </c>
      <c r="C31" s="83"/>
      <c r="D31" s="82">
        <f>43024.93</f>
        <v>43024.93</v>
      </c>
      <c r="F31" s="32">
        <f t="shared" si="1"/>
        <v>-43024.93</v>
      </c>
    </row>
    <row r="32" spans="1:6" x14ac:dyDescent="0.75">
      <c r="A32" s="85">
        <f t="shared" si="0"/>
        <v>1782</v>
      </c>
      <c r="B32" s="81" t="s">
        <v>715</v>
      </c>
      <c r="C32" s="82">
        <f>0</f>
        <v>0</v>
      </c>
      <c r="D32" s="83"/>
      <c r="F32" s="32">
        <f t="shared" si="1"/>
        <v>0</v>
      </c>
    </row>
    <row r="33" spans="1:6" x14ac:dyDescent="0.75">
      <c r="A33" s="85">
        <f t="shared" si="0"/>
        <v>1783</v>
      </c>
      <c r="B33" s="81" t="s">
        <v>716</v>
      </c>
      <c r="C33" s="83"/>
      <c r="D33" s="82">
        <f>984.39</f>
        <v>984.39</v>
      </c>
      <c r="F33" s="32">
        <f t="shared" si="1"/>
        <v>-984.39</v>
      </c>
    </row>
    <row r="34" spans="1:6" x14ac:dyDescent="0.75">
      <c r="A34" s="85">
        <f t="shared" si="0"/>
        <v>1784</v>
      </c>
      <c r="B34" s="81" t="s">
        <v>850</v>
      </c>
      <c r="C34" s="83"/>
      <c r="D34" s="82">
        <f>436.78</f>
        <v>436.78</v>
      </c>
      <c r="F34" s="32">
        <f t="shared" si="1"/>
        <v>-436.78</v>
      </c>
    </row>
    <row r="35" spans="1:6" x14ac:dyDescent="0.75">
      <c r="A35" s="85">
        <f t="shared" si="0"/>
        <v>1785</v>
      </c>
      <c r="B35" s="81" t="s">
        <v>717</v>
      </c>
      <c r="C35" s="83"/>
      <c r="D35" s="82">
        <f>4128.68</f>
        <v>4128.68</v>
      </c>
      <c r="F35" s="32">
        <f t="shared" si="1"/>
        <v>-4128.68</v>
      </c>
    </row>
    <row r="36" spans="1:6" x14ac:dyDescent="0.75">
      <c r="A36" s="85">
        <f t="shared" si="0"/>
        <v>1786</v>
      </c>
      <c r="B36" s="81" t="s">
        <v>718</v>
      </c>
      <c r="C36" s="82">
        <f>0</f>
        <v>0</v>
      </c>
      <c r="D36" s="83"/>
      <c r="F36" s="32">
        <f t="shared" si="1"/>
        <v>0</v>
      </c>
    </row>
    <row r="37" spans="1:6" x14ac:dyDescent="0.75">
      <c r="A37" s="85">
        <f t="shared" si="0"/>
        <v>1787</v>
      </c>
      <c r="B37" s="81" t="s">
        <v>719</v>
      </c>
      <c r="C37" s="83"/>
      <c r="D37" s="82">
        <f>176397.68</f>
        <v>176397.68</v>
      </c>
      <c r="F37" s="32">
        <f t="shared" si="1"/>
        <v>-176397.68</v>
      </c>
    </row>
    <row r="38" spans="1:6" x14ac:dyDescent="0.75">
      <c r="A38" s="85">
        <f t="shared" si="0"/>
        <v>1788</v>
      </c>
      <c r="B38" s="81" t="s">
        <v>810</v>
      </c>
      <c r="C38" s="83"/>
      <c r="D38" s="82">
        <f>10394.01</f>
        <v>10394.01</v>
      </c>
      <c r="F38" s="32">
        <f t="shared" si="1"/>
        <v>-10394.01</v>
      </c>
    </row>
    <row r="39" spans="1:6" x14ac:dyDescent="0.75">
      <c r="A39" s="85">
        <f t="shared" si="0"/>
        <v>1789</v>
      </c>
      <c r="B39" s="81" t="s">
        <v>720</v>
      </c>
      <c r="C39" s="83"/>
      <c r="D39" s="82">
        <f>787.91</f>
        <v>787.91</v>
      </c>
      <c r="F39" s="32">
        <f t="shared" si="1"/>
        <v>-787.91</v>
      </c>
    </row>
    <row r="40" spans="1:6" x14ac:dyDescent="0.75">
      <c r="A40" s="85">
        <f t="shared" si="0"/>
        <v>1790</v>
      </c>
      <c r="B40" s="81" t="s">
        <v>721</v>
      </c>
      <c r="C40" s="83"/>
      <c r="D40" s="82">
        <f>1015.31</f>
        <v>1015.31</v>
      </c>
      <c r="F40" s="32">
        <f t="shared" si="1"/>
        <v>-1015.31</v>
      </c>
    </row>
    <row r="41" spans="1:6" x14ac:dyDescent="0.75">
      <c r="A41" s="85">
        <f t="shared" si="0"/>
        <v>1791</v>
      </c>
      <c r="B41" s="81" t="s">
        <v>722</v>
      </c>
      <c r="C41" s="83"/>
      <c r="D41" s="82">
        <f>19794.99</f>
        <v>19794.990000000002</v>
      </c>
      <c r="F41" s="32">
        <f t="shared" si="1"/>
        <v>-19794.990000000002</v>
      </c>
    </row>
    <row r="42" spans="1:6" x14ac:dyDescent="0.75">
      <c r="A42" s="85">
        <f t="shared" si="0"/>
        <v>1810</v>
      </c>
      <c r="B42" s="81" t="s">
        <v>957</v>
      </c>
      <c r="C42" s="82">
        <f>62155</f>
        <v>62155</v>
      </c>
      <c r="D42" s="83"/>
      <c r="F42" s="32">
        <f t="shared" si="1"/>
        <v>62155</v>
      </c>
    </row>
    <row r="43" spans="1:6" x14ac:dyDescent="0.75">
      <c r="A43" s="85">
        <f t="shared" si="0"/>
        <v>1820</v>
      </c>
      <c r="B43" s="81" t="s">
        <v>229</v>
      </c>
      <c r="C43" s="82">
        <f>0</f>
        <v>0</v>
      </c>
      <c r="D43" s="83"/>
      <c r="F43" s="32">
        <f t="shared" si="1"/>
        <v>0</v>
      </c>
    </row>
    <row r="44" spans="1:6" x14ac:dyDescent="0.75">
      <c r="A44" s="85">
        <f t="shared" si="0"/>
        <v>1830</v>
      </c>
      <c r="B44" s="81" t="s">
        <v>723</v>
      </c>
      <c r="C44" s="82">
        <f>0</f>
        <v>0</v>
      </c>
      <c r="D44" s="83"/>
      <c r="F44" s="32">
        <f t="shared" si="1"/>
        <v>0</v>
      </c>
    </row>
    <row r="45" spans="1:6" x14ac:dyDescent="0.75">
      <c r="A45" s="85">
        <f t="shared" si="0"/>
        <v>1840</v>
      </c>
      <c r="B45" s="81" t="s">
        <v>811</v>
      </c>
      <c r="C45" s="82">
        <f>0</f>
        <v>0</v>
      </c>
      <c r="D45" s="83"/>
      <c r="F45" s="32">
        <f t="shared" si="1"/>
        <v>0</v>
      </c>
    </row>
    <row r="46" spans="1:6" x14ac:dyDescent="0.75">
      <c r="A46" s="85">
        <f t="shared" si="0"/>
        <v>1900</v>
      </c>
      <c r="B46" s="81" t="s">
        <v>233</v>
      </c>
      <c r="C46" s="93">
        <f>5980-5980</f>
        <v>0</v>
      </c>
      <c r="D46" s="83"/>
      <c r="F46" s="32">
        <f t="shared" si="1"/>
        <v>0</v>
      </c>
    </row>
    <row r="47" spans="1:6" x14ac:dyDescent="0.75">
      <c r="A47" s="85">
        <f t="shared" si="0"/>
        <v>1902</v>
      </c>
      <c r="B47" s="81" t="s">
        <v>812</v>
      </c>
      <c r="C47" s="93">
        <f>3245-3245</f>
        <v>0</v>
      </c>
      <c r="D47" s="83"/>
      <c r="F47" s="32">
        <f t="shared" si="1"/>
        <v>0</v>
      </c>
    </row>
    <row r="48" spans="1:6" x14ac:dyDescent="0.75">
      <c r="A48" s="85">
        <f t="shared" si="0"/>
        <v>1904</v>
      </c>
      <c r="B48" s="81" t="s">
        <v>724</v>
      </c>
      <c r="C48" s="82">
        <f>0</f>
        <v>0</v>
      </c>
      <c r="D48" s="83"/>
      <c r="F48" s="32">
        <f t="shared" si="1"/>
        <v>0</v>
      </c>
    </row>
    <row r="49" spans="1:6" x14ac:dyDescent="0.75">
      <c r="A49" s="85">
        <f t="shared" si="0"/>
        <v>1906</v>
      </c>
      <c r="B49" s="81" t="s">
        <v>725</v>
      </c>
      <c r="C49" s="82">
        <f>0</f>
        <v>0</v>
      </c>
      <c r="D49" s="83"/>
      <c r="F49" s="32">
        <f t="shared" si="1"/>
        <v>0</v>
      </c>
    </row>
    <row r="50" spans="1:6" x14ac:dyDescent="0.75">
      <c r="A50" s="85">
        <f t="shared" si="0"/>
        <v>1908</v>
      </c>
      <c r="B50" s="81" t="s">
        <v>241</v>
      </c>
      <c r="C50" s="82">
        <f>0</f>
        <v>0</v>
      </c>
      <c r="D50" s="83"/>
      <c r="F50" s="32">
        <f t="shared" si="1"/>
        <v>0</v>
      </c>
    </row>
    <row r="51" spans="1:6" x14ac:dyDescent="0.75">
      <c r="A51" s="85">
        <f t="shared" si="0"/>
        <v>1910</v>
      </c>
      <c r="B51" s="81" t="s">
        <v>726</v>
      </c>
      <c r="C51" s="93">
        <f>2500-2500</f>
        <v>0</v>
      </c>
      <c r="D51" s="83"/>
      <c r="F51" s="32">
        <f t="shared" si="1"/>
        <v>0</v>
      </c>
    </row>
    <row r="52" spans="1:6" x14ac:dyDescent="0.75">
      <c r="A52" s="85">
        <f t="shared" si="0"/>
        <v>1912</v>
      </c>
      <c r="B52" s="81" t="s">
        <v>727</v>
      </c>
      <c r="C52" s="82">
        <f>0</f>
        <v>0</v>
      </c>
      <c r="D52" s="83"/>
      <c r="F52" s="32">
        <f t="shared" si="1"/>
        <v>0</v>
      </c>
    </row>
    <row r="53" spans="1:6" x14ac:dyDescent="0.75">
      <c r="A53" s="85">
        <f t="shared" si="0"/>
        <v>1914</v>
      </c>
      <c r="B53" s="81" t="s">
        <v>247</v>
      </c>
      <c r="C53" s="82">
        <f>0</f>
        <v>0</v>
      </c>
      <c r="D53" s="83"/>
      <c r="F53" s="32">
        <f t="shared" si="1"/>
        <v>0</v>
      </c>
    </row>
    <row r="54" spans="1:6" x14ac:dyDescent="0.75">
      <c r="A54" s="85">
        <f t="shared" si="0"/>
        <v>1916</v>
      </c>
      <c r="B54" s="81" t="s">
        <v>728</v>
      </c>
      <c r="C54" s="82">
        <f>0</f>
        <v>0</v>
      </c>
      <c r="D54" s="83"/>
      <c r="F54" s="32">
        <f t="shared" si="1"/>
        <v>0</v>
      </c>
    </row>
    <row r="55" spans="1:6" x14ac:dyDescent="0.75">
      <c r="A55" s="85">
        <f t="shared" si="0"/>
        <v>1918</v>
      </c>
      <c r="B55" s="81" t="s">
        <v>729</v>
      </c>
      <c r="C55" s="82">
        <f>0</f>
        <v>0</v>
      </c>
      <c r="D55" s="83"/>
      <c r="F55" s="32">
        <f t="shared" si="1"/>
        <v>0</v>
      </c>
    </row>
    <row r="56" spans="1:6" x14ac:dyDescent="0.75">
      <c r="A56" s="85">
        <f t="shared" si="0"/>
        <v>1920</v>
      </c>
      <c r="B56" s="81" t="s">
        <v>730</v>
      </c>
      <c r="C56" s="82">
        <f>0</f>
        <v>0</v>
      </c>
      <c r="D56" s="83"/>
      <c r="F56" s="32">
        <f t="shared" si="1"/>
        <v>0</v>
      </c>
    </row>
    <row r="57" spans="1:6" x14ac:dyDescent="0.75">
      <c r="A57" s="85">
        <f t="shared" si="0"/>
        <v>1922</v>
      </c>
      <c r="B57" s="81" t="s">
        <v>731</v>
      </c>
      <c r="C57" s="82">
        <f>0</f>
        <v>0</v>
      </c>
      <c r="D57" s="83"/>
      <c r="F57" s="32">
        <f t="shared" si="1"/>
        <v>0</v>
      </c>
    </row>
    <row r="58" spans="1:6" x14ac:dyDescent="0.75">
      <c r="A58" s="85">
        <f t="shared" si="0"/>
        <v>1924</v>
      </c>
      <c r="B58" s="81" t="s">
        <v>732</v>
      </c>
      <c r="C58" s="93">
        <f>16253.59-16253.59</f>
        <v>0</v>
      </c>
      <c r="D58" s="83"/>
      <c r="F58" s="32">
        <f t="shared" si="1"/>
        <v>0</v>
      </c>
    </row>
    <row r="59" spans="1:6" x14ac:dyDescent="0.75">
      <c r="A59" s="85">
        <f t="shared" si="0"/>
        <v>1926</v>
      </c>
      <c r="B59" s="81" t="s">
        <v>733</v>
      </c>
      <c r="C59" s="82">
        <f>0</f>
        <v>0</v>
      </c>
      <c r="D59" s="83"/>
      <c r="F59" s="32">
        <f t="shared" si="1"/>
        <v>0</v>
      </c>
    </row>
    <row r="60" spans="1:6" x14ac:dyDescent="0.75">
      <c r="A60" s="85">
        <f t="shared" si="0"/>
        <v>1928</v>
      </c>
      <c r="B60" s="81" t="s">
        <v>734</v>
      </c>
      <c r="C60" s="82">
        <f>43132.88</f>
        <v>43132.88</v>
      </c>
      <c r="D60" s="83"/>
      <c r="F60" s="32">
        <f t="shared" si="1"/>
        <v>43132.88</v>
      </c>
    </row>
    <row r="61" spans="1:6" x14ac:dyDescent="0.75">
      <c r="A61" s="85">
        <f t="shared" si="0"/>
        <v>1930</v>
      </c>
      <c r="B61" s="81" t="s">
        <v>735</v>
      </c>
      <c r="C61" s="82">
        <f>0</f>
        <v>0</v>
      </c>
      <c r="D61" s="83"/>
      <c r="F61" s="32">
        <f t="shared" si="1"/>
        <v>0</v>
      </c>
    </row>
    <row r="62" spans="1:6" x14ac:dyDescent="0.75">
      <c r="A62" s="85">
        <f t="shared" si="0"/>
        <v>1950</v>
      </c>
      <c r="B62" s="81" t="s">
        <v>930</v>
      </c>
      <c r="C62" s="83"/>
      <c r="D62" s="93">
        <f>39740.55+3392.34</f>
        <v>43132.89</v>
      </c>
      <c r="F62" s="32">
        <f t="shared" si="1"/>
        <v>-43132.89</v>
      </c>
    </row>
    <row r="63" spans="1:6" x14ac:dyDescent="0.75">
      <c r="A63" s="85">
        <f t="shared" si="0"/>
        <v>1932</v>
      </c>
      <c r="B63" s="81" t="s">
        <v>736</v>
      </c>
      <c r="C63" s="82">
        <f>0</f>
        <v>0</v>
      </c>
      <c r="D63" s="83"/>
      <c r="F63" s="32">
        <f t="shared" si="1"/>
        <v>0</v>
      </c>
    </row>
    <row r="64" spans="1:6" x14ac:dyDescent="0.75">
      <c r="A64" s="85">
        <f t="shared" si="0"/>
        <v>1960</v>
      </c>
      <c r="B64" s="81" t="s">
        <v>737</v>
      </c>
      <c r="C64" s="82">
        <f>0</f>
        <v>0</v>
      </c>
      <c r="D64" s="83"/>
      <c r="F64" s="32">
        <f t="shared" si="1"/>
        <v>0</v>
      </c>
    </row>
    <row r="65" spans="1:6" x14ac:dyDescent="0.75">
      <c r="A65" s="85">
        <f t="shared" si="0"/>
        <v>1980</v>
      </c>
      <c r="B65" s="81" t="s">
        <v>738</v>
      </c>
      <c r="C65" s="82">
        <f>0</f>
        <v>0</v>
      </c>
      <c r="D65" s="83"/>
      <c r="F65" s="32">
        <f t="shared" si="1"/>
        <v>0</v>
      </c>
    </row>
    <row r="66" spans="1:6" x14ac:dyDescent="0.75">
      <c r="A66" s="85">
        <f t="shared" si="0"/>
        <v>2000</v>
      </c>
      <c r="B66" s="81" t="s">
        <v>251</v>
      </c>
      <c r="C66" s="83"/>
      <c r="D66" s="93">
        <f>56600.13-4477.25</f>
        <v>52122.879999999997</v>
      </c>
      <c r="F66" s="32">
        <f t="shared" si="1"/>
        <v>-52122.879999999997</v>
      </c>
    </row>
    <row r="67" spans="1:6" x14ac:dyDescent="0.75">
      <c r="A67" s="85">
        <f t="shared" si="0"/>
        <v>2101</v>
      </c>
      <c r="B67" s="81" t="s">
        <v>739</v>
      </c>
      <c r="C67" s="83"/>
      <c r="D67" s="82">
        <f>1219.64</f>
        <v>1219.6400000000001</v>
      </c>
      <c r="F67" s="32">
        <f t="shared" si="1"/>
        <v>-1219.6400000000001</v>
      </c>
    </row>
    <row r="68" spans="1:6" x14ac:dyDescent="0.75">
      <c r="A68" s="85">
        <f t="shared" si="0"/>
        <v>2102</v>
      </c>
      <c r="B68" s="81" t="s">
        <v>740</v>
      </c>
      <c r="C68" s="83"/>
      <c r="D68" s="82">
        <f>12899.14</f>
        <v>12899.14</v>
      </c>
      <c r="F68" s="32">
        <f t="shared" si="1"/>
        <v>-12899.14</v>
      </c>
    </row>
    <row r="69" spans="1:6" x14ac:dyDescent="0.75">
      <c r="A69" s="85">
        <f t="shared" si="0"/>
        <v>2103</v>
      </c>
      <c r="B69" s="81" t="s">
        <v>813</v>
      </c>
      <c r="C69" s="83"/>
      <c r="D69" s="82">
        <f>8469.4</f>
        <v>8469.4</v>
      </c>
      <c r="F69" s="32">
        <f t="shared" si="1"/>
        <v>-8469.4</v>
      </c>
    </row>
    <row r="70" spans="1:6" x14ac:dyDescent="0.75">
      <c r="A70" s="85">
        <f t="shared" ref="A70:A134" si="2">VALUE(LEFT(B70,4))</f>
        <v>2104</v>
      </c>
      <c r="B70" s="81" t="s">
        <v>741</v>
      </c>
      <c r="C70" s="83"/>
      <c r="D70" s="82">
        <f>8560.91</f>
        <v>8560.91</v>
      </c>
      <c r="F70" s="32">
        <f t="shared" si="1"/>
        <v>-8560.91</v>
      </c>
    </row>
    <row r="71" spans="1:6" x14ac:dyDescent="0.75">
      <c r="A71" s="85">
        <f t="shared" si="2"/>
        <v>2105</v>
      </c>
      <c r="B71" s="81" t="s">
        <v>814</v>
      </c>
      <c r="C71" s="83"/>
      <c r="D71" s="82">
        <f>0</f>
        <v>0</v>
      </c>
      <c r="F71" s="32">
        <f t="shared" ref="F71:F135" si="3">C71-D71</f>
        <v>0</v>
      </c>
    </row>
    <row r="72" spans="1:6" x14ac:dyDescent="0.75">
      <c r="A72" s="85">
        <f t="shared" si="2"/>
        <v>2010</v>
      </c>
      <c r="B72" s="81" t="s">
        <v>277</v>
      </c>
      <c r="C72" s="83"/>
      <c r="D72" s="82">
        <f>0</f>
        <v>0</v>
      </c>
      <c r="F72" s="32">
        <f t="shared" si="3"/>
        <v>0</v>
      </c>
    </row>
    <row r="73" spans="1:6" x14ac:dyDescent="0.75">
      <c r="A73" s="85">
        <f t="shared" si="2"/>
        <v>2020</v>
      </c>
      <c r="B73" s="81" t="s">
        <v>742</v>
      </c>
      <c r="C73" s="83"/>
      <c r="D73" s="82">
        <f>0</f>
        <v>0</v>
      </c>
      <c r="F73" s="32">
        <f t="shared" si="3"/>
        <v>0</v>
      </c>
    </row>
    <row r="74" spans="1:6" x14ac:dyDescent="0.75">
      <c r="A74" s="85">
        <f t="shared" si="2"/>
        <v>2106</v>
      </c>
      <c r="B74" s="81" t="s">
        <v>743</v>
      </c>
      <c r="C74" s="83"/>
      <c r="D74" s="82">
        <f>7191.75</f>
        <v>7191.75</v>
      </c>
      <c r="F74" s="32">
        <f t="shared" si="3"/>
        <v>-7191.75</v>
      </c>
    </row>
    <row r="75" spans="1:6" x14ac:dyDescent="0.75">
      <c r="A75" s="85">
        <f t="shared" si="2"/>
        <v>2210</v>
      </c>
      <c r="B75" s="81" t="s">
        <v>744</v>
      </c>
      <c r="C75" s="83"/>
      <c r="D75" s="93">
        <f>628339.38+30000+10000-253.97+616.79+4477.25+21931+35000</f>
        <v>730110.45000000007</v>
      </c>
      <c r="F75" s="32">
        <f t="shared" si="3"/>
        <v>-730110.45000000007</v>
      </c>
    </row>
    <row r="76" spans="1:6" x14ac:dyDescent="0.75">
      <c r="A76" s="85">
        <f t="shared" si="2"/>
        <v>2231</v>
      </c>
      <c r="B76" s="81" t="s">
        <v>745</v>
      </c>
      <c r="C76" s="83"/>
      <c r="D76" s="82">
        <f>0</f>
        <v>0</v>
      </c>
      <c r="F76" s="32">
        <f t="shared" si="3"/>
        <v>0</v>
      </c>
    </row>
    <row r="77" spans="1:6" x14ac:dyDescent="0.75">
      <c r="A77" s="85">
        <f t="shared" si="2"/>
        <v>2232</v>
      </c>
      <c r="B77" s="81" t="s">
        <v>746</v>
      </c>
      <c r="C77" s="83"/>
      <c r="D77" s="82">
        <f>0</f>
        <v>0</v>
      </c>
      <c r="F77" s="32">
        <f t="shared" si="3"/>
        <v>0</v>
      </c>
    </row>
    <row r="78" spans="1:6" x14ac:dyDescent="0.75">
      <c r="A78" s="85">
        <f t="shared" si="2"/>
        <v>2233</v>
      </c>
      <c r="B78" s="81" t="s">
        <v>747</v>
      </c>
      <c r="C78" s="83"/>
      <c r="D78" s="82">
        <f>0</f>
        <v>0</v>
      </c>
      <c r="F78" s="32">
        <f t="shared" si="3"/>
        <v>0</v>
      </c>
    </row>
    <row r="79" spans="1:6" x14ac:dyDescent="0.75">
      <c r="A79" s="85">
        <f t="shared" si="2"/>
        <v>2235</v>
      </c>
      <c r="B79" s="81" t="s">
        <v>748</v>
      </c>
      <c r="C79" s="83"/>
      <c r="D79" s="82">
        <f>0</f>
        <v>0</v>
      </c>
      <c r="F79" s="32">
        <f t="shared" si="3"/>
        <v>0</v>
      </c>
    </row>
    <row r="80" spans="1:6" x14ac:dyDescent="0.75">
      <c r="A80" s="85">
        <f t="shared" si="2"/>
        <v>2236</v>
      </c>
      <c r="B80" s="81" t="s">
        <v>749</v>
      </c>
      <c r="C80" s="83"/>
      <c r="D80" s="82">
        <f>0</f>
        <v>0</v>
      </c>
      <c r="F80" s="32">
        <f t="shared" si="3"/>
        <v>0</v>
      </c>
    </row>
    <row r="81" spans="1:6" x14ac:dyDescent="0.75">
      <c r="A81" s="85">
        <f t="shared" si="2"/>
        <v>2250</v>
      </c>
      <c r="B81" s="81" t="s">
        <v>750</v>
      </c>
      <c r="C81" s="83"/>
      <c r="D81" s="82">
        <f>0</f>
        <v>0</v>
      </c>
      <c r="F81" s="32">
        <f t="shared" si="3"/>
        <v>0</v>
      </c>
    </row>
    <row r="82" spans="1:6" x14ac:dyDescent="0.75">
      <c r="A82" s="85">
        <f t="shared" si="2"/>
        <v>2270</v>
      </c>
      <c r="B82" s="81" t="s">
        <v>751</v>
      </c>
      <c r="C82" s="83"/>
      <c r="D82" s="82">
        <f>0</f>
        <v>0</v>
      </c>
      <c r="F82" s="32">
        <f t="shared" si="3"/>
        <v>0</v>
      </c>
    </row>
    <row r="83" spans="1:6" x14ac:dyDescent="0.75">
      <c r="A83" s="85">
        <f t="shared" si="2"/>
        <v>2280</v>
      </c>
      <c r="B83" s="81" t="s">
        <v>752</v>
      </c>
      <c r="C83" s="83"/>
      <c r="D83" s="82">
        <f>0</f>
        <v>0</v>
      </c>
      <c r="F83" s="32">
        <f t="shared" si="3"/>
        <v>0</v>
      </c>
    </row>
    <row r="84" spans="1:6" x14ac:dyDescent="0.75">
      <c r="A84" s="85">
        <f t="shared" si="2"/>
        <v>2285</v>
      </c>
      <c r="B84" s="81" t="s">
        <v>753</v>
      </c>
      <c r="C84" s="83"/>
      <c r="D84" s="82">
        <f>0</f>
        <v>0</v>
      </c>
      <c r="F84" s="32">
        <f t="shared" si="3"/>
        <v>0</v>
      </c>
    </row>
    <row r="85" spans="1:6" x14ac:dyDescent="0.75">
      <c r="A85" s="85">
        <f t="shared" si="2"/>
        <v>2290</v>
      </c>
      <c r="B85" s="81" t="s">
        <v>754</v>
      </c>
      <c r="C85" s="83"/>
      <c r="D85" s="93">
        <f>9740-9740+40000</f>
        <v>40000</v>
      </c>
      <c r="F85" s="32">
        <f t="shared" si="3"/>
        <v>-40000</v>
      </c>
    </row>
    <row r="86" spans="1:6" x14ac:dyDescent="0.75">
      <c r="A86" s="85">
        <f t="shared" si="2"/>
        <v>2305</v>
      </c>
      <c r="B86" s="81" t="s">
        <v>755</v>
      </c>
      <c r="C86" s="83"/>
      <c r="D86" s="82">
        <f>1221957.72</f>
        <v>1221957.72</v>
      </c>
      <c r="F86" s="32">
        <f t="shared" si="3"/>
        <v>-1221957.72</v>
      </c>
    </row>
    <row r="87" spans="1:6" x14ac:dyDescent="0.75">
      <c r="A87" s="85">
        <f t="shared" si="2"/>
        <v>2310</v>
      </c>
      <c r="B87" s="81" t="s">
        <v>756</v>
      </c>
      <c r="C87" s="83"/>
      <c r="D87" s="93">
        <f>35000-35000</f>
        <v>0</v>
      </c>
      <c r="F87" s="32">
        <f t="shared" si="3"/>
        <v>0</v>
      </c>
    </row>
    <row r="88" spans="1:6" x14ac:dyDescent="0.75">
      <c r="A88" s="85">
        <f t="shared" si="2"/>
        <v>2320</v>
      </c>
      <c r="B88" s="81" t="s">
        <v>859</v>
      </c>
      <c r="C88" s="83"/>
      <c r="D88" s="82">
        <f>0</f>
        <v>0</v>
      </c>
      <c r="F88" s="32">
        <f t="shared" si="3"/>
        <v>0</v>
      </c>
    </row>
    <row r="89" spans="1:6" x14ac:dyDescent="0.75">
      <c r="A89" s="85">
        <f t="shared" si="2"/>
        <v>2400</v>
      </c>
      <c r="B89" s="81" t="s">
        <v>757</v>
      </c>
      <c r="C89" s="83"/>
      <c r="D89" s="82">
        <f>128516.29</f>
        <v>128516.29</v>
      </c>
      <c r="F89" s="32">
        <f t="shared" si="3"/>
        <v>-128516.29</v>
      </c>
    </row>
    <row r="90" spans="1:6" x14ac:dyDescent="0.75">
      <c r="A90" s="85">
        <f t="shared" si="2"/>
        <v>2405</v>
      </c>
      <c r="B90" s="81" t="s">
        <v>815</v>
      </c>
      <c r="C90" s="83"/>
      <c r="D90" s="82">
        <f>55875.53</f>
        <v>55875.53</v>
      </c>
      <c r="F90" s="32">
        <f t="shared" si="3"/>
        <v>-55875.53</v>
      </c>
    </row>
    <row r="91" spans="1:6" x14ac:dyDescent="0.75">
      <c r="A91" s="85">
        <f t="shared" si="2"/>
        <v>2410</v>
      </c>
      <c r="B91" s="81" t="s">
        <v>758</v>
      </c>
      <c r="C91" s="83"/>
      <c r="D91" s="82">
        <f>0</f>
        <v>0</v>
      </c>
      <c r="F91" s="32">
        <f t="shared" si="3"/>
        <v>0</v>
      </c>
    </row>
    <row r="92" spans="1:6" x14ac:dyDescent="0.75">
      <c r="A92" s="85">
        <f t="shared" si="2"/>
        <v>2415</v>
      </c>
      <c r="B92" s="81" t="s">
        <v>759</v>
      </c>
      <c r="C92" s="83"/>
      <c r="D92" s="82">
        <f>0</f>
        <v>0</v>
      </c>
      <c r="F92" s="32">
        <f t="shared" si="3"/>
        <v>0</v>
      </c>
    </row>
    <row r="93" spans="1:6" x14ac:dyDescent="0.75">
      <c r="A93" s="85">
        <f t="shared" si="2"/>
        <v>2420</v>
      </c>
      <c r="B93" s="81" t="s">
        <v>760</v>
      </c>
      <c r="C93" s="83"/>
      <c r="D93" s="82">
        <f>0</f>
        <v>0</v>
      </c>
      <c r="F93" s="32">
        <f t="shared" si="3"/>
        <v>0</v>
      </c>
    </row>
    <row r="94" spans="1:6" x14ac:dyDescent="0.75">
      <c r="A94" s="85">
        <f t="shared" si="2"/>
        <v>2425</v>
      </c>
      <c r="B94" s="81" t="s">
        <v>761</v>
      </c>
      <c r="C94" s="83"/>
      <c r="D94" s="82">
        <f>0</f>
        <v>0</v>
      </c>
      <c r="F94" s="32">
        <f t="shared" si="3"/>
        <v>0</v>
      </c>
    </row>
    <row r="95" spans="1:6" x14ac:dyDescent="0.75">
      <c r="A95" s="85">
        <f t="shared" si="2"/>
        <v>2430</v>
      </c>
      <c r="B95" s="81" t="s">
        <v>762</v>
      </c>
      <c r="C95" s="83"/>
      <c r="D95" s="82">
        <f>0</f>
        <v>0</v>
      </c>
      <c r="F95" s="32">
        <f t="shared" si="3"/>
        <v>0</v>
      </c>
    </row>
    <row r="96" spans="1:6" x14ac:dyDescent="0.75">
      <c r="A96" s="85">
        <f t="shared" si="2"/>
        <v>2470</v>
      </c>
      <c r="B96" s="81" t="s">
        <v>958</v>
      </c>
      <c r="C96" s="83"/>
      <c r="D96" s="82">
        <f>62155</f>
        <v>62155</v>
      </c>
      <c r="F96" s="32">
        <f t="shared" si="3"/>
        <v>-62155</v>
      </c>
    </row>
    <row r="97" spans="1:6" x14ac:dyDescent="0.75">
      <c r="A97" s="85">
        <f t="shared" si="2"/>
        <v>2705</v>
      </c>
      <c r="B97" s="81" t="s">
        <v>816</v>
      </c>
      <c r="C97" s="83"/>
      <c r="D97" s="82">
        <f>50000</f>
        <v>50000</v>
      </c>
      <c r="F97" s="32">
        <f t="shared" si="3"/>
        <v>-50000</v>
      </c>
    </row>
    <row r="98" spans="1:6" x14ac:dyDescent="0.75">
      <c r="A98" s="85">
        <f t="shared" si="2"/>
        <v>2710</v>
      </c>
      <c r="B98" s="81" t="s">
        <v>817</v>
      </c>
      <c r="C98" s="83"/>
      <c r="D98" s="82">
        <f>15000</f>
        <v>15000</v>
      </c>
      <c r="F98" s="32">
        <f t="shared" si="3"/>
        <v>-15000</v>
      </c>
    </row>
    <row r="99" spans="1:6" x14ac:dyDescent="0.75">
      <c r="A99" s="85">
        <f t="shared" si="2"/>
        <v>2715</v>
      </c>
      <c r="B99" s="81" t="s">
        <v>818</v>
      </c>
      <c r="C99" s="83"/>
      <c r="D99" s="82">
        <f>25000</f>
        <v>25000</v>
      </c>
      <c r="F99" s="32">
        <f t="shared" si="3"/>
        <v>-25000</v>
      </c>
    </row>
    <row r="100" spans="1:6" x14ac:dyDescent="0.75">
      <c r="A100" s="85">
        <f t="shared" si="2"/>
        <v>2720</v>
      </c>
      <c r="B100" s="81" t="s">
        <v>819</v>
      </c>
      <c r="C100" s="83"/>
      <c r="D100" s="82">
        <f>50000</f>
        <v>50000</v>
      </c>
      <c r="F100" s="32">
        <f t="shared" si="3"/>
        <v>-50000</v>
      </c>
    </row>
    <row r="101" spans="1:6" x14ac:dyDescent="0.75">
      <c r="A101" s="85">
        <f t="shared" si="2"/>
        <v>2725</v>
      </c>
      <c r="B101" s="81" t="s">
        <v>820</v>
      </c>
      <c r="C101" s="83"/>
      <c r="D101" s="82">
        <f>60000</f>
        <v>60000</v>
      </c>
      <c r="F101" s="32">
        <f t="shared" si="3"/>
        <v>-60000</v>
      </c>
    </row>
    <row r="102" spans="1:6" x14ac:dyDescent="0.75">
      <c r="A102" s="85">
        <f t="shared" si="2"/>
        <v>2730</v>
      </c>
      <c r="B102" s="81" t="s">
        <v>821</v>
      </c>
      <c r="C102" s="83"/>
      <c r="D102" s="93">
        <f>100000+8527</f>
        <v>108527</v>
      </c>
      <c r="F102" s="32">
        <f t="shared" si="3"/>
        <v>-108527</v>
      </c>
    </row>
    <row r="103" spans="1:6" x14ac:dyDescent="0.75">
      <c r="A103" s="85">
        <f t="shared" si="2"/>
        <v>2735</v>
      </c>
      <c r="B103" s="81" t="s">
        <v>822</v>
      </c>
      <c r="C103" s="83"/>
      <c r="D103" s="82">
        <f>150000</f>
        <v>150000</v>
      </c>
      <c r="F103" s="32">
        <f t="shared" si="3"/>
        <v>-150000</v>
      </c>
    </row>
    <row r="104" spans="1:6" x14ac:dyDescent="0.75">
      <c r="A104" s="85">
        <f t="shared" si="2"/>
        <v>2740</v>
      </c>
      <c r="B104" s="81" t="s">
        <v>823</v>
      </c>
      <c r="C104" s="83"/>
      <c r="D104" s="82">
        <f>40000</f>
        <v>40000</v>
      </c>
      <c r="F104" s="32">
        <f t="shared" si="3"/>
        <v>-40000</v>
      </c>
    </row>
    <row r="105" spans="1:6" x14ac:dyDescent="0.75">
      <c r="A105" s="85">
        <f t="shared" si="2"/>
        <v>2745</v>
      </c>
      <c r="B105" s="81" t="s">
        <v>940</v>
      </c>
      <c r="C105" s="83"/>
      <c r="D105" s="93">
        <f>113517.1+429.85+214.93*3+207.91</f>
        <v>114799.65000000001</v>
      </c>
      <c r="F105" s="32">
        <f t="shared" si="3"/>
        <v>-114799.65000000001</v>
      </c>
    </row>
    <row r="106" spans="1:6" x14ac:dyDescent="0.75">
      <c r="A106" s="85">
        <f t="shared" si="2"/>
        <v>2750</v>
      </c>
      <c r="B106" s="81" t="s">
        <v>824</v>
      </c>
      <c r="C106" s="83"/>
      <c r="D106" s="82">
        <f>50000</f>
        <v>50000</v>
      </c>
      <c r="F106" s="32">
        <f t="shared" si="3"/>
        <v>-50000</v>
      </c>
    </row>
    <row r="107" spans="1:6" x14ac:dyDescent="0.75">
      <c r="A107" s="85">
        <f t="shared" si="2"/>
        <v>2755</v>
      </c>
      <c r="B107" s="81" t="s">
        <v>825</v>
      </c>
      <c r="C107" s="83"/>
      <c r="D107" s="82">
        <f>25000</f>
        <v>25000</v>
      </c>
      <c r="F107" s="32">
        <f t="shared" si="3"/>
        <v>-25000</v>
      </c>
    </row>
    <row r="108" spans="1:6" x14ac:dyDescent="0.75">
      <c r="A108" s="85">
        <f t="shared" si="2"/>
        <v>2760</v>
      </c>
      <c r="B108" s="81" t="s">
        <v>826</v>
      </c>
      <c r="C108" s="83"/>
      <c r="D108" s="82">
        <f>170000</f>
        <v>170000</v>
      </c>
      <c r="F108" s="32">
        <f t="shared" si="3"/>
        <v>-170000</v>
      </c>
    </row>
    <row r="109" spans="1:6" x14ac:dyDescent="0.75">
      <c r="A109" s="85">
        <f t="shared" si="2"/>
        <v>2765</v>
      </c>
      <c r="B109" s="81" t="s">
        <v>827</v>
      </c>
      <c r="C109" s="83"/>
      <c r="D109" s="82">
        <f>50000</f>
        <v>50000</v>
      </c>
      <c r="F109" s="32">
        <f t="shared" si="3"/>
        <v>-50000</v>
      </c>
    </row>
    <row r="110" spans="1:6" x14ac:dyDescent="0.75">
      <c r="A110" s="85">
        <f t="shared" si="2"/>
        <v>2770</v>
      </c>
      <c r="B110" s="81" t="s">
        <v>828</v>
      </c>
      <c r="C110" s="83"/>
      <c r="D110" s="82">
        <f>2500</f>
        <v>2500</v>
      </c>
      <c r="F110" s="32">
        <f t="shared" si="3"/>
        <v>-2500</v>
      </c>
    </row>
    <row r="111" spans="1:6" x14ac:dyDescent="0.75">
      <c r="A111" s="85">
        <f t="shared" si="2"/>
        <v>2775</v>
      </c>
      <c r="B111" s="81" t="s">
        <v>829</v>
      </c>
      <c r="C111" s="83"/>
      <c r="D111" s="82">
        <f>50000</f>
        <v>50000</v>
      </c>
      <c r="F111" s="32">
        <f t="shared" si="3"/>
        <v>-50000</v>
      </c>
    </row>
    <row r="112" spans="1:6" x14ac:dyDescent="0.75">
      <c r="A112" s="85">
        <f t="shared" si="2"/>
        <v>2780</v>
      </c>
      <c r="B112" s="81" t="s">
        <v>830</v>
      </c>
      <c r="C112" s="83"/>
      <c r="D112" s="82">
        <f>25000</f>
        <v>25000</v>
      </c>
      <c r="F112" s="32">
        <f t="shared" si="3"/>
        <v>-25000</v>
      </c>
    </row>
    <row r="113" spans="1:6" x14ac:dyDescent="0.75">
      <c r="A113" s="85">
        <f t="shared" si="2"/>
        <v>2785</v>
      </c>
      <c r="B113" s="81" t="s">
        <v>947</v>
      </c>
      <c r="C113" s="83"/>
      <c r="D113" s="82">
        <f>0</f>
        <v>0</v>
      </c>
      <c r="F113" s="32">
        <f t="shared" si="3"/>
        <v>0</v>
      </c>
    </row>
    <row r="114" spans="1:6" x14ac:dyDescent="0.75">
      <c r="A114" s="85">
        <f t="shared" si="2"/>
        <v>2790</v>
      </c>
      <c r="B114" s="81" t="s">
        <v>943</v>
      </c>
      <c r="C114" s="82">
        <f>344839</f>
        <v>344839</v>
      </c>
      <c r="D114" s="83"/>
      <c r="F114" s="32">
        <f t="shared" si="3"/>
        <v>344839</v>
      </c>
    </row>
    <row r="115" spans="1:6" x14ac:dyDescent="0.75">
      <c r="A115" s="85">
        <f t="shared" si="2"/>
        <v>3000</v>
      </c>
      <c r="B115" s="81" t="s">
        <v>307</v>
      </c>
      <c r="C115" s="83"/>
      <c r="D115" s="93">
        <f>46184.14+50+35+11+5+5</f>
        <v>46290.14</v>
      </c>
      <c r="F115" s="32">
        <f t="shared" si="3"/>
        <v>-46290.14</v>
      </c>
    </row>
    <row r="116" spans="1:6" x14ac:dyDescent="0.75">
      <c r="A116" s="85">
        <f t="shared" si="2"/>
        <v>3100</v>
      </c>
      <c r="B116" s="81" t="s">
        <v>308</v>
      </c>
      <c r="C116" s="83"/>
      <c r="D116" s="93">
        <f>7384926.46+12450+6965+2189+345+345</f>
        <v>7407220.46</v>
      </c>
      <c r="F116" s="32">
        <f t="shared" si="3"/>
        <v>-7407220.46</v>
      </c>
    </row>
    <row r="117" spans="1:6" x14ac:dyDescent="0.75">
      <c r="A117" s="85">
        <f t="shared" si="2"/>
        <v>3200</v>
      </c>
      <c r="B117" s="81" t="s">
        <v>309</v>
      </c>
      <c r="C117" s="83"/>
      <c r="D117" s="82">
        <f>0</f>
        <v>0</v>
      </c>
      <c r="F117" s="32">
        <f t="shared" si="3"/>
        <v>0</v>
      </c>
    </row>
    <row r="118" spans="1:6" x14ac:dyDescent="0.75">
      <c r="A118" s="85">
        <f t="shared" si="2"/>
        <v>3300</v>
      </c>
      <c r="B118" s="81" t="s">
        <v>763</v>
      </c>
      <c r="C118" s="83"/>
      <c r="D118" s="82">
        <f>0</f>
        <v>0</v>
      </c>
      <c r="F118" s="32">
        <f t="shared" si="3"/>
        <v>0</v>
      </c>
    </row>
    <row r="119" spans="1:6" x14ac:dyDescent="0.75">
      <c r="A119" s="85">
        <f t="shared" si="2"/>
        <v>3400</v>
      </c>
      <c r="B119" s="81" t="s">
        <v>764</v>
      </c>
      <c r="C119" s="83"/>
      <c r="D119" s="82">
        <f>0</f>
        <v>0</v>
      </c>
      <c r="F119" s="32">
        <f t="shared" si="3"/>
        <v>0</v>
      </c>
    </row>
    <row r="120" spans="1:6" x14ac:dyDescent="0.75">
      <c r="A120" s="85">
        <f t="shared" si="2"/>
        <v>3500</v>
      </c>
      <c r="B120" s="81" t="s">
        <v>306</v>
      </c>
      <c r="C120" s="83"/>
      <c r="D120" s="82">
        <f>0</f>
        <v>0</v>
      </c>
      <c r="F120" s="32">
        <f t="shared" si="3"/>
        <v>0</v>
      </c>
    </row>
    <row r="121" spans="1:6" x14ac:dyDescent="0.75">
      <c r="A121" s="85">
        <f t="shared" si="2"/>
        <v>3600</v>
      </c>
      <c r="B121" s="81" t="s">
        <v>938</v>
      </c>
      <c r="C121" s="93">
        <f>94000-10000</f>
        <v>84000</v>
      </c>
      <c r="D121" s="83"/>
      <c r="F121" s="32">
        <f t="shared" si="3"/>
        <v>84000</v>
      </c>
    </row>
    <row r="122" spans="1:6" x14ac:dyDescent="0.75">
      <c r="A122" s="85">
        <f t="shared" si="2"/>
        <v>3800</v>
      </c>
      <c r="B122" s="81" t="s">
        <v>765</v>
      </c>
      <c r="C122" s="83"/>
      <c r="D122" s="82">
        <f>0</f>
        <v>0</v>
      </c>
      <c r="F122" s="32">
        <f t="shared" si="3"/>
        <v>0</v>
      </c>
    </row>
    <row r="123" spans="1:6" x14ac:dyDescent="0.75">
      <c r="A123" s="85">
        <f t="shared" si="2"/>
        <v>3900</v>
      </c>
      <c r="B123" s="81" t="s">
        <v>311</v>
      </c>
      <c r="C123" s="93">
        <f>9072443.37+27443.81+12500+8527+429.85-9740+5980+3245+2500+16253.59+3392.34-253.97+350+350+21931</f>
        <v>9165351.9899999984</v>
      </c>
      <c r="D123" s="83"/>
      <c r="F123" s="32">
        <f t="shared" si="3"/>
        <v>9165351.9899999984</v>
      </c>
    </row>
    <row r="124" spans="1:6" x14ac:dyDescent="0.75">
      <c r="A124" s="85">
        <f t="shared" si="2"/>
        <v>4100</v>
      </c>
      <c r="B124" s="81" t="s">
        <v>313</v>
      </c>
      <c r="C124" s="83"/>
      <c r="D124" s="82">
        <f>842380.76</f>
        <v>842380.76</v>
      </c>
      <c r="F124" s="32">
        <f t="shared" si="3"/>
        <v>-842380.76</v>
      </c>
    </row>
    <row r="125" spans="1:6" x14ac:dyDescent="0.75">
      <c r="A125" s="85">
        <f t="shared" si="2"/>
        <v>4500</v>
      </c>
      <c r="B125" s="81" t="s">
        <v>766</v>
      </c>
      <c r="C125" s="83"/>
      <c r="D125" s="82">
        <f>33201.4</f>
        <v>33201.4</v>
      </c>
      <c r="F125" s="32">
        <f t="shared" si="3"/>
        <v>-33201.4</v>
      </c>
    </row>
    <row r="126" spans="1:6" x14ac:dyDescent="0.75">
      <c r="A126" s="85">
        <f t="shared" si="2"/>
        <v>4900</v>
      </c>
      <c r="B126" s="81" t="s">
        <v>831</v>
      </c>
      <c r="C126" s="83"/>
      <c r="D126" s="82">
        <f>6455</f>
        <v>6455</v>
      </c>
      <c r="F126" s="32">
        <f t="shared" si="3"/>
        <v>-6455</v>
      </c>
    </row>
    <row r="127" spans="1:6" x14ac:dyDescent="0.75">
      <c r="A127" s="85">
        <f t="shared" si="2"/>
        <v>5000</v>
      </c>
      <c r="B127" s="81" t="s">
        <v>832</v>
      </c>
      <c r="C127" s="93">
        <f>26993.26+49219.6</f>
        <v>76212.86</v>
      </c>
      <c r="D127" s="83"/>
      <c r="F127" s="32">
        <f t="shared" si="3"/>
        <v>76212.86</v>
      </c>
    </row>
    <row r="128" spans="1:6" x14ac:dyDescent="0.75">
      <c r="A128" s="85">
        <f t="shared" si="2"/>
        <v>5010</v>
      </c>
      <c r="B128" s="81" t="s">
        <v>833</v>
      </c>
      <c r="C128" s="82">
        <f>34328.9</f>
        <v>34328.9</v>
      </c>
      <c r="D128" s="83"/>
      <c r="F128" s="32">
        <f t="shared" si="3"/>
        <v>34328.9</v>
      </c>
    </row>
    <row r="129" spans="1:6" x14ac:dyDescent="0.75">
      <c r="A129" s="85">
        <f t="shared" si="2"/>
        <v>5030</v>
      </c>
      <c r="B129" s="81" t="s">
        <v>860</v>
      </c>
      <c r="C129" s="82">
        <f>28219.9</f>
        <v>28219.9</v>
      </c>
      <c r="D129" s="83"/>
      <c r="F129" s="32">
        <f t="shared" si="3"/>
        <v>28219.9</v>
      </c>
    </row>
    <row r="130" spans="1:6" x14ac:dyDescent="0.75">
      <c r="A130" s="85">
        <f t="shared" si="2"/>
        <v>5050</v>
      </c>
      <c r="B130" s="81" t="s">
        <v>797</v>
      </c>
      <c r="C130" s="93">
        <f>168360.48-25449.01</f>
        <v>142911.47</v>
      </c>
      <c r="D130" s="83"/>
      <c r="F130" s="32">
        <f t="shared" si="3"/>
        <v>142911.47</v>
      </c>
    </row>
    <row r="131" spans="1:6" x14ac:dyDescent="0.75">
      <c r="A131" s="85">
        <f t="shared" si="2"/>
        <v>6010</v>
      </c>
      <c r="B131" s="81" t="s">
        <v>798</v>
      </c>
      <c r="C131" s="82">
        <f>9754.42</f>
        <v>9754.42</v>
      </c>
      <c r="D131" s="83"/>
      <c r="F131" s="32">
        <f t="shared" si="3"/>
        <v>9754.42</v>
      </c>
    </row>
    <row r="132" spans="1:6" s="110" customFormat="1" x14ac:dyDescent="0.75">
      <c r="A132" s="110">
        <v>6020</v>
      </c>
      <c r="B132" s="81" t="s">
        <v>1059</v>
      </c>
      <c r="C132" s="93">
        <v>1746</v>
      </c>
      <c r="D132" s="83"/>
      <c r="F132" s="32">
        <f t="shared" si="3"/>
        <v>1746</v>
      </c>
    </row>
    <row r="133" spans="1:6" x14ac:dyDescent="0.75">
      <c r="A133" s="85">
        <f t="shared" si="2"/>
        <v>6025</v>
      </c>
      <c r="B133" s="81" t="s">
        <v>767</v>
      </c>
      <c r="C133" s="82">
        <f>1266.49</f>
        <v>1266.49</v>
      </c>
      <c r="D133" s="83"/>
      <c r="F133" s="32">
        <f t="shared" si="3"/>
        <v>1266.49</v>
      </c>
    </row>
    <row r="134" spans="1:6" x14ac:dyDescent="0.75">
      <c r="A134" s="85">
        <f t="shared" si="2"/>
        <v>6030</v>
      </c>
      <c r="B134" s="81" t="s">
        <v>768</v>
      </c>
      <c r="C134" s="82">
        <f>2663.15</f>
        <v>2663.15</v>
      </c>
      <c r="D134" s="83"/>
      <c r="F134" s="32">
        <f t="shared" si="3"/>
        <v>2663.15</v>
      </c>
    </row>
    <row r="135" spans="1:6" x14ac:dyDescent="0.75">
      <c r="A135" s="85">
        <f t="shared" ref="A135:A177" si="4">VALUE(LEFT(B135,4))</f>
        <v>6055</v>
      </c>
      <c r="B135" s="81" t="s">
        <v>837</v>
      </c>
      <c r="C135" s="82">
        <f>598</f>
        <v>598</v>
      </c>
      <c r="D135" s="83"/>
      <c r="F135" s="32">
        <f t="shared" si="3"/>
        <v>598</v>
      </c>
    </row>
    <row r="136" spans="1:6" x14ac:dyDescent="0.75">
      <c r="A136" s="85">
        <f t="shared" si="4"/>
        <v>6060</v>
      </c>
      <c r="B136" s="81" t="s">
        <v>852</v>
      </c>
      <c r="C136" s="82">
        <f>3912.25</f>
        <v>3912.25</v>
      </c>
      <c r="D136" s="83"/>
      <c r="F136" s="32">
        <f t="shared" ref="F136:F178" si="5">C136-D136</f>
        <v>3912.25</v>
      </c>
    </row>
    <row r="137" spans="1:6" x14ac:dyDescent="0.75">
      <c r="A137" s="85">
        <f t="shared" si="4"/>
        <v>6065</v>
      </c>
      <c r="B137" s="81" t="s">
        <v>861</v>
      </c>
      <c r="C137" s="82">
        <f>2500</f>
        <v>2500</v>
      </c>
      <c r="D137" s="83"/>
      <c r="F137" s="32">
        <f t="shared" si="5"/>
        <v>2500</v>
      </c>
    </row>
    <row r="138" spans="1:6" x14ac:dyDescent="0.75">
      <c r="A138" s="85">
        <f t="shared" si="4"/>
        <v>6075</v>
      </c>
      <c r="B138" s="81" t="s">
        <v>803</v>
      </c>
      <c r="C138" s="82">
        <f>43599.73</f>
        <v>43599.73</v>
      </c>
      <c r="D138" s="83"/>
      <c r="F138" s="32">
        <f t="shared" si="5"/>
        <v>43599.73</v>
      </c>
    </row>
    <row r="139" spans="1:6" x14ac:dyDescent="0.75">
      <c r="A139" s="85">
        <f t="shared" si="4"/>
        <v>6085</v>
      </c>
      <c r="B139" s="81" t="s">
        <v>769</v>
      </c>
      <c r="C139" s="82">
        <f>2267.85</f>
        <v>2267.85</v>
      </c>
      <c r="D139" s="83"/>
      <c r="F139" s="32">
        <f t="shared" si="5"/>
        <v>2267.85</v>
      </c>
    </row>
    <row r="140" spans="1:6" x14ac:dyDescent="0.75">
      <c r="A140" s="85">
        <f t="shared" si="4"/>
        <v>6100</v>
      </c>
      <c r="B140" s="81" t="s">
        <v>804</v>
      </c>
      <c r="C140" s="82">
        <f>1494</f>
        <v>1494</v>
      </c>
      <c r="D140" s="83"/>
      <c r="F140" s="32">
        <f t="shared" si="5"/>
        <v>1494</v>
      </c>
    </row>
    <row r="141" spans="1:6" x14ac:dyDescent="0.75">
      <c r="A141" s="85">
        <f t="shared" si="4"/>
        <v>6105</v>
      </c>
      <c r="B141" s="81" t="s">
        <v>838</v>
      </c>
      <c r="C141" s="93">
        <f>1474.86+2290</f>
        <v>3764.8599999999997</v>
      </c>
      <c r="D141" s="83"/>
      <c r="F141" s="32">
        <f t="shared" si="5"/>
        <v>3764.8599999999997</v>
      </c>
    </row>
    <row r="142" spans="1:6" x14ac:dyDescent="0.75">
      <c r="A142" s="85">
        <f t="shared" si="4"/>
        <v>6115</v>
      </c>
      <c r="B142" s="81" t="s">
        <v>839</v>
      </c>
      <c r="C142" s="82">
        <f>3111.42</f>
        <v>3111.42</v>
      </c>
      <c r="D142" s="83"/>
      <c r="F142" s="32">
        <f t="shared" si="5"/>
        <v>3111.42</v>
      </c>
    </row>
    <row r="143" spans="1:6" x14ac:dyDescent="0.75">
      <c r="A143" s="85">
        <f t="shared" si="4"/>
        <v>6120</v>
      </c>
      <c r="B143" s="81" t="s">
        <v>770</v>
      </c>
      <c r="C143" s="82">
        <f>676.13</f>
        <v>676.13</v>
      </c>
      <c r="D143" s="83"/>
      <c r="F143" s="32">
        <f t="shared" si="5"/>
        <v>676.13</v>
      </c>
    </row>
    <row r="144" spans="1:6" x14ac:dyDescent="0.75">
      <c r="A144" s="85">
        <f t="shared" si="4"/>
        <v>6135</v>
      </c>
      <c r="B144" s="81" t="s">
        <v>853</v>
      </c>
      <c r="C144" s="82">
        <f>12004.22</f>
        <v>12004.22</v>
      </c>
      <c r="D144" s="83"/>
      <c r="F144" s="32">
        <f t="shared" si="5"/>
        <v>12004.22</v>
      </c>
    </row>
    <row r="145" spans="1:6" x14ac:dyDescent="0.75">
      <c r="A145" s="85">
        <f t="shared" si="4"/>
        <v>6150</v>
      </c>
      <c r="B145" s="81" t="s">
        <v>771</v>
      </c>
      <c r="C145" s="93">
        <f>5477-2290</f>
        <v>3187</v>
      </c>
      <c r="D145" s="83"/>
      <c r="F145" s="32">
        <f t="shared" si="5"/>
        <v>3187</v>
      </c>
    </row>
    <row r="146" spans="1:6" x14ac:dyDescent="0.75">
      <c r="A146" s="85">
        <f t="shared" si="4"/>
        <v>6155</v>
      </c>
      <c r="B146" s="81" t="s">
        <v>772</v>
      </c>
      <c r="C146" s="82">
        <f>11252.11</f>
        <v>11252.11</v>
      </c>
      <c r="D146" s="83"/>
      <c r="F146" s="32">
        <f t="shared" si="5"/>
        <v>11252.11</v>
      </c>
    </row>
    <row r="147" spans="1:6" x14ac:dyDescent="0.75">
      <c r="A147" s="85">
        <f t="shared" si="4"/>
        <v>6210</v>
      </c>
      <c r="B147" s="81" t="s">
        <v>773</v>
      </c>
      <c r="C147" s="82">
        <f>895</f>
        <v>895</v>
      </c>
      <c r="D147" s="83"/>
      <c r="F147" s="32">
        <f t="shared" si="5"/>
        <v>895</v>
      </c>
    </row>
    <row r="148" spans="1:6" x14ac:dyDescent="0.75">
      <c r="A148" s="85">
        <f t="shared" si="4"/>
        <v>6215</v>
      </c>
      <c r="B148" s="81" t="s">
        <v>774</v>
      </c>
      <c r="C148" s="83"/>
      <c r="D148" s="82">
        <f>2784.25</f>
        <v>2784.25</v>
      </c>
      <c r="F148" s="32">
        <f t="shared" si="5"/>
        <v>-2784.25</v>
      </c>
    </row>
    <row r="149" spans="1:6" x14ac:dyDescent="0.75">
      <c r="A149" s="85">
        <f t="shared" si="4"/>
        <v>6220</v>
      </c>
      <c r="B149" s="81" t="s">
        <v>775</v>
      </c>
      <c r="C149" s="82">
        <f>5203.76</f>
        <v>5203.76</v>
      </c>
      <c r="D149" s="83"/>
      <c r="F149" s="32">
        <f t="shared" si="5"/>
        <v>5203.76</v>
      </c>
    </row>
    <row r="150" spans="1:6" x14ac:dyDescent="0.75">
      <c r="A150" s="85">
        <f t="shared" si="4"/>
        <v>6245</v>
      </c>
      <c r="B150" s="81" t="s">
        <v>776</v>
      </c>
      <c r="C150" s="82">
        <f>2061.57</f>
        <v>2061.5700000000002</v>
      </c>
      <c r="D150" s="83"/>
      <c r="F150" s="32">
        <f t="shared" si="5"/>
        <v>2061.5700000000002</v>
      </c>
    </row>
    <row r="151" spans="1:6" x14ac:dyDescent="0.75">
      <c r="A151" s="85">
        <f t="shared" si="4"/>
        <v>6255</v>
      </c>
      <c r="B151" s="81" t="s">
        <v>777</v>
      </c>
      <c r="C151" s="82">
        <f>58.68</f>
        <v>58.68</v>
      </c>
      <c r="D151" s="83"/>
      <c r="F151" s="32">
        <f t="shared" si="5"/>
        <v>58.68</v>
      </c>
    </row>
    <row r="152" spans="1:6" x14ac:dyDescent="0.75">
      <c r="A152" s="85">
        <f t="shared" si="4"/>
        <v>6260</v>
      </c>
      <c r="B152" s="81" t="s">
        <v>789</v>
      </c>
      <c r="C152" s="82">
        <f>261.17</f>
        <v>261.17</v>
      </c>
      <c r="D152" s="83"/>
      <c r="F152" s="32">
        <f t="shared" si="5"/>
        <v>261.17</v>
      </c>
    </row>
    <row r="153" spans="1:6" x14ac:dyDescent="0.75">
      <c r="A153" s="85">
        <f t="shared" si="4"/>
        <v>6265</v>
      </c>
      <c r="B153" s="81" t="s">
        <v>854</v>
      </c>
      <c r="C153" s="82">
        <f>14.5</f>
        <v>14.5</v>
      </c>
      <c r="D153" s="83"/>
      <c r="F153" s="32">
        <f t="shared" si="5"/>
        <v>14.5</v>
      </c>
    </row>
    <row r="154" spans="1:6" x14ac:dyDescent="0.75">
      <c r="A154" s="85">
        <f t="shared" si="4"/>
        <v>6270</v>
      </c>
      <c r="B154" s="81" t="s">
        <v>778</v>
      </c>
      <c r="C154" s="82">
        <f>105785</f>
        <v>105785</v>
      </c>
      <c r="D154" s="83"/>
      <c r="F154" s="32">
        <f t="shared" si="5"/>
        <v>105785</v>
      </c>
    </row>
    <row r="155" spans="1:6" x14ac:dyDescent="0.75">
      <c r="A155" s="85">
        <f t="shared" si="4"/>
        <v>6275</v>
      </c>
      <c r="B155" s="81" t="s">
        <v>790</v>
      </c>
      <c r="C155" s="93">
        <f>95204.17+10000</f>
        <v>105204.17</v>
      </c>
      <c r="D155" s="83"/>
      <c r="F155" s="32">
        <f t="shared" si="5"/>
        <v>105204.17</v>
      </c>
    </row>
    <row r="156" spans="1:6" x14ac:dyDescent="0.75">
      <c r="A156" s="85">
        <f t="shared" si="4"/>
        <v>6280</v>
      </c>
      <c r="B156" s="81" t="s">
        <v>779</v>
      </c>
      <c r="C156" s="82">
        <f>21320</f>
        <v>21320</v>
      </c>
      <c r="D156" s="83"/>
      <c r="F156" s="32">
        <f t="shared" si="5"/>
        <v>21320</v>
      </c>
    </row>
    <row r="157" spans="1:6" x14ac:dyDescent="0.75">
      <c r="A157" s="85">
        <f t="shared" si="4"/>
        <v>6295</v>
      </c>
      <c r="B157" s="81" t="s">
        <v>795</v>
      </c>
      <c r="C157" s="82">
        <f>8885</f>
        <v>8885</v>
      </c>
      <c r="D157" s="83"/>
      <c r="F157" s="32">
        <f t="shared" si="5"/>
        <v>8885</v>
      </c>
    </row>
    <row r="158" spans="1:6" x14ac:dyDescent="0.75">
      <c r="A158" s="85">
        <f t="shared" si="4"/>
        <v>6300</v>
      </c>
      <c r="B158" s="81" t="s">
        <v>840</v>
      </c>
      <c r="C158" s="82">
        <f>8199</f>
        <v>8199</v>
      </c>
      <c r="D158" s="83"/>
      <c r="F158" s="32">
        <f t="shared" si="5"/>
        <v>8199</v>
      </c>
    </row>
    <row r="159" spans="1:6" x14ac:dyDescent="0.75">
      <c r="A159" s="85">
        <f t="shared" si="4"/>
        <v>6315</v>
      </c>
      <c r="B159" s="81" t="s">
        <v>791</v>
      </c>
      <c r="C159" s="82">
        <f>34751.44</f>
        <v>34751.440000000002</v>
      </c>
      <c r="D159" s="83"/>
      <c r="F159" s="32">
        <f t="shared" si="5"/>
        <v>34751.440000000002</v>
      </c>
    </row>
    <row r="160" spans="1:6" x14ac:dyDescent="0.75">
      <c r="A160" s="85">
        <f t="shared" si="4"/>
        <v>6335</v>
      </c>
      <c r="B160" s="81" t="s">
        <v>855</v>
      </c>
      <c r="C160" s="82">
        <f>178.37</f>
        <v>178.37</v>
      </c>
      <c r="D160" s="83"/>
      <c r="F160" s="32">
        <f t="shared" si="5"/>
        <v>178.37</v>
      </c>
    </row>
    <row r="161" spans="1:6" x14ac:dyDescent="0.75">
      <c r="A161" s="85">
        <f t="shared" si="4"/>
        <v>6345</v>
      </c>
      <c r="B161" s="81" t="s">
        <v>792</v>
      </c>
      <c r="C161" s="82">
        <f>4911.42</f>
        <v>4911.42</v>
      </c>
      <c r="D161" s="83"/>
      <c r="F161" s="32">
        <f t="shared" si="5"/>
        <v>4911.42</v>
      </c>
    </row>
    <row r="162" spans="1:6" x14ac:dyDescent="0.75">
      <c r="A162" s="85">
        <f t="shared" si="4"/>
        <v>6350</v>
      </c>
      <c r="B162" s="81" t="s">
        <v>780</v>
      </c>
      <c r="C162" s="82">
        <f>4741.63</f>
        <v>4741.63</v>
      </c>
      <c r="D162" s="83"/>
      <c r="F162" s="32">
        <f t="shared" si="5"/>
        <v>4741.63</v>
      </c>
    </row>
    <row r="163" spans="1:6" x14ac:dyDescent="0.75">
      <c r="A163" s="85">
        <f t="shared" si="4"/>
        <v>6400</v>
      </c>
      <c r="B163" s="81" t="s">
        <v>781</v>
      </c>
      <c r="C163" s="93">
        <f>116986.7+30000+35000+10000+40000</f>
        <v>231986.7</v>
      </c>
      <c r="D163" s="83"/>
      <c r="F163" s="32">
        <f t="shared" si="5"/>
        <v>231986.7</v>
      </c>
    </row>
    <row r="164" spans="1:6" x14ac:dyDescent="0.75">
      <c r="A164" s="85">
        <f t="shared" si="4"/>
        <v>6430</v>
      </c>
      <c r="B164" s="81" t="s">
        <v>782</v>
      </c>
      <c r="C164" s="82">
        <f>131008.62</f>
        <v>131008.62</v>
      </c>
      <c r="D164" s="83"/>
      <c r="F164" s="32">
        <f t="shared" si="5"/>
        <v>131008.62</v>
      </c>
    </row>
    <row r="165" spans="1:6" x14ac:dyDescent="0.75">
      <c r="A165" s="85">
        <f t="shared" si="4"/>
        <v>6435</v>
      </c>
      <c r="B165" s="81" t="s">
        <v>783</v>
      </c>
      <c r="C165" s="82">
        <f>7820.51</f>
        <v>7820.51</v>
      </c>
      <c r="D165" s="83"/>
      <c r="F165" s="32">
        <f t="shared" si="5"/>
        <v>7820.51</v>
      </c>
    </row>
    <row r="166" spans="1:6" x14ac:dyDescent="0.75">
      <c r="A166" s="85">
        <f t="shared" si="4"/>
        <v>6440</v>
      </c>
      <c r="B166" s="81" t="s">
        <v>948</v>
      </c>
      <c r="C166" s="93">
        <f>69479.08+7000+2200</f>
        <v>78679.08</v>
      </c>
      <c r="D166" s="83"/>
      <c r="F166" s="32">
        <f t="shared" si="5"/>
        <v>78679.08</v>
      </c>
    </row>
    <row r="167" spans="1:6" x14ac:dyDescent="0.75">
      <c r="A167" s="85">
        <f t="shared" si="4"/>
        <v>6445</v>
      </c>
      <c r="B167" s="81" t="s">
        <v>784</v>
      </c>
      <c r="C167" s="82">
        <f>40127.73</f>
        <v>40127.730000000003</v>
      </c>
      <c r="D167" s="83"/>
      <c r="F167" s="32">
        <f t="shared" si="5"/>
        <v>40127.730000000003</v>
      </c>
    </row>
    <row r="168" spans="1:6" x14ac:dyDescent="0.75">
      <c r="A168" s="85">
        <f t="shared" si="4"/>
        <v>6510</v>
      </c>
      <c r="B168" s="81" t="s">
        <v>785</v>
      </c>
      <c r="C168" s="82">
        <f>10546.9</f>
        <v>10546.9</v>
      </c>
      <c r="D168" s="83"/>
      <c r="F168" s="32">
        <f t="shared" si="5"/>
        <v>10546.9</v>
      </c>
    </row>
    <row r="169" spans="1:6" x14ac:dyDescent="0.75">
      <c r="A169" s="85">
        <f t="shared" si="4"/>
        <v>6525</v>
      </c>
      <c r="B169" s="81" t="s">
        <v>794</v>
      </c>
      <c r="C169" s="82">
        <f>5380.48</f>
        <v>5380.48</v>
      </c>
      <c r="D169" s="83"/>
      <c r="F169" s="32">
        <f t="shared" si="5"/>
        <v>5380.48</v>
      </c>
    </row>
    <row r="170" spans="1:6" x14ac:dyDescent="0.75">
      <c r="A170" s="85">
        <f t="shared" si="4"/>
        <v>6545</v>
      </c>
      <c r="B170" s="81" t="s">
        <v>856</v>
      </c>
      <c r="C170" s="82">
        <f>48.37</f>
        <v>48.37</v>
      </c>
      <c r="D170" s="83"/>
      <c r="F170" s="32">
        <f t="shared" si="5"/>
        <v>48.37</v>
      </c>
    </row>
    <row r="171" spans="1:6" x14ac:dyDescent="0.75">
      <c r="A171" s="85">
        <f t="shared" si="4"/>
        <v>6550</v>
      </c>
      <c r="B171" s="81" t="s">
        <v>786</v>
      </c>
      <c r="C171" s="82">
        <f>17369.93</f>
        <v>17369.93</v>
      </c>
      <c r="D171" s="83"/>
      <c r="F171" s="32">
        <f t="shared" si="5"/>
        <v>17369.93</v>
      </c>
    </row>
    <row r="172" spans="1:6" x14ac:dyDescent="0.75">
      <c r="A172" s="85">
        <f t="shared" si="4"/>
        <v>6555</v>
      </c>
      <c r="B172" s="81" t="s">
        <v>857</v>
      </c>
      <c r="C172" s="82">
        <f>7558.91</f>
        <v>7558.91</v>
      </c>
      <c r="D172" s="83"/>
      <c r="F172" s="32">
        <f t="shared" si="5"/>
        <v>7558.91</v>
      </c>
    </row>
    <row r="173" spans="1:6" x14ac:dyDescent="0.75">
      <c r="A173" s="85">
        <f t="shared" si="4"/>
        <v>7510</v>
      </c>
      <c r="B173" s="81" t="s">
        <v>787</v>
      </c>
      <c r="C173" s="82">
        <f>7340.52</f>
        <v>7340.52</v>
      </c>
      <c r="D173" s="83"/>
      <c r="F173" s="32">
        <f t="shared" si="5"/>
        <v>7340.52</v>
      </c>
    </row>
    <row r="174" spans="1:6" x14ac:dyDescent="0.75">
      <c r="A174" s="85">
        <f t="shared" si="4"/>
        <v>7520</v>
      </c>
      <c r="B174" s="81" t="s">
        <v>805</v>
      </c>
      <c r="C174" s="82">
        <f>5576.46</f>
        <v>5576.46</v>
      </c>
      <c r="D174" s="83"/>
      <c r="F174" s="32">
        <f t="shared" si="5"/>
        <v>5576.46</v>
      </c>
    </row>
    <row r="175" spans="1:6" x14ac:dyDescent="0.75">
      <c r="A175" s="85">
        <f t="shared" si="4"/>
        <v>7530</v>
      </c>
      <c r="B175" s="81" t="s">
        <v>788</v>
      </c>
      <c r="C175" s="93">
        <f>36459.35+616.79</f>
        <v>37076.14</v>
      </c>
      <c r="D175" s="83"/>
      <c r="F175" s="32">
        <f t="shared" si="5"/>
        <v>37076.14</v>
      </c>
    </row>
    <row r="176" spans="1:6" x14ac:dyDescent="0.75">
      <c r="A176" s="85">
        <f t="shared" si="4"/>
        <v>7540</v>
      </c>
      <c r="B176" s="81" t="s">
        <v>846</v>
      </c>
      <c r="C176" s="93">
        <f>80806.82+214.93*3+207.91</f>
        <v>81659.520000000004</v>
      </c>
      <c r="D176" s="83"/>
      <c r="F176" s="32">
        <f t="shared" si="5"/>
        <v>81659.520000000004</v>
      </c>
    </row>
    <row r="177" spans="1:6" x14ac:dyDescent="0.75">
      <c r="A177" s="85">
        <f t="shared" si="4"/>
        <v>7590</v>
      </c>
      <c r="B177" s="81" t="s">
        <v>944</v>
      </c>
      <c r="C177" s="82">
        <f>144576</f>
        <v>144576</v>
      </c>
      <c r="D177" s="83"/>
      <c r="F177" s="32">
        <f t="shared" si="5"/>
        <v>144576</v>
      </c>
    </row>
    <row r="178" spans="1:6" x14ac:dyDescent="0.75">
      <c r="A178" s="85">
        <f>VALUE(LEFT(B178,4))</f>
        <v>7100</v>
      </c>
      <c r="B178" s="81" t="s">
        <v>375</v>
      </c>
      <c r="C178" s="83"/>
      <c r="D178" s="82">
        <f>70.4</f>
        <v>70.400000000000006</v>
      </c>
      <c r="F178" s="32">
        <f t="shared" si="5"/>
        <v>-70.400000000000006</v>
      </c>
    </row>
    <row r="179" spans="1:6" x14ac:dyDescent="0.75">
      <c r="B179" s="81" t="s">
        <v>2</v>
      </c>
      <c r="C179" s="84">
        <f t="shared" ref="C179:D179" si="6">SUM(C6:C178)</f>
        <v>11955151.339999998</v>
      </c>
      <c r="D179" s="84">
        <f t="shared" si="6"/>
        <v>11955151.34</v>
      </c>
      <c r="E179" s="32">
        <f>SUM(E6:E178)</f>
        <v>0</v>
      </c>
      <c r="F179" s="32">
        <f>SUM(F6:F178)</f>
        <v>-1.1408758382458473E-9</v>
      </c>
    </row>
    <row r="180" spans="1:6" x14ac:dyDescent="0.75">
      <c r="B180" s="81"/>
      <c r="C180" s="83"/>
      <c r="D180" s="83"/>
    </row>
    <row r="182" spans="1:6" x14ac:dyDescent="0.75">
      <c r="C182" s="105"/>
    </row>
    <row r="183" spans="1:6" x14ac:dyDescent="0.75">
      <c r="B183" s="198" t="s">
        <v>962</v>
      </c>
      <c r="C183" s="197"/>
      <c r="D183" s="197"/>
    </row>
    <row r="186" spans="1:6" x14ac:dyDescent="0.75">
      <c r="C186" s="85">
        <f>11891474.34</f>
        <v>11891474.34</v>
      </c>
    </row>
    <row r="187" spans="1:6" x14ac:dyDescent="0.75">
      <c r="C187" s="105">
        <f>C179-C186</f>
        <v>63676.999999998137</v>
      </c>
    </row>
  </sheetData>
  <mergeCells count="4">
    <mergeCell ref="B1:D1"/>
    <mergeCell ref="B2:D2"/>
    <mergeCell ref="B3:D3"/>
    <mergeCell ref="B183:D18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21506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21506" r:id="rId4" name="HEADER"/>
      </mc:Fallback>
    </mc:AlternateContent>
    <mc:AlternateContent xmlns:mc="http://schemas.openxmlformats.org/markup-compatibility/2006">
      <mc:Choice Requires="x14">
        <control shapeId="21505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21505" r:id="rId6" name="FILTER"/>
      </mc:Fallback>
    </mc:AlternateContent>
  </control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76177-7579-4D01-8461-01097278BC46}">
  <sheetPr codeName="Sheet15">
    <tabColor theme="7" tint="0.59999389629810485"/>
  </sheetPr>
  <dimension ref="A1:J188"/>
  <sheetViews>
    <sheetView zoomScaleNormal="100" workbookViewId="0">
      <pane xSplit="2" ySplit="5" topLeftCell="C6" activePane="bottomRight" state="frozenSplit"/>
      <selection pane="topRight" activeCell="C1" sqref="C1"/>
      <selection pane="bottomLeft" activeCell="A3" sqref="A3"/>
      <selection pane="bottomRight" activeCell="H11" sqref="H11"/>
    </sheetView>
  </sheetViews>
  <sheetFormatPr defaultColWidth="9.1328125" defaultRowHeight="14.75" x14ac:dyDescent="0.75"/>
  <cols>
    <col min="1" max="1" width="9.1328125" style="96"/>
    <col min="2" max="2" width="52.40625" style="96" customWidth="1"/>
    <col min="3" max="4" width="13.7265625" style="96" customWidth="1"/>
    <col min="5" max="5" width="9.1328125" style="96"/>
    <col min="6" max="6" width="20.1328125" style="32" customWidth="1"/>
    <col min="7" max="7" width="9.1328125" style="96"/>
    <col min="8" max="8" width="11.7265625" style="96" customWidth="1"/>
    <col min="9" max="10" width="15.86328125" style="32" customWidth="1"/>
    <col min="11" max="16384" width="9.1328125" style="96"/>
  </cols>
  <sheetData>
    <row r="1" spans="1:8" ht="18" x14ac:dyDescent="0.8">
      <c r="B1" s="200" t="s">
        <v>696</v>
      </c>
      <c r="C1" s="197"/>
      <c r="D1" s="197"/>
    </row>
    <row r="2" spans="1:8" ht="18" x14ac:dyDescent="0.8">
      <c r="B2" s="200" t="s">
        <v>697</v>
      </c>
      <c r="C2" s="197"/>
      <c r="D2" s="197"/>
    </row>
    <row r="3" spans="1:8" x14ac:dyDescent="0.75">
      <c r="B3" s="201" t="s">
        <v>1011</v>
      </c>
      <c r="C3" s="197"/>
      <c r="D3" s="197"/>
    </row>
    <row r="5" spans="1:8" x14ac:dyDescent="0.75">
      <c r="B5" s="52"/>
      <c r="C5" s="98" t="s">
        <v>0</v>
      </c>
      <c r="D5" s="98" t="s">
        <v>1</v>
      </c>
      <c r="F5" s="98" t="s">
        <v>170</v>
      </c>
    </row>
    <row r="6" spans="1:8" x14ac:dyDescent="0.75">
      <c r="A6" s="96">
        <f t="shared" ref="A6:A69" si="0">VALUE(LEFT(B6,4))</f>
        <v>1005</v>
      </c>
      <c r="B6" s="99" t="s">
        <v>698</v>
      </c>
      <c r="C6" s="100">
        <f>0</f>
        <v>0</v>
      </c>
      <c r="D6" s="101"/>
      <c r="F6" s="32">
        <f>C6-D6</f>
        <v>0</v>
      </c>
      <c r="H6" s="108"/>
    </row>
    <row r="7" spans="1:8" x14ac:dyDescent="0.75">
      <c r="A7" s="96">
        <f t="shared" si="0"/>
        <v>1010</v>
      </c>
      <c r="B7" s="99" t="s">
        <v>193</v>
      </c>
      <c r="C7" s="104">
        <f>97039.97-645.1</f>
        <v>96394.87</v>
      </c>
      <c r="D7" s="101"/>
      <c r="F7" s="32">
        <f t="shared" ref="F7:F70" si="1">C7-D7</f>
        <v>96394.87</v>
      </c>
      <c r="H7" s="108"/>
    </row>
    <row r="8" spans="1:8" x14ac:dyDescent="0.75">
      <c r="A8" s="96">
        <f t="shared" si="0"/>
        <v>1020</v>
      </c>
      <c r="B8" s="99" t="s">
        <v>194</v>
      </c>
      <c r="C8" s="100">
        <f>200817.42</f>
        <v>200817.42</v>
      </c>
      <c r="D8" s="101"/>
      <c r="F8" s="32">
        <f t="shared" si="1"/>
        <v>200817.42</v>
      </c>
      <c r="H8" s="108"/>
    </row>
    <row r="9" spans="1:8" x14ac:dyDescent="0.75">
      <c r="A9" s="96">
        <f t="shared" si="0"/>
        <v>1200</v>
      </c>
      <c r="B9" s="99" t="s">
        <v>699</v>
      </c>
      <c r="C9" s="100">
        <f>166867.21</f>
        <v>166867.21</v>
      </c>
      <c r="D9" s="101"/>
      <c r="F9" s="32">
        <f t="shared" si="1"/>
        <v>166867.21</v>
      </c>
      <c r="H9" s="108"/>
    </row>
    <row r="10" spans="1:8" x14ac:dyDescent="0.75">
      <c r="A10" s="96">
        <f t="shared" si="0"/>
        <v>1210</v>
      </c>
      <c r="B10" s="99" t="s">
        <v>700</v>
      </c>
      <c r="C10" s="100">
        <f>0</f>
        <v>0</v>
      </c>
      <c r="D10" s="101"/>
      <c r="F10" s="32">
        <f t="shared" si="1"/>
        <v>0</v>
      </c>
      <c r="H10" s="108"/>
    </row>
    <row r="11" spans="1:8" x14ac:dyDescent="0.75">
      <c r="A11" s="96">
        <f t="shared" si="0"/>
        <v>1250</v>
      </c>
      <c r="B11" s="99" t="s">
        <v>701</v>
      </c>
      <c r="C11" s="100">
        <f>0</f>
        <v>0</v>
      </c>
      <c r="D11" s="112">
        <f>1746+13211</f>
        <v>14957</v>
      </c>
      <c r="F11" s="32">
        <f t="shared" si="1"/>
        <v>-14957</v>
      </c>
      <c r="H11" s="108"/>
    </row>
    <row r="12" spans="1:8" x14ac:dyDescent="0.75">
      <c r="A12" s="96">
        <f t="shared" si="0"/>
        <v>1280</v>
      </c>
      <c r="B12" s="99" t="s">
        <v>702</v>
      </c>
      <c r="C12" s="100">
        <f>0</f>
        <v>0</v>
      </c>
      <c r="D12" s="101"/>
      <c r="F12" s="32">
        <f t="shared" si="1"/>
        <v>0</v>
      </c>
      <c r="H12" s="108"/>
    </row>
    <row r="13" spans="1:8" x14ac:dyDescent="0.75">
      <c r="A13" s="96">
        <f t="shared" si="0"/>
        <v>1290</v>
      </c>
      <c r="B13" s="99" t="s">
        <v>703</v>
      </c>
      <c r="C13" s="100">
        <f>0</f>
        <v>0</v>
      </c>
      <c r="D13" s="101"/>
      <c r="F13" s="32">
        <f t="shared" si="1"/>
        <v>0</v>
      </c>
      <c r="H13" s="108"/>
    </row>
    <row r="14" spans="1:8" x14ac:dyDescent="0.75">
      <c r="A14" s="96">
        <f t="shared" si="0"/>
        <v>1310</v>
      </c>
      <c r="B14" s="99" t="s">
        <v>200</v>
      </c>
      <c r="C14" s="100">
        <f>35000.38</f>
        <v>35000.379999999997</v>
      </c>
      <c r="D14" s="101"/>
      <c r="F14" s="32">
        <f t="shared" si="1"/>
        <v>35000.379999999997</v>
      </c>
      <c r="H14" s="108"/>
    </row>
    <row r="15" spans="1:8" x14ac:dyDescent="0.75">
      <c r="A15" s="96">
        <f t="shared" si="0"/>
        <v>1320</v>
      </c>
      <c r="B15" s="99" t="s">
        <v>201</v>
      </c>
      <c r="C15" s="100">
        <f>0</f>
        <v>0</v>
      </c>
      <c r="D15" s="101"/>
      <c r="F15" s="32">
        <f t="shared" si="1"/>
        <v>0</v>
      </c>
      <c r="H15" s="108"/>
    </row>
    <row r="16" spans="1:8" x14ac:dyDescent="0.75">
      <c r="A16" s="96">
        <f t="shared" si="0"/>
        <v>1330</v>
      </c>
      <c r="B16" s="99" t="s">
        <v>704</v>
      </c>
      <c r="C16" s="100">
        <f>0</f>
        <v>0</v>
      </c>
      <c r="D16" s="101"/>
      <c r="F16" s="32">
        <f t="shared" si="1"/>
        <v>0</v>
      </c>
      <c r="H16" s="108"/>
    </row>
    <row r="17" spans="1:8" x14ac:dyDescent="0.75">
      <c r="A17" s="96">
        <f t="shared" si="0"/>
        <v>1340</v>
      </c>
      <c r="B17" s="99" t="s">
        <v>705</v>
      </c>
      <c r="C17" s="104">
        <f>162623.5-162623.5</f>
        <v>0</v>
      </c>
      <c r="D17" s="101"/>
      <c r="F17" s="32">
        <f t="shared" si="1"/>
        <v>0</v>
      </c>
      <c r="H17" s="108"/>
    </row>
    <row r="18" spans="1:8" x14ac:dyDescent="0.75">
      <c r="A18" s="96">
        <f t="shared" si="0"/>
        <v>1410</v>
      </c>
      <c r="B18" s="99" t="s">
        <v>204</v>
      </c>
      <c r="C18" s="100">
        <f>0</f>
        <v>0</v>
      </c>
      <c r="D18" s="101"/>
      <c r="F18" s="32">
        <f t="shared" si="1"/>
        <v>0</v>
      </c>
      <c r="H18" s="108"/>
    </row>
    <row r="19" spans="1:8" x14ac:dyDescent="0.75">
      <c r="A19" s="96">
        <f t="shared" si="0"/>
        <v>1430</v>
      </c>
      <c r="B19" s="99" t="s">
        <v>706</v>
      </c>
      <c r="C19" s="100">
        <f>0</f>
        <v>0</v>
      </c>
      <c r="D19" s="101"/>
      <c r="F19" s="32">
        <f t="shared" si="1"/>
        <v>0</v>
      </c>
      <c r="H19" s="108"/>
    </row>
    <row r="20" spans="1:8" x14ac:dyDescent="0.75">
      <c r="A20" s="96">
        <f t="shared" si="0"/>
        <v>1710</v>
      </c>
      <c r="B20" s="99" t="s">
        <v>807</v>
      </c>
      <c r="C20" s="100">
        <f>97384.17</f>
        <v>97384.17</v>
      </c>
      <c r="D20" s="101"/>
      <c r="F20" s="32">
        <f t="shared" si="1"/>
        <v>97384.17</v>
      </c>
      <c r="H20" s="108"/>
    </row>
    <row r="21" spans="1:8" x14ac:dyDescent="0.75">
      <c r="A21" s="96">
        <f t="shared" si="0"/>
        <v>1715</v>
      </c>
      <c r="B21" s="99" t="s">
        <v>707</v>
      </c>
      <c r="C21" s="100">
        <f>0</f>
        <v>0</v>
      </c>
      <c r="D21" s="101"/>
      <c r="F21" s="32">
        <f t="shared" si="1"/>
        <v>0</v>
      </c>
      <c r="H21" s="108"/>
    </row>
    <row r="22" spans="1:8" x14ac:dyDescent="0.75">
      <c r="A22" s="96">
        <f t="shared" si="0"/>
        <v>1720</v>
      </c>
      <c r="B22" s="99" t="s">
        <v>708</v>
      </c>
      <c r="C22" s="100">
        <f>3937.6</f>
        <v>3937.6</v>
      </c>
      <c r="D22" s="101"/>
      <c r="F22" s="32">
        <f t="shared" si="1"/>
        <v>3937.6</v>
      </c>
      <c r="H22" s="108"/>
    </row>
    <row r="23" spans="1:8" x14ac:dyDescent="0.75">
      <c r="A23" s="96">
        <f t="shared" si="0"/>
        <v>1725</v>
      </c>
      <c r="B23" s="99" t="s">
        <v>849</v>
      </c>
      <c r="C23" s="100">
        <f>2446.33</f>
        <v>2446.33</v>
      </c>
      <c r="D23" s="101"/>
      <c r="F23" s="32">
        <f t="shared" si="1"/>
        <v>2446.33</v>
      </c>
      <c r="H23" s="108"/>
    </row>
    <row r="24" spans="1:8" x14ac:dyDescent="0.75">
      <c r="A24" s="96">
        <f t="shared" si="0"/>
        <v>1735</v>
      </c>
      <c r="B24" s="99" t="s">
        <v>709</v>
      </c>
      <c r="C24" s="100">
        <f>13572.55</f>
        <v>13572.55</v>
      </c>
      <c r="D24" s="101"/>
      <c r="F24" s="32">
        <f t="shared" si="1"/>
        <v>13572.55</v>
      </c>
      <c r="H24" s="108"/>
    </row>
    <row r="25" spans="1:8" x14ac:dyDescent="0.75">
      <c r="A25" s="96">
        <f t="shared" si="0"/>
        <v>1740</v>
      </c>
      <c r="B25" s="99" t="s">
        <v>710</v>
      </c>
      <c r="C25" s="100">
        <f>0</f>
        <v>0</v>
      </c>
      <c r="D25" s="101"/>
      <c r="F25" s="32">
        <f t="shared" si="1"/>
        <v>0</v>
      </c>
      <c r="H25" s="108"/>
    </row>
    <row r="26" spans="1:8" x14ac:dyDescent="0.75">
      <c r="A26" s="96">
        <f t="shared" si="0"/>
        <v>1745</v>
      </c>
      <c r="B26" s="99" t="s">
        <v>711</v>
      </c>
      <c r="C26" s="100">
        <f>318756.63</f>
        <v>318756.63</v>
      </c>
      <c r="D26" s="101"/>
      <c r="F26" s="32">
        <f t="shared" si="1"/>
        <v>318756.63</v>
      </c>
      <c r="H26" s="108"/>
    </row>
    <row r="27" spans="1:8" x14ac:dyDescent="0.75">
      <c r="A27" s="96">
        <f t="shared" si="0"/>
        <v>1750</v>
      </c>
      <c r="B27" s="99" t="s">
        <v>808</v>
      </c>
      <c r="C27" s="100">
        <f>10394.01</f>
        <v>10394.01</v>
      </c>
      <c r="D27" s="101"/>
      <c r="F27" s="32">
        <f t="shared" si="1"/>
        <v>10394.01</v>
      </c>
      <c r="H27" s="108"/>
    </row>
    <row r="28" spans="1:8" x14ac:dyDescent="0.75">
      <c r="A28" s="96">
        <f t="shared" si="0"/>
        <v>1755</v>
      </c>
      <c r="B28" s="99" t="s">
        <v>712</v>
      </c>
      <c r="C28" s="100">
        <f>12839.91</f>
        <v>12839.91</v>
      </c>
      <c r="D28" s="101"/>
      <c r="F28" s="32">
        <f t="shared" si="1"/>
        <v>12839.91</v>
      </c>
      <c r="H28" s="108"/>
    </row>
    <row r="29" spans="1:8" x14ac:dyDescent="0.75">
      <c r="A29" s="96">
        <f t="shared" si="0"/>
        <v>1760</v>
      </c>
      <c r="B29" s="99" t="s">
        <v>713</v>
      </c>
      <c r="C29" s="100">
        <f>20105.95</f>
        <v>20105.95</v>
      </c>
      <c r="D29" s="101"/>
      <c r="F29" s="32">
        <f t="shared" si="1"/>
        <v>20105.95</v>
      </c>
      <c r="H29" s="108"/>
    </row>
    <row r="30" spans="1:8" x14ac:dyDescent="0.75">
      <c r="A30" s="96">
        <f t="shared" si="0"/>
        <v>1765</v>
      </c>
      <c r="B30" s="99" t="s">
        <v>714</v>
      </c>
      <c r="C30" s="100">
        <f>1015.31</f>
        <v>1015.31</v>
      </c>
      <c r="D30" s="101"/>
      <c r="F30" s="32">
        <f t="shared" si="1"/>
        <v>1015.31</v>
      </c>
      <c r="H30" s="108"/>
    </row>
    <row r="31" spans="1:8" x14ac:dyDescent="0.75">
      <c r="A31" s="96">
        <f t="shared" si="0"/>
        <v>1781</v>
      </c>
      <c r="B31" s="99" t="s">
        <v>809</v>
      </c>
      <c r="C31" s="101"/>
      <c r="D31" s="100">
        <f>62501.77</f>
        <v>62501.77</v>
      </c>
      <c r="F31" s="32">
        <f t="shared" si="1"/>
        <v>-62501.77</v>
      </c>
      <c r="H31" s="108"/>
    </row>
    <row r="32" spans="1:8" x14ac:dyDescent="0.75">
      <c r="A32" s="96">
        <f t="shared" si="0"/>
        <v>1782</v>
      </c>
      <c r="B32" s="99" t="s">
        <v>715</v>
      </c>
      <c r="C32" s="100">
        <f>0</f>
        <v>0</v>
      </c>
      <c r="D32" s="101"/>
      <c r="F32" s="32">
        <f t="shared" si="1"/>
        <v>0</v>
      </c>
      <c r="H32" s="108"/>
    </row>
    <row r="33" spans="1:10" x14ac:dyDescent="0.75">
      <c r="A33" s="96">
        <f t="shared" si="0"/>
        <v>1783</v>
      </c>
      <c r="B33" s="99" t="s">
        <v>716</v>
      </c>
      <c r="C33" s="101"/>
      <c r="D33" s="100">
        <f>2296.92</f>
        <v>2296.92</v>
      </c>
      <c r="F33" s="32">
        <f t="shared" si="1"/>
        <v>-2296.92</v>
      </c>
      <c r="H33" s="108"/>
    </row>
    <row r="34" spans="1:10" x14ac:dyDescent="0.75">
      <c r="A34" s="96">
        <f t="shared" si="0"/>
        <v>1784</v>
      </c>
      <c r="B34" s="99" t="s">
        <v>850</v>
      </c>
      <c r="C34" s="101"/>
      <c r="D34" s="100">
        <f>926.06</f>
        <v>926.06</v>
      </c>
      <c r="F34" s="32">
        <f t="shared" si="1"/>
        <v>-926.06</v>
      </c>
      <c r="H34" s="108"/>
    </row>
    <row r="35" spans="1:10" x14ac:dyDescent="0.75">
      <c r="A35" s="96">
        <f t="shared" si="0"/>
        <v>1785</v>
      </c>
      <c r="B35" s="99" t="s">
        <v>717</v>
      </c>
      <c r="C35" s="101"/>
      <c r="D35" s="100">
        <f>5480.19</f>
        <v>5480.19</v>
      </c>
      <c r="F35" s="32">
        <f t="shared" si="1"/>
        <v>-5480.19</v>
      </c>
      <c r="H35" s="108"/>
    </row>
    <row r="36" spans="1:10" s="114" customFormat="1" x14ac:dyDescent="0.75">
      <c r="A36" s="114">
        <f t="shared" si="0"/>
        <v>1786</v>
      </c>
      <c r="B36" s="115" t="s">
        <v>718</v>
      </c>
      <c r="C36" s="82">
        <f>0</f>
        <v>0</v>
      </c>
      <c r="D36" s="83"/>
      <c r="F36" s="116">
        <f t="shared" si="1"/>
        <v>0</v>
      </c>
      <c r="H36" s="117"/>
      <c r="I36" s="116"/>
      <c r="J36" s="116"/>
    </row>
    <row r="37" spans="1:10" x14ac:dyDescent="0.75">
      <c r="A37" s="96">
        <f t="shared" si="0"/>
        <v>1787</v>
      </c>
      <c r="B37" s="99" t="s">
        <v>719</v>
      </c>
      <c r="C37" s="101"/>
      <c r="D37" s="100">
        <f>229901.87</f>
        <v>229901.87</v>
      </c>
      <c r="F37" s="32">
        <f t="shared" si="1"/>
        <v>-229901.87</v>
      </c>
      <c r="H37" s="108"/>
    </row>
    <row r="38" spans="1:10" x14ac:dyDescent="0.75">
      <c r="A38" s="96">
        <f t="shared" si="0"/>
        <v>1788</v>
      </c>
      <c r="B38" s="99" t="s">
        <v>810</v>
      </c>
      <c r="C38" s="101"/>
      <c r="D38" s="100">
        <f>10394.01</f>
        <v>10394.01</v>
      </c>
      <c r="F38" s="32">
        <f t="shared" si="1"/>
        <v>-10394.01</v>
      </c>
      <c r="H38" s="108"/>
    </row>
    <row r="39" spans="1:10" x14ac:dyDescent="0.75">
      <c r="A39" s="96">
        <f t="shared" si="0"/>
        <v>1789</v>
      </c>
      <c r="B39" s="99" t="s">
        <v>720</v>
      </c>
      <c r="C39" s="101"/>
      <c r="D39" s="100">
        <f>1390.51</f>
        <v>1390.51</v>
      </c>
      <c r="F39" s="32">
        <f t="shared" si="1"/>
        <v>-1390.51</v>
      </c>
      <c r="H39" s="108"/>
    </row>
    <row r="40" spans="1:10" x14ac:dyDescent="0.75">
      <c r="A40" s="96">
        <f t="shared" si="0"/>
        <v>1790</v>
      </c>
      <c r="B40" s="99" t="s">
        <v>721</v>
      </c>
      <c r="C40" s="101"/>
      <c r="D40" s="100">
        <f>1015.31</f>
        <v>1015.31</v>
      </c>
      <c r="F40" s="32">
        <f t="shared" si="1"/>
        <v>-1015.31</v>
      </c>
      <c r="H40" s="108"/>
    </row>
    <row r="41" spans="1:10" x14ac:dyDescent="0.75">
      <c r="A41" s="96">
        <f t="shared" si="0"/>
        <v>1791</v>
      </c>
      <c r="B41" s="99" t="s">
        <v>722</v>
      </c>
      <c r="C41" s="101"/>
      <c r="D41" s="100">
        <f>20105.95</f>
        <v>20105.95</v>
      </c>
      <c r="F41" s="32">
        <f t="shared" si="1"/>
        <v>-20105.95</v>
      </c>
      <c r="H41" s="108"/>
    </row>
    <row r="42" spans="1:10" x14ac:dyDescent="0.75">
      <c r="A42" s="96">
        <f t="shared" si="0"/>
        <v>1810</v>
      </c>
      <c r="B42" s="99" t="s">
        <v>957</v>
      </c>
      <c r="C42" s="100">
        <f>394793</f>
        <v>394793</v>
      </c>
      <c r="D42" s="101"/>
      <c r="F42" s="32">
        <f t="shared" si="1"/>
        <v>394793</v>
      </c>
      <c r="H42" s="108"/>
    </row>
    <row r="43" spans="1:10" x14ac:dyDescent="0.75">
      <c r="A43" s="96">
        <f t="shared" si="0"/>
        <v>1820</v>
      </c>
      <c r="B43" s="99" t="s">
        <v>229</v>
      </c>
      <c r="C43" s="100">
        <f>0</f>
        <v>0</v>
      </c>
      <c r="D43" s="101"/>
      <c r="F43" s="32">
        <f t="shared" si="1"/>
        <v>0</v>
      </c>
      <c r="H43" s="108"/>
    </row>
    <row r="44" spans="1:10" x14ac:dyDescent="0.75">
      <c r="A44" s="96">
        <f t="shared" si="0"/>
        <v>1830</v>
      </c>
      <c r="B44" s="99" t="s">
        <v>723</v>
      </c>
      <c r="C44" s="100">
        <f>0</f>
        <v>0</v>
      </c>
      <c r="D44" s="101"/>
      <c r="F44" s="32">
        <f t="shared" si="1"/>
        <v>0</v>
      </c>
      <c r="H44" s="108"/>
    </row>
    <row r="45" spans="1:10" x14ac:dyDescent="0.75">
      <c r="A45" s="96">
        <f t="shared" si="0"/>
        <v>1840</v>
      </c>
      <c r="B45" s="99" t="s">
        <v>811</v>
      </c>
      <c r="C45" s="100">
        <f>0</f>
        <v>0</v>
      </c>
      <c r="D45" s="101"/>
      <c r="F45" s="32">
        <f t="shared" si="1"/>
        <v>0</v>
      </c>
      <c r="H45" s="108"/>
    </row>
    <row r="46" spans="1:10" x14ac:dyDescent="0.75">
      <c r="A46" s="96">
        <f t="shared" si="0"/>
        <v>1900</v>
      </c>
      <c r="B46" s="99" t="s">
        <v>233</v>
      </c>
      <c r="C46" s="104">
        <f>5980-5980</f>
        <v>0</v>
      </c>
      <c r="D46" s="101"/>
      <c r="F46" s="32">
        <f t="shared" si="1"/>
        <v>0</v>
      </c>
      <c r="H46" s="108"/>
    </row>
    <row r="47" spans="1:10" x14ac:dyDescent="0.75">
      <c r="A47" s="96">
        <f t="shared" si="0"/>
        <v>1902</v>
      </c>
      <c r="B47" s="99" t="s">
        <v>812</v>
      </c>
      <c r="C47" s="104">
        <f>3245-3245</f>
        <v>0</v>
      </c>
      <c r="D47" s="101"/>
      <c r="F47" s="32">
        <f t="shared" si="1"/>
        <v>0</v>
      </c>
      <c r="H47" s="108"/>
    </row>
    <row r="48" spans="1:10" x14ac:dyDescent="0.75">
      <c r="A48" s="96">
        <f t="shared" si="0"/>
        <v>1904</v>
      </c>
      <c r="B48" s="99" t="s">
        <v>724</v>
      </c>
      <c r="C48" s="100">
        <f>0</f>
        <v>0</v>
      </c>
      <c r="D48" s="101"/>
      <c r="F48" s="32">
        <f t="shared" si="1"/>
        <v>0</v>
      </c>
      <c r="H48" s="108"/>
    </row>
    <row r="49" spans="1:8" x14ac:dyDescent="0.75">
      <c r="A49" s="96">
        <f t="shared" si="0"/>
        <v>1906</v>
      </c>
      <c r="B49" s="99" t="s">
        <v>725</v>
      </c>
      <c r="C49" s="100">
        <f>0</f>
        <v>0</v>
      </c>
      <c r="D49" s="101"/>
      <c r="F49" s="32">
        <f t="shared" si="1"/>
        <v>0</v>
      </c>
      <c r="H49" s="108"/>
    </row>
    <row r="50" spans="1:8" x14ac:dyDescent="0.75">
      <c r="A50" s="96">
        <f t="shared" si="0"/>
        <v>1908</v>
      </c>
      <c r="B50" s="99" t="s">
        <v>241</v>
      </c>
      <c r="C50" s="100">
        <f>0</f>
        <v>0</v>
      </c>
      <c r="D50" s="101"/>
      <c r="F50" s="32">
        <f t="shared" si="1"/>
        <v>0</v>
      </c>
      <c r="H50" s="108"/>
    </row>
    <row r="51" spans="1:8" x14ac:dyDescent="0.75">
      <c r="A51" s="96">
        <f t="shared" si="0"/>
        <v>1910</v>
      </c>
      <c r="B51" s="99" t="s">
        <v>726</v>
      </c>
      <c r="C51" s="104">
        <f>2500-2500</f>
        <v>0</v>
      </c>
      <c r="D51" s="101"/>
      <c r="F51" s="32">
        <f t="shared" si="1"/>
        <v>0</v>
      </c>
      <c r="H51" s="108"/>
    </row>
    <row r="52" spans="1:8" x14ac:dyDescent="0.75">
      <c r="A52" s="96">
        <f t="shared" si="0"/>
        <v>1912</v>
      </c>
      <c r="B52" s="99" t="s">
        <v>727</v>
      </c>
      <c r="C52" s="100">
        <f>0</f>
        <v>0</v>
      </c>
      <c r="D52" s="101"/>
      <c r="F52" s="32">
        <f t="shared" si="1"/>
        <v>0</v>
      </c>
      <c r="H52" s="108"/>
    </row>
    <row r="53" spans="1:8" x14ac:dyDescent="0.75">
      <c r="A53" s="96">
        <f t="shared" si="0"/>
        <v>1914</v>
      </c>
      <c r="B53" s="99" t="s">
        <v>247</v>
      </c>
      <c r="C53" s="100">
        <f>0</f>
        <v>0</v>
      </c>
      <c r="D53" s="101"/>
      <c r="F53" s="32">
        <f t="shared" si="1"/>
        <v>0</v>
      </c>
      <c r="H53" s="108"/>
    </row>
    <row r="54" spans="1:8" x14ac:dyDescent="0.75">
      <c r="A54" s="96">
        <f t="shared" si="0"/>
        <v>1916</v>
      </c>
      <c r="B54" s="99" t="s">
        <v>728</v>
      </c>
      <c r="C54" s="100">
        <f>0</f>
        <v>0</v>
      </c>
      <c r="D54" s="101"/>
      <c r="F54" s="32">
        <f t="shared" si="1"/>
        <v>0</v>
      </c>
      <c r="H54" s="108"/>
    </row>
    <row r="55" spans="1:8" x14ac:dyDescent="0.75">
      <c r="A55" s="96">
        <f t="shared" si="0"/>
        <v>1918</v>
      </c>
      <c r="B55" s="99" t="s">
        <v>729</v>
      </c>
      <c r="C55" s="100">
        <f>0</f>
        <v>0</v>
      </c>
      <c r="D55" s="101"/>
      <c r="F55" s="32">
        <f t="shared" si="1"/>
        <v>0</v>
      </c>
      <c r="H55" s="108"/>
    </row>
    <row r="56" spans="1:8" x14ac:dyDescent="0.75">
      <c r="A56" s="96">
        <f t="shared" si="0"/>
        <v>1920</v>
      </c>
      <c r="B56" s="99" t="s">
        <v>730</v>
      </c>
      <c r="C56" s="100">
        <f>0</f>
        <v>0</v>
      </c>
      <c r="D56" s="101"/>
      <c r="F56" s="32">
        <f t="shared" si="1"/>
        <v>0</v>
      </c>
      <c r="H56" s="108"/>
    </row>
    <row r="57" spans="1:8" x14ac:dyDescent="0.75">
      <c r="A57" s="96">
        <f t="shared" si="0"/>
        <v>1922</v>
      </c>
      <c r="B57" s="99" t="s">
        <v>731</v>
      </c>
      <c r="C57" s="100">
        <f>0</f>
        <v>0</v>
      </c>
      <c r="D57" s="101"/>
      <c r="F57" s="32">
        <f t="shared" si="1"/>
        <v>0</v>
      </c>
      <c r="H57" s="108"/>
    </row>
    <row r="58" spans="1:8" x14ac:dyDescent="0.75">
      <c r="A58" s="96">
        <f t="shared" si="0"/>
        <v>1924</v>
      </c>
      <c r="B58" s="99" t="s">
        <v>732</v>
      </c>
      <c r="C58" s="104">
        <f>16253.59-16253.59</f>
        <v>0</v>
      </c>
      <c r="D58" s="101"/>
      <c r="F58" s="32">
        <f t="shared" si="1"/>
        <v>0</v>
      </c>
      <c r="H58" s="108"/>
    </row>
    <row r="59" spans="1:8" x14ac:dyDescent="0.75">
      <c r="A59" s="96">
        <f t="shared" si="0"/>
        <v>1926</v>
      </c>
      <c r="B59" s="99" t="s">
        <v>733</v>
      </c>
      <c r="C59" s="100">
        <f>0</f>
        <v>0</v>
      </c>
      <c r="D59" s="101"/>
      <c r="F59" s="32">
        <f t="shared" si="1"/>
        <v>0</v>
      </c>
      <c r="H59" s="108"/>
    </row>
    <row r="60" spans="1:8" x14ac:dyDescent="0.75">
      <c r="A60" s="96">
        <f t="shared" si="0"/>
        <v>1928</v>
      </c>
      <c r="B60" s="99" t="s">
        <v>734</v>
      </c>
      <c r="C60" s="100">
        <f>43132.88</f>
        <v>43132.88</v>
      </c>
      <c r="D60" s="101"/>
      <c r="F60" s="32">
        <f t="shared" si="1"/>
        <v>43132.88</v>
      </c>
      <c r="H60" s="108"/>
    </row>
    <row r="61" spans="1:8" x14ac:dyDescent="0.75">
      <c r="A61" s="96">
        <f t="shared" si="0"/>
        <v>1930</v>
      </c>
      <c r="B61" s="99" t="s">
        <v>735</v>
      </c>
      <c r="C61" s="100">
        <f>0</f>
        <v>0</v>
      </c>
      <c r="D61" s="101"/>
      <c r="F61" s="32">
        <f t="shared" si="1"/>
        <v>0</v>
      </c>
      <c r="H61" s="108"/>
    </row>
    <row r="62" spans="1:8" x14ac:dyDescent="0.75">
      <c r="A62" s="96">
        <f t="shared" si="0"/>
        <v>1950</v>
      </c>
      <c r="B62" s="99" t="s">
        <v>930</v>
      </c>
      <c r="C62" s="101"/>
      <c r="D62" s="104">
        <f>41365.91-406.34*4+3392.34</f>
        <v>43132.89</v>
      </c>
      <c r="F62" s="32">
        <f t="shared" si="1"/>
        <v>-43132.89</v>
      </c>
      <c r="H62" s="108"/>
    </row>
    <row r="63" spans="1:8" x14ac:dyDescent="0.75">
      <c r="A63" s="96">
        <f t="shared" si="0"/>
        <v>1932</v>
      </c>
      <c r="B63" s="99" t="s">
        <v>736</v>
      </c>
      <c r="C63" s="100">
        <f>0</f>
        <v>0</v>
      </c>
      <c r="D63" s="101"/>
      <c r="F63" s="32">
        <f t="shared" si="1"/>
        <v>0</v>
      </c>
      <c r="H63" s="108"/>
    </row>
    <row r="64" spans="1:8" x14ac:dyDescent="0.75">
      <c r="A64" s="96">
        <f t="shared" si="0"/>
        <v>1960</v>
      </c>
      <c r="B64" s="99" t="s">
        <v>737</v>
      </c>
      <c r="C64" s="100">
        <f>0</f>
        <v>0</v>
      </c>
      <c r="D64" s="101"/>
      <c r="F64" s="32">
        <f t="shared" si="1"/>
        <v>0</v>
      </c>
      <c r="H64" s="108"/>
    </row>
    <row r="65" spans="1:10" x14ac:dyDescent="0.75">
      <c r="A65" s="96">
        <f t="shared" si="0"/>
        <v>1980</v>
      </c>
      <c r="B65" s="99" t="s">
        <v>738</v>
      </c>
      <c r="C65" s="100">
        <f>0</f>
        <v>0</v>
      </c>
      <c r="D65" s="101"/>
      <c r="F65" s="32">
        <f t="shared" si="1"/>
        <v>0</v>
      </c>
      <c r="H65" s="108"/>
    </row>
    <row r="66" spans="1:10" x14ac:dyDescent="0.75">
      <c r="A66" s="96">
        <f t="shared" si="0"/>
        <v>2000</v>
      </c>
      <c r="B66" s="99" t="s">
        <v>251</v>
      </c>
      <c r="C66" s="101"/>
      <c r="D66" s="104">
        <f>68305.55+1286.51-4477.25</f>
        <v>65114.81</v>
      </c>
      <c r="F66" s="32">
        <f t="shared" si="1"/>
        <v>-65114.81</v>
      </c>
      <c r="H66" s="108"/>
    </row>
    <row r="67" spans="1:10" x14ac:dyDescent="0.75">
      <c r="A67" s="96">
        <f t="shared" si="0"/>
        <v>2101</v>
      </c>
      <c r="B67" s="99" t="s">
        <v>739</v>
      </c>
      <c r="C67" s="101"/>
      <c r="D67" s="100">
        <f>0</f>
        <v>0</v>
      </c>
      <c r="F67" s="32">
        <f t="shared" si="1"/>
        <v>0</v>
      </c>
      <c r="H67" s="108"/>
    </row>
    <row r="68" spans="1:10" x14ac:dyDescent="0.75">
      <c r="A68" s="96">
        <f t="shared" si="0"/>
        <v>2102</v>
      </c>
      <c r="B68" s="99" t="s">
        <v>740</v>
      </c>
      <c r="C68" s="101"/>
      <c r="D68" s="100">
        <f>11416.75</f>
        <v>11416.75</v>
      </c>
      <c r="F68" s="32">
        <f t="shared" si="1"/>
        <v>-11416.75</v>
      </c>
      <c r="H68" s="108"/>
    </row>
    <row r="69" spans="1:10" x14ac:dyDescent="0.75">
      <c r="A69" s="96">
        <f t="shared" si="0"/>
        <v>2103</v>
      </c>
      <c r="B69" s="99" t="s">
        <v>813</v>
      </c>
      <c r="C69" s="101"/>
      <c r="D69" s="100">
        <f>10687.12</f>
        <v>10687.12</v>
      </c>
      <c r="F69" s="32">
        <f t="shared" si="1"/>
        <v>-10687.12</v>
      </c>
      <c r="H69" s="108"/>
    </row>
    <row r="70" spans="1:10" x14ac:dyDescent="0.75">
      <c r="A70" s="96">
        <f t="shared" ref="A70:A134" si="2">VALUE(LEFT(B70,4))</f>
        <v>2104</v>
      </c>
      <c r="B70" s="99" t="s">
        <v>741</v>
      </c>
      <c r="C70" s="100">
        <f>48.21</f>
        <v>48.21</v>
      </c>
      <c r="D70" s="101"/>
      <c r="F70" s="32">
        <f t="shared" si="1"/>
        <v>48.21</v>
      </c>
      <c r="H70" s="108"/>
    </row>
    <row r="71" spans="1:10" x14ac:dyDescent="0.75">
      <c r="A71" s="96">
        <f t="shared" si="2"/>
        <v>2105</v>
      </c>
      <c r="B71" s="99" t="s">
        <v>814</v>
      </c>
      <c r="C71" s="101"/>
      <c r="D71" s="100">
        <f>0</f>
        <v>0</v>
      </c>
      <c r="F71" s="32">
        <f t="shared" ref="F71:F136" si="3">C71-D71</f>
        <v>0</v>
      </c>
      <c r="H71" s="108"/>
    </row>
    <row r="72" spans="1:10" x14ac:dyDescent="0.75">
      <c r="A72" s="96">
        <f t="shared" si="2"/>
        <v>2010</v>
      </c>
      <c r="B72" s="99" t="s">
        <v>277</v>
      </c>
      <c r="C72" s="101"/>
      <c r="D72" s="100">
        <f>13489.05</f>
        <v>13489.05</v>
      </c>
      <c r="F72" s="32">
        <f t="shared" si="3"/>
        <v>-13489.05</v>
      </c>
      <c r="H72" s="108"/>
    </row>
    <row r="73" spans="1:10" x14ac:dyDescent="0.75">
      <c r="A73" s="96">
        <f t="shared" si="2"/>
        <v>2020</v>
      </c>
      <c r="B73" s="99" t="s">
        <v>742</v>
      </c>
      <c r="C73" s="101"/>
      <c r="D73" s="100">
        <f>0</f>
        <v>0</v>
      </c>
      <c r="F73" s="32">
        <f t="shared" si="3"/>
        <v>0</v>
      </c>
      <c r="H73" s="108"/>
    </row>
    <row r="74" spans="1:10" x14ac:dyDescent="0.75">
      <c r="A74" s="96">
        <f t="shared" si="2"/>
        <v>2106</v>
      </c>
      <c r="B74" s="99" t="s">
        <v>743</v>
      </c>
      <c r="C74" s="101"/>
      <c r="D74" s="100">
        <f>0</f>
        <v>0</v>
      </c>
      <c r="F74" s="32">
        <f t="shared" si="3"/>
        <v>0</v>
      </c>
      <c r="H74" s="108"/>
    </row>
    <row r="75" spans="1:10" x14ac:dyDescent="0.75">
      <c r="A75" s="96">
        <f t="shared" si="2"/>
        <v>2210</v>
      </c>
      <c r="B75" s="99" t="s">
        <v>744</v>
      </c>
      <c r="C75" s="101"/>
      <c r="D75" s="104">
        <f>628339.38+30000+10000-253.97+616.79+9345.22*3+9142.06+4477.25+21931+35000</f>
        <v>767288.17000000016</v>
      </c>
      <c r="F75" s="32">
        <f t="shared" si="3"/>
        <v>-767288.17000000016</v>
      </c>
      <c r="H75" s="108"/>
    </row>
    <row r="76" spans="1:10" s="103" customFormat="1" x14ac:dyDescent="0.75">
      <c r="A76" s="103">
        <v>2220</v>
      </c>
      <c r="B76" s="81" t="s">
        <v>1005</v>
      </c>
      <c r="C76" s="101"/>
      <c r="D76" s="104">
        <f>2805.55+8047.78+16866.67+19700-2805.55-8047.78-16866.67-19700</f>
        <v>0</v>
      </c>
      <c r="F76" s="32">
        <f t="shared" si="3"/>
        <v>0</v>
      </c>
      <c r="H76" s="108"/>
      <c r="I76" s="32"/>
      <c r="J76" s="32"/>
    </row>
    <row r="77" spans="1:10" x14ac:dyDescent="0.75">
      <c r="A77" s="96">
        <f t="shared" si="2"/>
        <v>2231</v>
      </c>
      <c r="B77" s="99" t="s">
        <v>745</v>
      </c>
      <c r="C77" s="101"/>
      <c r="D77" s="100">
        <f>0</f>
        <v>0</v>
      </c>
      <c r="F77" s="32">
        <f t="shared" si="3"/>
        <v>0</v>
      </c>
      <c r="H77" s="108"/>
    </row>
    <row r="78" spans="1:10" x14ac:dyDescent="0.75">
      <c r="A78" s="96">
        <f t="shared" si="2"/>
        <v>2232</v>
      </c>
      <c r="B78" s="99" t="s">
        <v>746</v>
      </c>
      <c r="C78" s="101"/>
      <c r="D78" s="100">
        <f>0</f>
        <v>0</v>
      </c>
      <c r="F78" s="32">
        <f t="shared" si="3"/>
        <v>0</v>
      </c>
      <c r="H78" s="108"/>
    </row>
    <row r="79" spans="1:10" x14ac:dyDescent="0.75">
      <c r="A79" s="96">
        <f t="shared" si="2"/>
        <v>2233</v>
      </c>
      <c r="B79" s="99" t="s">
        <v>747</v>
      </c>
      <c r="C79" s="101"/>
      <c r="D79" s="100">
        <f>0</f>
        <v>0</v>
      </c>
      <c r="F79" s="32">
        <f t="shared" si="3"/>
        <v>0</v>
      </c>
      <c r="H79" s="108"/>
    </row>
    <row r="80" spans="1:10" x14ac:dyDescent="0.75">
      <c r="A80" s="96">
        <f t="shared" si="2"/>
        <v>2235</v>
      </c>
      <c r="B80" s="99" t="s">
        <v>748</v>
      </c>
      <c r="C80" s="101"/>
      <c r="D80" s="100">
        <f>0</f>
        <v>0</v>
      </c>
      <c r="F80" s="32">
        <f t="shared" si="3"/>
        <v>0</v>
      </c>
      <c r="H80" s="108"/>
    </row>
    <row r="81" spans="1:8" x14ac:dyDescent="0.75">
      <c r="A81" s="96">
        <f t="shared" si="2"/>
        <v>2236</v>
      </c>
      <c r="B81" s="99" t="s">
        <v>749</v>
      </c>
      <c r="C81" s="101"/>
      <c r="D81" s="100">
        <f>0</f>
        <v>0</v>
      </c>
      <c r="F81" s="32">
        <f t="shared" si="3"/>
        <v>0</v>
      </c>
      <c r="H81" s="108"/>
    </row>
    <row r="82" spans="1:8" x14ac:dyDescent="0.75">
      <c r="A82" s="96">
        <f t="shared" si="2"/>
        <v>2250</v>
      </c>
      <c r="B82" s="99" t="s">
        <v>750</v>
      </c>
      <c r="C82" s="101"/>
      <c r="D82" s="100">
        <f>0</f>
        <v>0</v>
      </c>
      <c r="F82" s="32">
        <f t="shared" si="3"/>
        <v>0</v>
      </c>
      <c r="H82" s="108"/>
    </row>
    <row r="83" spans="1:8" x14ac:dyDescent="0.75">
      <c r="A83" s="96">
        <f t="shared" si="2"/>
        <v>2270</v>
      </c>
      <c r="B83" s="99" t="s">
        <v>751</v>
      </c>
      <c r="C83" s="101"/>
      <c r="D83" s="100">
        <f>0</f>
        <v>0</v>
      </c>
      <c r="F83" s="32">
        <f t="shared" si="3"/>
        <v>0</v>
      </c>
      <c r="H83" s="108"/>
    </row>
    <row r="84" spans="1:8" x14ac:dyDescent="0.75">
      <c r="A84" s="96">
        <f t="shared" si="2"/>
        <v>2280</v>
      </c>
      <c r="B84" s="99" t="s">
        <v>752</v>
      </c>
      <c r="C84" s="101"/>
      <c r="D84" s="100">
        <f>0</f>
        <v>0</v>
      </c>
      <c r="F84" s="32">
        <f t="shared" si="3"/>
        <v>0</v>
      </c>
      <c r="H84" s="108"/>
    </row>
    <row r="85" spans="1:8" x14ac:dyDescent="0.75">
      <c r="A85" s="96">
        <f t="shared" si="2"/>
        <v>2285</v>
      </c>
      <c r="B85" s="99" t="s">
        <v>753</v>
      </c>
      <c r="C85" s="101"/>
      <c r="D85" s="104">
        <f>19562.03-9425.09-10136.94</f>
        <v>0</v>
      </c>
      <c r="F85" s="32">
        <f t="shared" si="3"/>
        <v>0</v>
      </c>
      <c r="H85" s="108"/>
    </row>
    <row r="86" spans="1:8" x14ac:dyDescent="0.75">
      <c r="A86" s="96">
        <f t="shared" si="2"/>
        <v>2290</v>
      </c>
      <c r="B86" s="99" t="s">
        <v>754</v>
      </c>
      <c r="C86" s="101"/>
      <c r="D86" s="104">
        <f>9740-9740+3870+40000+100000</f>
        <v>143870</v>
      </c>
      <c r="F86" s="32">
        <f t="shared" si="3"/>
        <v>-143870</v>
      </c>
      <c r="H86" s="108"/>
    </row>
    <row r="87" spans="1:8" x14ac:dyDescent="0.75">
      <c r="A87" s="96">
        <f t="shared" si="2"/>
        <v>2305</v>
      </c>
      <c r="B87" s="99" t="s">
        <v>755</v>
      </c>
      <c r="C87" s="101"/>
      <c r="D87" s="100">
        <f>1221957.72</f>
        <v>1221957.72</v>
      </c>
      <c r="F87" s="32">
        <f t="shared" si="3"/>
        <v>-1221957.72</v>
      </c>
      <c r="H87" s="108"/>
    </row>
    <row r="88" spans="1:8" x14ac:dyDescent="0.75">
      <c r="A88" s="96">
        <f t="shared" si="2"/>
        <v>2310</v>
      </c>
      <c r="B88" s="99" t="s">
        <v>756</v>
      </c>
      <c r="C88" s="101"/>
      <c r="D88" s="104">
        <f>35000-35000</f>
        <v>0</v>
      </c>
      <c r="F88" s="32">
        <f t="shared" si="3"/>
        <v>0</v>
      </c>
      <c r="H88" s="108"/>
    </row>
    <row r="89" spans="1:8" x14ac:dyDescent="0.75">
      <c r="A89" s="96">
        <f t="shared" si="2"/>
        <v>2320</v>
      </c>
      <c r="B89" s="99" t="s">
        <v>859</v>
      </c>
      <c r="C89" s="101"/>
      <c r="D89" s="104">
        <f>34664-24677.6-9986.4</f>
        <v>0</v>
      </c>
      <c r="F89" s="32">
        <f t="shared" si="3"/>
        <v>0</v>
      </c>
      <c r="H89" s="108"/>
    </row>
    <row r="90" spans="1:8" x14ac:dyDescent="0.75">
      <c r="A90" s="96">
        <f t="shared" si="2"/>
        <v>2400</v>
      </c>
      <c r="B90" s="99" t="s">
        <v>757</v>
      </c>
      <c r="C90" s="101"/>
      <c r="D90" s="100">
        <f>106383.45</f>
        <v>106383.45</v>
      </c>
      <c r="F90" s="32">
        <f t="shared" si="3"/>
        <v>-106383.45</v>
      </c>
      <c r="H90" s="108"/>
    </row>
    <row r="91" spans="1:8" x14ac:dyDescent="0.75">
      <c r="A91" s="96">
        <f t="shared" si="2"/>
        <v>2405</v>
      </c>
      <c r="B91" s="99" t="s">
        <v>815</v>
      </c>
      <c r="C91" s="101"/>
      <c r="D91" s="100">
        <f>36815.1</f>
        <v>36815.1</v>
      </c>
      <c r="F91" s="32">
        <f t="shared" si="3"/>
        <v>-36815.1</v>
      </c>
      <c r="H91" s="108"/>
    </row>
    <row r="92" spans="1:8" x14ac:dyDescent="0.75">
      <c r="A92" s="96">
        <f t="shared" si="2"/>
        <v>2410</v>
      </c>
      <c r="B92" s="99" t="s">
        <v>758</v>
      </c>
      <c r="C92" s="101"/>
      <c r="D92" s="100">
        <f>0</f>
        <v>0</v>
      </c>
      <c r="F92" s="32">
        <f t="shared" si="3"/>
        <v>0</v>
      </c>
      <c r="H92" s="108"/>
    </row>
    <row r="93" spans="1:8" x14ac:dyDescent="0.75">
      <c r="A93" s="96">
        <f t="shared" si="2"/>
        <v>2415</v>
      </c>
      <c r="B93" s="99" t="s">
        <v>759</v>
      </c>
      <c r="C93" s="101"/>
      <c r="D93" s="100">
        <f>0</f>
        <v>0</v>
      </c>
      <c r="F93" s="32">
        <f t="shared" si="3"/>
        <v>0</v>
      </c>
      <c r="H93" s="108"/>
    </row>
    <row r="94" spans="1:8" x14ac:dyDescent="0.75">
      <c r="A94" s="96">
        <f t="shared" si="2"/>
        <v>2420</v>
      </c>
      <c r="B94" s="99" t="s">
        <v>760</v>
      </c>
      <c r="C94" s="101"/>
      <c r="D94" s="100">
        <f>0</f>
        <v>0</v>
      </c>
      <c r="F94" s="32">
        <f t="shared" si="3"/>
        <v>0</v>
      </c>
      <c r="H94" s="108"/>
    </row>
    <row r="95" spans="1:8" x14ac:dyDescent="0.75">
      <c r="A95" s="96">
        <f t="shared" si="2"/>
        <v>2425</v>
      </c>
      <c r="B95" s="99" t="s">
        <v>761</v>
      </c>
      <c r="C95" s="101"/>
      <c r="D95" s="100">
        <f>0</f>
        <v>0</v>
      </c>
      <c r="F95" s="32">
        <f t="shared" si="3"/>
        <v>0</v>
      </c>
      <c r="H95" s="108"/>
    </row>
    <row r="96" spans="1:8" x14ac:dyDescent="0.75">
      <c r="A96" s="96">
        <f t="shared" si="2"/>
        <v>2430</v>
      </c>
      <c r="B96" s="99" t="s">
        <v>762</v>
      </c>
      <c r="C96" s="101"/>
      <c r="D96" s="100">
        <f>0</f>
        <v>0</v>
      </c>
      <c r="F96" s="32">
        <f t="shared" si="3"/>
        <v>0</v>
      </c>
      <c r="H96" s="108"/>
    </row>
    <row r="97" spans="1:8" x14ac:dyDescent="0.75">
      <c r="A97" s="96">
        <f t="shared" si="2"/>
        <v>2470</v>
      </c>
      <c r="B97" s="99" t="s">
        <v>958</v>
      </c>
      <c r="C97" s="101"/>
      <c r="D97" s="100">
        <f>394793</f>
        <v>394793</v>
      </c>
      <c r="F97" s="32">
        <f t="shared" si="3"/>
        <v>-394793</v>
      </c>
      <c r="H97" s="108"/>
    </row>
    <row r="98" spans="1:8" x14ac:dyDescent="0.75">
      <c r="A98" s="96">
        <f t="shared" si="2"/>
        <v>2705</v>
      </c>
      <c r="B98" s="99" t="s">
        <v>816</v>
      </c>
      <c r="C98" s="101"/>
      <c r="D98" s="100">
        <f>50000</f>
        <v>50000</v>
      </c>
      <c r="F98" s="32">
        <f t="shared" si="3"/>
        <v>-50000</v>
      </c>
      <c r="H98" s="108"/>
    </row>
    <row r="99" spans="1:8" x14ac:dyDescent="0.75">
      <c r="A99" s="96">
        <f t="shared" si="2"/>
        <v>2710</v>
      </c>
      <c r="B99" s="99" t="s">
        <v>817</v>
      </c>
      <c r="C99" s="101"/>
      <c r="D99" s="100">
        <f>15000</f>
        <v>15000</v>
      </c>
      <c r="F99" s="32">
        <f t="shared" si="3"/>
        <v>-15000</v>
      </c>
      <c r="H99" s="108"/>
    </row>
    <row r="100" spans="1:8" x14ac:dyDescent="0.75">
      <c r="A100" s="96">
        <f t="shared" si="2"/>
        <v>2715</v>
      </c>
      <c r="B100" s="99" t="s">
        <v>818</v>
      </c>
      <c r="C100" s="101"/>
      <c r="D100" s="100">
        <f>25000</f>
        <v>25000</v>
      </c>
      <c r="F100" s="32">
        <f t="shared" si="3"/>
        <v>-25000</v>
      </c>
      <c r="H100" s="108"/>
    </row>
    <row r="101" spans="1:8" x14ac:dyDescent="0.75">
      <c r="A101" s="96">
        <f t="shared" si="2"/>
        <v>2720</v>
      </c>
      <c r="B101" s="99" t="s">
        <v>819</v>
      </c>
      <c r="C101" s="101"/>
      <c r="D101" s="100">
        <f>50000</f>
        <v>50000</v>
      </c>
      <c r="F101" s="32">
        <f t="shared" si="3"/>
        <v>-50000</v>
      </c>
      <c r="H101" s="108"/>
    </row>
    <row r="102" spans="1:8" x14ac:dyDescent="0.75">
      <c r="A102" s="96">
        <f t="shared" si="2"/>
        <v>2725</v>
      </c>
      <c r="B102" s="99" t="s">
        <v>820</v>
      </c>
      <c r="C102" s="101"/>
      <c r="D102" s="100">
        <f>60000</f>
        <v>60000</v>
      </c>
      <c r="F102" s="32">
        <f t="shared" si="3"/>
        <v>-60000</v>
      </c>
      <c r="H102" s="108"/>
    </row>
    <row r="103" spans="1:8" x14ac:dyDescent="0.75">
      <c r="A103" s="96">
        <f t="shared" si="2"/>
        <v>2730</v>
      </c>
      <c r="B103" s="99" t="s">
        <v>821</v>
      </c>
      <c r="C103" s="101"/>
      <c r="D103" s="104">
        <f>100000+8527</f>
        <v>108527</v>
      </c>
      <c r="F103" s="32">
        <f t="shared" si="3"/>
        <v>-108527</v>
      </c>
      <c r="H103" s="108"/>
    </row>
    <row r="104" spans="1:8" x14ac:dyDescent="0.75">
      <c r="A104" s="96">
        <f t="shared" si="2"/>
        <v>2735</v>
      </c>
      <c r="B104" s="99" t="s">
        <v>822</v>
      </c>
      <c r="C104" s="101"/>
      <c r="D104" s="100">
        <f>150000</f>
        <v>150000</v>
      </c>
      <c r="F104" s="32">
        <f t="shared" si="3"/>
        <v>-150000</v>
      </c>
      <c r="H104" s="108"/>
    </row>
    <row r="105" spans="1:8" x14ac:dyDescent="0.75">
      <c r="A105" s="96">
        <f t="shared" si="2"/>
        <v>2740</v>
      </c>
      <c r="B105" s="99" t="s">
        <v>823</v>
      </c>
      <c r="C105" s="101"/>
      <c r="D105" s="100">
        <f>40000</f>
        <v>40000</v>
      </c>
      <c r="F105" s="32">
        <f t="shared" si="3"/>
        <v>-40000</v>
      </c>
      <c r="H105" s="108"/>
    </row>
    <row r="106" spans="1:8" x14ac:dyDescent="0.75">
      <c r="A106" s="96">
        <f t="shared" si="2"/>
        <v>2745</v>
      </c>
      <c r="B106" s="99" t="s">
        <v>940</v>
      </c>
      <c r="C106" s="101"/>
      <c r="D106" s="104">
        <f>200003.36+429.85+214.93*3+207.91+214.93*3+210.26</f>
        <v>202140.96000000002</v>
      </c>
      <c r="F106" s="32">
        <f t="shared" si="3"/>
        <v>-202140.96000000002</v>
      </c>
      <c r="H106" s="108"/>
    </row>
    <row r="107" spans="1:8" x14ac:dyDescent="0.75">
      <c r="A107" s="96">
        <f t="shared" si="2"/>
        <v>2750</v>
      </c>
      <c r="B107" s="99" t="s">
        <v>824</v>
      </c>
      <c r="C107" s="101"/>
      <c r="D107" s="100">
        <f>50000</f>
        <v>50000</v>
      </c>
      <c r="F107" s="32">
        <f t="shared" si="3"/>
        <v>-50000</v>
      </c>
      <c r="H107" s="108"/>
    </row>
    <row r="108" spans="1:8" x14ac:dyDescent="0.75">
      <c r="A108" s="96">
        <f t="shared" si="2"/>
        <v>2755</v>
      </c>
      <c r="B108" s="99" t="s">
        <v>825</v>
      </c>
      <c r="C108" s="101"/>
      <c r="D108" s="100">
        <f>25000</f>
        <v>25000</v>
      </c>
      <c r="F108" s="32">
        <f t="shared" si="3"/>
        <v>-25000</v>
      </c>
      <c r="H108" s="108"/>
    </row>
    <row r="109" spans="1:8" x14ac:dyDescent="0.75">
      <c r="A109" s="96">
        <f t="shared" si="2"/>
        <v>2760</v>
      </c>
      <c r="B109" s="99" t="s">
        <v>826</v>
      </c>
      <c r="C109" s="101"/>
      <c r="D109" s="100">
        <f>170000</f>
        <v>170000</v>
      </c>
      <c r="F109" s="32">
        <f t="shared" si="3"/>
        <v>-170000</v>
      </c>
      <c r="H109" s="108"/>
    </row>
    <row r="110" spans="1:8" x14ac:dyDescent="0.75">
      <c r="A110" s="96">
        <f t="shared" si="2"/>
        <v>2765</v>
      </c>
      <c r="B110" s="99" t="s">
        <v>827</v>
      </c>
      <c r="C110" s="101"/>
      <c r="D110" s="100">
        <f>50000</f>
        <v>50000</v>
      </c>
      <c r="F110" s="32">
        <f t="shared" si="3"/>
        <v>-50000</v>
      </c>
      <c r="H110" s="108"/>
    </row>
    <row r="111" spans="1:8" x14ac:dyDescent="0.75">
      <c r="A111" s="96">
        <f t="shared" si="2"/>
        <v>2770</v>
      </c>
      <c r="B111" s="99" t="s">
        <v>828</v>
      </c>
      <c r="C111" s="101"/>
      <c r="D111" s="100">
        <f>2500</f>
        <v>2500</v>
      </c>
      <c r="F111" s="32">
        <f t="shared" si="3"/>
        <v>-2500</v>
      </c>
      <c r="H111" s="108"/>
    </row>
    <row r="112" spans="1:8" x14ac:dyDescent="0.75">
      <c r="A112" s="96">
        <f t="shared" si="2"/>
        <v>2775</v>
      </c>
      <c r="B112" s="99" t="s">
        <v>829</v>
      </c>
      <c r="C112" s="101"/>
      <c r="D112" s="100">
        <f>50000</f>
        <v>50000</v>
      </c>
      <c r="F112" s="32">
        <f t="shared" si="3"/>
        <v>-50000</v>
      </c>
      <c r="H112" s="108"/>
    </row>
    <row r="113" spans="1:8" x14ac:dyDescent="0.75">
      <c r="A113" s="96">
        <f t="shared" si="2"/>
        <v>2780</v>
      </c>
      <c r="B113" s="99" t="s">
        <v>830</v>
      </c>
      <c r="C113" s="101"/>
      <c r="D113" s="100">
        <f>25000</f>
        <v>25000</v>
      </c>
      <c r="F113" s="32">
        <f t="shared" si="3"/>
        <v>-25000</v>
      </c>
      <c r="H113" s="108"/>
    </row>
    <row r="114" spans="1:8" x14ac:dyDescent="0.75">
      <c r="A114" s="96">
        <f t="shared" si="2"/>
        <v>2785</v>
      </c>
      <c r="B114" s="99" t="s">
        <v>947</v>
      </c>
      <c r="C114" s="101"/>
      <c r="D114" s="100">
        <f>0</f>
        <v>0</v>
      </c>
      <c r="F114" s="32">
        <f t="shared" si="3"/>
        <v>0</v>
      </c>
      <c r="H114" s="108"/>
    </row>
    <row r="115" spans="1:8" x14ac:dyDescent="0.75">
      <c r="A115" s="96">
        <f t="shared" si="2"/>
        <v>2790</v>
      </c>
      <c r="B115" s="99" t="s">
        <v>943</v>
      </c>
      <c r="C115" s="100">
        <f>193932</f>
        <v>193932</v>
      </c>
      <c r="D115" s="101"/>
      <c r="F115" s="32">
        <f t="shared" si="3"/>
        <v>193932</v>
      </c>
      <c r="H115" s="108"/>
    </row>
    <row r="116" spans="1:8" x14ac:dyDescent="0.75">
      <c r="A116" s="96">
        <f t="shared" si="2"/>
        <v>3000</v>
      </c>
      <c r="B116" s="99" t="s">
        <v>307</v>
      </c>
      <c r="C116" s="101"/>
      <c r="D116" s="104">
        <f>46305.14+50+35+20+11-21+5+5</f>
        <v>46410.14</v>
      </c>
      <c r="F116" s="32">
        <f t="shared" si="3"/>
        <v>-46410.14</v>
      </c>
      <c r="H116" s="108"/>
    </row>
    <row r="117" spans="1:8" x14ac:dyDescent="0.75">
      <c r="A117" s="96">
        <f t="shared" si="2"/>
        <v>3050</v>
      </c>
      <c r="B117" s="99" t="s">
        <v>964</v>
      </c>
      <c r="C117" s="101"/>
      <c r="D117" s="104">
        <f>40+1</f>
        <v>41</v>
      </c>
      <c r="F117" s="32">
        <f t="shared" si="3"/>
        <v>-41</v>
      </c>
      <c r="H117" s="108"/>
    </row>
    <row r="118" spans="1:8" x14ac:dyDescent="0.75">
      <c r="A118" s="96">
        <f t="shared" si="2"/>
        <v>3100</v>
      </c>
      <c r="B118" s="99" t="s">
        <v>308</v>
      </c>
      <c r="C118" s="101"/>
      <c r="D118" s="104">
        <f>7668073.66+12450+6965+4163+10488.66+2310.44+2310.44+2551.69+2189-12579+345+345+49998-25000+37</f>
        <v>7724647.8900000015</v>
      </c>
      <c r="F118" s="32">
        <f t="shared" si="3"/>
        <v>-7724647.8900000015</v>
      </c>
      <c r="H118" s="108"/>
    </row>
    <row r="119" spans="1:8" x14ac:dyDescent="0.75">
      <c r="A119" s="96">
        <f t="shared" si="2"/>
        <v>3150</v>
      </c>
      <c r="B119" s="99" t="s">
        <v>1012</v>
      </c>
      <c r="C119" s="101"/>
      <c r="D119" s="104">
        <f>1049958-49998+24999</f>
        <v>1024959</v>
      </c>
      <c r="F119" s="32">
        <f t="shared" si="3"/>
        <v>-1024959</v>
      </c>
      <c r="H119" s="108"/>
    </row>
    <row r="120" spans="1:8" x14ac:dyDescent="0.75">
      <c r="A120" s="96">
        <f t="shared" si="2"/>
        <v>3200</v>
      </c>
      <c r="B120" s="99" t="s">
        <v>309</v>
      </c>
      <c r="C120" s="101"/>
      <c r="D120" s="100">
        <f>0</f>
        <v>0</v>
      </c>
      <c r="F120" s="32">
        <f t="shared" si="3"/>
        <v>0</v>
      </c>
      <c r="H120" s="108"/>
    </row>
    <row r="121" spans="1:8" x14ac:dyDescent="0.75">
      <c r="A121" s="96">
        <f t="shared" si="2"/>
        <v>3300</v>
      </c>
      <c r="B121" s="99" t="s">
        <v>763</v>
      </c>
      <c r="C121" s="101"/>
      <c r="D121" s="100">
        <f>0</f>
        <v>0</v>
      </c>
      <c r="F121" s="32">
        <f t="shared" si="3"/>
        <v>0</v>
      </c>
      <c r="H121" s="108"/>
    </row>
    <row r="122" spans="1:8" x14ac:dyDescent="0.75">
      <c r="A122" s="96">
        <f t="shared" si="2"/>
        <v>3400</v>
      </c>
      <c r="B122" s="99" t="s">
        <v>764</v>
      </c>
      <c r="C122" s="101"/>
      <c r="D122" s="100">
        <f>0</f>
        <v>0</v>
      </c>
      <c r="F122" s="32">
        <f t="shared" si="3"/>
        <v>0</v>
      </c>
      <c r="H122" s="108"/>
    </row>
    <row r="123" spans="1:8" x14ac:dyDescent="0.75">
      <c r="A123" s="96">
        <f t="shared" si="2"/>
        <v>3500</v>
      </c>
      <c r="B123" s="99" t="s">
        <v>306</v>
      </c>
      <c r="C123" s="101"/>
      <c r="D123" s="100">
        <f>0</f>
        <v>0</v>
      </c>
      <c r="F123" s="32">
        <f t="shared" si="3"/>
        <v>0</v>
      </c>
      <c r="H123" s="108"/>
    </row>
    <row r="124" spans="1:8" x14ac:dyDescent="0.75">
      <c r="A124" s="96">
        <f t="shared" si="2"/>
        <v>3600</v>
      </c>
      <c r="B124" s="99" t="s">
        <v>938</v>
      </c>
      <c r="C124" s="104">
        <f>94000-10000</f>
        <v>84000</v>
      </c>
      <c r="D124" s="101"/>
      <c r="F124" s="32">
        <f t="shared" si="3"/>
        <v>84000</v>
      </c>
      <c r="H124" s="108"/>
    </row>
    <row r="125" spans="1:8" x14ac:dyDescent="0.75">
      <c r="A125" s="96">
        <f t="shared" si="2"/>
        <v>3800</v>
      </c>
      <c r="B125" s="99" t="s">
        <v>765</v>
      </c>
      <c r="C125" s="101"/>
      <c r="D125" s="100">
        <f>0</f>
        <v>0</v>
      </c>
      <c r="F125" s="32">
        <f t="shared" si="3"/>
        <v>0</v>
      </c>
      <c r="H125" s="108"/>
    </row>
    <row r="126" spans="1:8" x14ac:dyDescent="0.75">
      <c r="A126" s="96">
        <f t="shared" si="2"/>
        <v>3900</v>
      </c>
      <c r="B126" s="99" t="s">
        <v>311</v>
      </c>
      <c r="C126" s="104">
        <f>9572277.22+10000+12500+7000+8527+429.85+214.93*3+207.91-9740+2805.55+8047.78+16866.67+19700+30000+35000+5980+3245+2500+16253.59+3392.34+10000-253.97+616.79+2200+350+350+40000+1746+21931-2805.55-8047.78-16866.67-19700</f>
        <v>9775157.5199999977</v>
      </c>
      <c r="D126" s="101"/>
      <c r="F126" s="32">
        <f t="shared" si="3"/>
        <v>9775157.5199999977</v>
      </c>
      <c r="H126" s="108"/>
    </row>
    <row r="127" spans="1:8" x14ac:dyDescent="0.75">
      <c r="A127" s="96">
        <f t="shared" si="2"/>
        <v>4100</v>
      </c>
      <c r="B127" s="99" t="s">
        <v>313</v>
      </c>
      <c r="C127" s="101"/>
      <c r="D127" s="104">
        <f>629248.97-645.1</f>
        <v>628603.87</v>
      </c>
      <c r="F127" s="32">
        <f t="shared" si="3"/>
        <v>-628603.87</v>
      </c>
      <c r="H127" s="108"/>
    </row>
    <row r="128" spans="1:8" x14ac:dyDescent="0.75">
      <c r="A128" s="96">
        <f t="shared" si="2"/>
        <v>4500</v>
      </c>
      <c r="B128" s="99" t="s">
        <v>766</v>
      </c>
      <c r="C128" s="101"/>
      <c r="D128" s="100">
        <f>19425.14+126.98</f>
        <v>19552.12</v>
      </c>
      <c r="F128" s="32">
        <f t="shared" si="3"/>
        <v>-19552.12</v>
      </c>
      <c r="H128" s="108"/>
    </row>
    <row r="129" spans="1:10" x14ac:dyDescent="0.75">
      <c r="A129" s="96">
        <f t="shared" si="2"/>
        <v>4550</v>
      </c>
      <c r="B129" s="99" t="s">
        <v>1013</v>
      </c>
      <c r="C129" s="101"/>
      <c r="D129" s="100">
        <f>679.06-126.98</f>
        <v>552.07999999999993</v>
      </c>
      <c r="F129" s="32">
        <f t="shared" si="3"/>
        <v>-552.07999999999993</v>
      </c>
      <c r="H129" s="108"/>
    </row>
    <row r="130" spans="1:10" x14ac:dyDescent="0.75">
      <c r="A130" s="96">
        <f t="shared" si="2"/>
        <v>5010</v>
      </c>
      <c r="B130" s="99" t="s">
        <v>833</v>
      </c>
      <c r="C130" s="104">
        <f>20700</f>
        <v>20700</v>
      </c>
      <c r="D130" s="101"/>
      <c r="F130" s="32">
        <f t="shared" si="3"/>
        <v>20700</v>
      </c>
      <c r="H130" s="108"/>
    </row>
    <row r="131" spans="1:10" x14ac:dyDescent="0.75">
      <c r="A131" s="96">
        <f t="shared" si="2"/>
        <v>5020</v>
      </c>
      <c r="B131" s="99" t="s">
        <v>796</v>
      </c>
      <c r="C131" s="104">
        <f>0+25000</f>
        <v>25000</v>
      </c>
      <c r="D131" s="101"/>
      <c r="F131" s="32">
        <f t="shared" si="3"/>
        <v>25000</v>
      </c>
      <c r="H131" s="108"/>
    </row>
    <row r="132" spans="1:10" x14ac:dyDescent="0.75">
      <c r="A132" s="96">
        <f t="shared" si="2"/>
        <v>5030</v>
      </c>
      <c r="B132" s="99" t="s">
        <v>860</v>
      </c>
      <c r="C132" s="104">
        <f>49503.44+116923.5</f>
        <v>166426.94</v>
      </c>
      <c r="D132" s="101"/>
      <c r="F132" s="32">
        <f t="shared" si="3"/>
        <v>166426.94</v>
      </c>
      <c r="H132" s="108"/>
    </row>
    <row r="133" spans="1:10" x14ac:dyDescent="0.75">
      <c r="A133" s="96">
        <f t="shared" si="2"/>
        <v>5050</v>
      </c>
      <c r="B133" s="99" t="s">
        <v>797</v>
      </c>
      <c r="C133" s="100">
        <f>4855.5</f>
        <v>4855.5</v>
      </c>
      <c r="D133" s="101"/>
      <c r="F133" s="32">
        <f t="shared" si="3"/>
        <v>4855.5</v>
      </c>
      <c r="H133" s="108"/>
    </row>
    <row r="134" spans="1:10" x14ac:dyDescent="0.75">
      <c r="A134" s="96">
        <f t="shared" si="2"/>
        <v>6010</v>
      </c>
      <c r="B134" s="99" t="s">
        <v>798</v>
      </c>
      <c r="C134" s="104">
        <f>1625.36-406.34*4</f>
        <v>0</v>
      </c>
      <c r="D134" s="101"/>
      <c r="F134" s="32">
        <f t="shared" si="3"/>
        <v>0</v>
      </c>
      <c r="H134" s="108"/>
    </row>
    <row r="135" spans="1:10" s="110" customFormat="1" x14ac:dyDescent="0.75">
      <c r="A135" s="110">
        <v>6020</v>
      </c>
      <c r="B135" s="81" t="s">
        <v>1060</v>
      </c>
      <c r="C135" s="104">
        <v>13211</v>
      </c>
      <c r="D135" s="101"/>
      <c r="F135" s="32">
        <f t="shared" si="3"/>
        <v>13211</v>
      </c>
      <c r="H135" s="108"/>
      <c r="I135" s="32"/>
      <c r="J135" s="32"/>
    </row>
    <row r="136" spans="1:10" x14ac:dyDescent="0.75">
      <c r="A136" s="96">
        <f t="shared" ref="A136:A182" si="4">VALUE(LEFT(B136,4))</f>
        <v>6025</v>
      </c>
      <c r="B136" s="99" t="s">
        <v>767</v>
      </c>
      <c r="C136" s="100">
        <f>998.92</f>
        <v>998.92</v>
      </c>
      <c r="D136" s="101"/>
      <c r="F136" s="32">
        <f t="shared" si="3"/>
        <v>998.92</v>
      </c>
      <c r="H136" s="108"/>
    </row>
    <row r="137" spans="1:10" x14ac:dyDescent="0.75">
      <c r="A137" s="96">
        <f t="shared" si="4"/>
        <v>6030</v>
      </c>
      <c r="B137" s="99" t="s">
        <v>768</v>
      </c>
      <c r="C137" s="100">
        <f>1958.64</f>
        <v>1958.64</v>
      </c>
      <c r="D137" s="101"/>
      <c r="F137" s="32">
        <f t="shared" ref="F137:F183" si="5">C137-D137</f>
        <v>1958.64</v>
      </c>
      <c r="H137" s="108"/>
    </row>
    <row r="138" spans="1:10" x14ac:dyDescent="0.75">
      <c r="A138" s="96">
        <f t="shared" si="4"/>
        <v>6060</v>
      </c>
      <c r="B138" s="99" t="s">
        <v>852</v>
      </c>
      <c r="C138" s="100">
        <f>16050</f>
        <v>16050</v>
      </c>
      <c r="D138" s="101"/>
      <c r="F138" s="32">
        <f t="shared" si="5"/>
        <v>16050</v>
      </c>
      <c r="H138" s="108"/>
    </row>
    <row r="139" spans="1:10" x14ac:dyDescent="0.75">
      <c r="A139" s="96">
        <f t="shared" si="4"/>
        <v>6065</v>
      </c>
      <c r="B139" s="99" t="s">
        <v>861</v>
      </c>
      <c r="C139" s="100">
        <f>2500</f>
        <v>2500</v>
      </c>
      <c r="D139" s="101"/>
      <c r="F139" s="32">
        <f t="shared" si="5"/>
        <v>2500</v>
      </c>
      <c r="H139" s="108"/>
    </row>
    <row r="140" spans="1:10" x14ac:dyDescent="0.75">
      <c r="A140" s="96">
        <f t="shared" si="4"/>
        <v>6075</v>
      </c>
      <c r="B140" s="99" t="s">
        <v>803</v>
      </c>
      <c r="C140" s="100">
        <f>75101.2</f>
        <v>75101.2</v>
      </c>
      <c r="D140" s="101"/>
      <c r="F140" s="32">
        <f t="shared" si="5"/>
        <v>75101.2</v>
      </c>
      <c r="H140" s="108"/>
    </row>
    <row r="141" spans="1:10" x14ac:dyDescent="0.75">
      <c r="A141" s="96">
        <f t="shared" si="4"/>
        <v>6085</v>
      </c>
      <c r="B141" s="99" t="s">
        <v>769</v>
      </c>
      <c r="C141" s="100">
        <f>3094.07</f>
        <v>3094.07</v>
      </c>
      <c r="D141" s="101"/>
      <c r="F141" s="32">
        <f t="shared" si="5"/>
        <v>3094.07</v>
      </c>
      <c r="H141" s="108"/>
    </row>
    <row r="142" spans="1:10" x14ac:dyDescent="0.75">
      <c r="A142" s="96">
        <f t="shared" si="4"/>
        <v>6090</v>
      </c>
      <c r="B142" s="99" t="s">
        <v>1014</v>
      </c>
      <c r="C142" s="100">
        <f>85</f>
        <v>85</v>
      </c>
      <c r="D142" s="101"/>
      <c r="F142" s="32">
        <f t="shared" si="5"/>
        <v>85</v>
      </c>
      <c r="H142" s="108"/>
    </row>
    <row r="143" spans="1:10" x14ac:dyDescent="0.75">
      <c r="A143" s="96">
        <f t="shared" si="4"/>
        <v>6100</v>
      </c>
      <c r="B143" s="99" t="s">
        <v>804</v>
      </c>
      <c r="C143" s="100">
        <f>540.24</f>
        <v>540.24</v>
      </c>
      <c r="D143" s="101"/>
      <c r="F143" s="32">
        <f t="shared" si="5"/>
        <v>540.24</v>
      </c>
      <c r="H143" s="108"/>
    </row>
    <row r="144" spans="1:10" x14ac:dyDescent="0.75">
      <c r="A144" s="96">
        <f t="shared" si="4"/>
        <v>6105</v>
      </c>
      <c r="B144" s="99" t="s">
        <v>838</v>
      </c>
      <c r="C144" s="100">
        <f>4123.02</f>
        <v>4123.0200000000004</v>
      </c>
      <c r="D144" s="101"/>
      <c r="F144" s="32">
        <f t="shared" si="5"/>
        <v>4123.0200000000004</v>
      </c>
      <c r="H144" s="108"/>
    </row>
    <row r="145" spans="1:8" x14ac:dyDescent="0.75">
      <c r="A145" s="96">
        <f t="shared" si="4"/>
        <v>6115</v>
      </c>
      <c r="B145" s="99" t="s">
        <v>839</v>
      </c>
      <c r="C145" s="100">
        <f>0</f>
        <v>0</v>
      </c>
      <c r="D145" s="101"/>
      <c r="F145" s="32">
        <f t="shared" si="5"/>
        <v>0</v>
      </c>
      <c r="H145" s="108"/>
    </row>
    <row r="146" spans="1:8" x14ac:dyDescent="0.75">
      <c r="A146" s="96">
        <f t="shared" si="4"/>
        <v>6120</v>
      </c>
      <c r="B146" s="99" t="s">
        <v>770</v>
      </c>
      <c r="C146" s="104">
        <f>7286.25+1286.51</f>
        <v>8572.76</v>
      </c>
      <c r="D146" s="101"/>
      <c r="F146" s="32">
        <f t="shared" si="5"/>
        <v>8572.76</v>
      </c>
      <c r="H146" s="108"/>
    </row>
    <row r="147" spans="1:8" x14ac:dyDescent="0.75">
      <c r="A147" s="96">
        <f t="shared" si="4"/>
        <v>6135</v>
      </c>
      <c r="B147" s="99" t="s">
        <v>853</v>
      </c>
      <c r="C147" s="100">
        <f>20055.49</f>
        <v>20055.490000000002</v>
      </c>
      <c r="D147" s="101"/>
      <c r="F147" s="32">
        <f t="shared" si="5"/>
        <v>20055.490000000002</v>
      </c>
      <c r="H147" s="108"/>
    </row>
    <row r="148" spans="1:8" x14ac:dyDescent="0.75">
      <c r="A148" s="96">
        <f t="shared" si="4"/>
        <v>6150</v>
      </c>
      <c r="B148" s="99" t="s">
        <v>771</v>
      </c>
      <c r="C148" s="100">
        <f>6163</f>
        <v>6163</v>
      </c>
      <c r="D148" s="101"/>
      <c r="F148" s="32">
        <f t="shared" si="5"/>
        <v>6163</v>
      </c>
      <c r="H148" s="108"/>
    </row>
    <row r="149" spans="1:8" x14ac:dyDescent="0.75">
      <c r="A149" s="96">
        <f t="shared" si="4"/>
        <v>6155</v>
      </c>
      <c r="B149" s="99" t="s">
        <v>772</v>
      </c>
      <c r="C149" s="100">
        <f>14364.86</f>
        <v>14364.86</v>
      </c>
      <c r="D149" s="101"/>
      <c r="F149" s="32">
        <f t="shared" si="5"/>
        <v>14364.86</v>
      </c>
      <c r="H149" s="108"/>
    </row>
    <row r="150" spans="1:8" x14ac:dyDescent="0.75">
      <c r="A150" s="96">
        <f t="shared" si="4"/>
        <v>6210</v>
      </c>
      <c r="B150" s="99" t="s">
        <v>773</v>
      </c>
      <c r="C150" s="100">
        <f>977.67</f>
        <v>977.67</v>
      </c>
      <c r="D150" s="101"/>
      <c r="F150" s="32">
        <f t="shared" si="5"/>
        <v>977.67</v>
      </c>
      <c r="H150" s="108"/>
    </row>
    <row r="151" spans="1:8" x14ac:dyDescent="0.75">
      <c r="A151" s="96">
        <f t="shared" si="4"/>
        <v>6215</v>
      </c>
      <c r="B151" s="99" t="s">
        <v>774</v>
      </c>
      <c r="C151" s="100">
        <f>1303.83</f>
        <v>1303.83</v>
      </c>
      <c r="D151" s="101"/>
      <c r="F151" s="32">
        <f t="shared" si="5"/>
        <v>1303.83</v>
      </c>
      <c r="H151" s="108"/>
    </row>
    <row r="152" spans="1:8" x14ac:dyDescent="0.75">
      <c r="A152" s="96">
        <f t="shared" si="4"/>
        <v>6220</v>
      </c>
      <c r="B152" s="99" t="s">
        <v>775</v>
      </c>
      <c r="C152" s="100">
        <f>8632.43</f>
        <v>8632.43</v>
      </c>
      <c r="D152" s="101"/>
      <c r="F152" s="32">
        <f t="shared" si="5"/>
        <v>8632.43</v>
      </c>
      <c r="H152" s="108"/>
    </row>
    <row r="153" spans="1:8" x14ac:dyDescent="0.75">
      <c r="A153" s="96">
        <f t="shared" si="4"/>
        <v>6245</v>
      </c>
      <c r="B153" s="99" t="s">
        <v>776</v>
      </c>
      <c r="C153" s="100">
        <f>1892.34</f>
        <v>1892.34</v>
      </c>
      <c r="D153" s="101"/>
      <c r="F153" s="32">
        <f t="shared" si="5"/>
        <v>1892.34</v>
      </c>
      <c r="H153" s="108"/>
    </row>
    <row r="154" spans="1:8" x14ac:dyDescent="0.75">
      <c r="A154" s="96">
        <f t="shared" si="4"/>
        <v>6255</v>
      </c>
      <c r="B154" s="99" t="s">
        <v>777</v>
      </c>
      <c r="C154" s="100">
        <f>40.22</f>
        <v>40.22</v>
      </c>
      <c r="D154" s="101"/>
      <c r="F154" s="32">
        <f t="shared" si="5"/>
        <v>40.22</v>
      </c>
      <c r="H154" s="108"/>
    </row>
    <row r="155" spans="1:8" x14ac:dyDescent="0.75">
      <c r="A155" s="96">
        <f t="shared" si="4"/>
        <v>6260</v>
      </c>
      <c r="B155" s="99" t="s">
        <v>789</v>
      </c>
      <c r="C155" s="100">
        <f>640.27</f>
        <v>640.27</v>
      </c>
      <c r="D155" s="101"/>
      <c r="F155" s="32">
        <f t="shared" si="5"/>
        <v>640.27</v>
      </c>
      <c r="H155" s="108"/>
    </row>
    <row r="156" spans="1:8" x14ac:dyDescent="0.75">
      <c r="A156" s="96">
        <f t="shared" si="4"/>
        <v>6270</v>
      </c>
      <c r="B156" s="99" t="s">
        <v>778</v>
      </c>
      <c r="C156" s="100">
        <f>300405.34</f>
        <v>300405.34000000003</v>
      </c>
      <c r="D156" s="101"/>
      <c r="F156" s="32">
        <f t="shared" si="5"/>
        <v>300405.34000000003</v>
      </c>
      <c r="H156" s="108"/>
    </row>
    <row r="157" spans="1:8" x14ac:dyDescent="0.75">
      <c r="A157" s="96">
        <f t="shared" si="4"/>
        <v>6275</v>
      </c>
      <c r="B157" s="99" t="s">
        <v>790</v>
      </c>
      <c r="C157" s="100">
        <f>110633.46</f>
        <v>110633.46</v>
      </c>
      <c r="D157" s="101"/>
      <c r="F157" s="32">
        <f t="shared" si="5"/>
        <v>110633.46</v>
      </c>
      <c r="H157" s="108"/>
    </row>
    <row r="158" spans="1:8" x14ac:dyDescent="0.75">
      <c r="A158" s="96">
        <f t="shared" si="4"/>
        <v>6280</v>
      </c>
      <c r="B158" s="99" t="s">
        <v>779</v>
      </c>
      <c r="C158" s="104">
        <f>36227.67+3870</f>
        <v>40097.67</v>
      </c>
      <c r="D158" s="101"/>
      <c r="F158" s="32">
        <f t="shared" si="5"/>
        <v>40097.67</v>
      </c>
      <c r="H158" s="108"/>
    </row>
    <row r="159" spans="1:8" x14ac:dyDescent="0.75">
      <c r="A159" s="96">
        <f t="shared" si="4"/>
        <v>6295</v>
      </c>
      <c r="B159" s="99" t="s">
        <v>795</v>
      </c>
      <c r="C159" s="100">
        <f>5553.5</f>
        <v>5553.5</v>
      </c>
      <c r="D159" s="101"/>
      <c r="F159" s="32">
        <f t="shared" si="5"/>
        <v>5553.5</v>
      </c>
      <c r="H159" s="108"/>
    </row>
    <row r="160" spans="1:8" x14ac:dyDescent="0.75">
      <c r="A160" s="96">
        <f t="shared" si="4"/>
        <v>6300</v>
      </c>
      <c r="B160" s="99" t="s">
        <v>840</v>
      </c>
      <c r="C160" s="100">
        <f>7728.72</f>
        <v>7728.72</v>
      </c>
      <c r="D160" s="101"/>
      <c r="F160" s="32">
        <f t="shared" si="5"/>
        <v>7728.72</v>
      </c>
      <c r="H160" s="108"/>
    </row>
    <row r="161" spans="1:8" x14ac:dyDescent="0.75">
      <c r="A161" s="96">
        <f t="shared" si="4"/>
        <v>6315</v>
      </c>
      <c r="B161" s="99" t="s">
        <v>791</v>
      </c>
      <c r="C161" s="100">
        <f>65175.48</f>
        <v>65175.48</v>
      </c>
      <c r="D161" s="101"/>
      <c r="F161" s="32">
        <f t="shared" si="5"/>
        <v>65175.48</v>
      </c>
      <c r="H161" s="108"/>
    </row>
    <row r="162" spans="1:8" x14ac:dyDescent="0.75">
      <c r="A162" s="96">
        <f t="shared" si="4"/>
        <v>6330</v>
      </c>
      <c r="B162" s="99" t="s">
        <v>967</v>
      </c>
      <c r="C162" s="100">
        <f>858.92</f>
        <v>858.92</v>
      </c>
      <c r="D162" s="101"/>
      <c r="F162" s="32">
        <f t="shared" si="5"/>
        <v>858.92</v>
      </c>
      <c r="H162" s="108"/>
    </row>
    <row r="163" spans="1:8" x14ac:dyDescent="0.75">
      <c r="A163" s="96">
        <f t="shared" si="4"/>
        <v>6335</v>
      </c>
      <c r="B163" s="99" t="s">
        <v>855</v>
      </c>
      <c r="C163" s="100">
        <f>223.5</f>
        <v>223.5</v>
      </c>
      <c r="D163" s="101"/>
      <c r="F163" s="32">
        <f t="shared" si="5"/>
        <v>223.5</v>
      </c>
      <c r="H163" s="108"/>
    </row>
    <row r="164" spans="1:8" x14ac:dyDescent="0.75">
      <c r="A164" s="96">
        <f t="shared" si="4"/>
        <v>6340</v>
      </c>
      <c r="B164" s="99" t="s">
        <v>969</v>
      </c>
      <c r="C164" s="100">
        <f>5822.07</f>
        <v>5822.07</v>
      </c>
      <c r="D164" s="101"/>
      <c r="F164" s="32">
        <f t="shared" si="5"/>
        <v>5822.07</v>
      </c>
      <c r="H164" s="108"/>
    </row>
    <row r="165" spans="1:8" x14ac:dyDescent="0.75">
      <c r="A165" s="96">
        <f t="shared" si="4"/>
        <v>6345</v>
      </c>
      <c r="B165" s="99" t="s">
        <v>792</v>
      </c>
      <c r="C165" s="100">
        <f>3412.5</f>
        <v>3412.5</v>
      </c>
      <c r="D165" s="101"/>
      <c r="F165" s="32">
        <f t="shared" si="5"/>
        <v>3412.5</v>
      </c>
      <c r="H165" s="108"/>
    </row>
    <row r="166" spans="1:8" x14ac:dyDescent="0.75">
      <c r="A166" s="96">
        <f t="shared" si="4"/>
        <v>6350</v>
      </c>
      <c r="B166" s="99" t="s">
        <v>780</v>
      </c>
      <c r="C166" s="100">
        <f>1590.1</f>
        <v>1590.1</v>
      </c>
      <c r="D166" s="101"/>
      <c r="F166" s="32">
        <f t="shared" si="5"/>
        <v>1590.1</v>
      </c>
      <c r="H166" s="108"/>
    </row>
    <row r="167" spans="1:8" x14ac:dyDescent="0.75">
      <c r="A167" s="96">
        <f t="shared" si="4"/>
        <v>6400</v>
      </c>
      <c r="B167" s="99" t="s">
        <v>781</v>
      </c>
      <c r="C167" s="104">
        <f>289113.13-35000+100000</f>
        <v>354113.13</v>
      </c>
      <c r="D167" s="101"/>
      <c r="F167" s="32">
        <f t="shared" si="5"/>
        <v>354113.13</v>
      </c>
      <c r="H167" s="108"/>
    </row>
    <row r="168" spans="1:8" x14ac:dyDescent="0.75">
      <c r="A168" s="96">
        <f t="shared" si="4"/>
        <v>6420</v>
      </c>
      <c r="B168" s="99" t="s">
        <v>965</v>
      </c>
      <c r="C168" s="101"/>
      <c r="D168" s="100">
        <f>7773</f>
        <v>7773</v>
      </c>
      <c r="F168" s="32">
        <f t="shared" si="5"/>
        <v>-7773</v>
      </c>
      <c r="H168" s="108"/>
    </row>
    <row r="169" spans="1:8" x14ac:dyDescent="0.75">
      <c r="A169" s="96">
        <f t="shared" si="4"/>
        <v>6430</v>
      </c>
      <c r="B169" s="99" t="s">
        <v>782</v>
      </c>
      <c r="C169" s="100">
        <f>215795.8</f>
        <v>215795.8</v>
      </c>
      <c r="D169" s="101"/>
      <c r="F169" s="32">
        <f t="shared" si="5"/>
        <v>215795.8</v>
      </c>
      <c r="H169" s="108"/>
    </row>
    <row r="170" spans="1:8" x14ac:dyDescent="0.75">
      <c r="A170" s="96">
        <f t="shared" si="4"/>
        <v>6435</v>
      </c>
      <c r="B170" s="99" t="s">
        <v>783</v>
      </c>
      <c r="C170" s="100">
        <f>16896.57</f>
        <v>16896.57</v>
      </c>
      <c r="D170" s="101"/>
      <c r="F170" s="32">
        <f t="shared" si="5"/>
        <v>16896.57</v>
      </c>
      <c r="H170" s="108"/>
    </row>
    <row r="171" spans="1:8" x14ac:dyDescent="0.75">
      <c r="A171" s="96">
        <f t="shared" si="4"/>
        <v>6440</v>
      </c>
      <c r="B171" s="99" t="s">
        <v>948</v>
      </c>
      <c r="C171" s="104">
        <f>308266.2+4183+10488.66+2310.44+2310.44+2551.69-12600+37</f>
        <v>317547.43</v>
      </c>
      <c r="D171" s="101"/>
      <c r="F171" s="32">
        <f t="shared" si="5"/>
        <v>317547.43</v>
      </c>
      <c r="H171" s="108"/>
    </row>
    <row r="172" spans="1:8" x14ac:dyDescent="0.75">
      <c r="A172" s="96">
        <f t="shared" si="4"/>
        <v>6445</v>
      </c>
      <c r="B172" s="99" t="s">
        <v>784</v>
      </c>
      <c r="C172" s="100">
        <f>41310.86</f>
        <v>41310.86</v>
      </c>
      <c r="D172" s="101"/>
      <c r="F172" s="32">
        <f t="shared" si="5"/>
        <v>41310.86</v>
      </c>
      <c r="H172" s="108"/>
    </row>
    <row r="173" spans="1:8" x14ac:dyDescent="0.75">
      <c r="A173" s="96">
        <f t="shared" si="4"/>
        <v>6510</v>
      </c>
      <c r="B173" s="99" t="s">
        <v>785</v>
      </c>
      <c r="C173" s="100">
        <f>19194.51</f>
        <v>19194.509999999998</v>
      </c>
      <c r="D173" s="101"/>
      <c r="F173" s="32">
        <f t="shared" si="5"/>
        <v>19194.509999999998</v>
      </c>
      <c r="H173" s="108"/>
    </row>
    <row r="174" spans="1:8" x14ac:dyDescent="0.75">
      <c r="A174" s="96">
        <f t="shared" si="4"/>
        <v>6525</v>
      </c>
      <c r="B174" s="99" t="s">
        <v>794</v>
      </c>
      <c r="C174" s="100">
        <f>5552.29</f>
        <v>5552.29</v>
      </c>
      <c r="D174" s="101"/>
      <c r="F174" s="32">
        <f t="shared" si="5"/>
        <v>5552.29</v>
      </c>
      <c r="H174" s="108"/>
    </row>
    <row r="175" spans="1:8" x14ac:dyDescent="0.75">
      <c r="A175" s="96">
        <f t="shared" si="4"/>
        <v>6545</v>
      </c>
      <c r="B175" s="99" t="s">
        <v>856</v>
      </c>
      <c r="C175" s="100">
        <f>1577.77</f>
        <v>1577.77</v>
      </c>
      <c r="D175" s="101"/>
      <c r="F175" s="32">
        <f t="shared" si="5"/>
        <v>1577.77</v>
      </c>
      <c r="H175" s="108"/>
    </row>
    <row r="176" spans="1:8" x14ac:dyDescent="0.75">
      <c r="A176" s="96">
        <f t="shared" si="4"/>
        <v>6550</v>
      </c>
      <c r="B176" s="99" t="s">
        <v>786</v>
      </c>
      <c r="C176" s="100">
        <f>12483.79</f>
        <v>12483.79</v>
      </c>
      <c r="D176" s="101"/>
      <c r="F176" s="32">
        <f t="shared" si="5"/>
        <v>12483.79</v>
      </c>
      <c r="H176" s="108"/>
    </row>
    <row r="177" spans="1:8" x14ac:dyDescent="0.75">
      <c r="A177" s="96">
        <f t="shared" si="4"/>
        <v>6555</v>
      </c>
      <c r="B177" s="99" t="s">
        <v>857</v>
      </c>
      <c r="C177" s="100">
        <f>1901.09</f>
        <v>1901.09</v>
      </c>
      <c r="D177" s="101"/>
      <c r="F177" s="32">
        <f t="shared" si="5"/>
        <v>1901.09</v>
      </c>
      <c r="H177" s="108"/>
    </row>
    <row r="178" spans="1:8" x14ac:dyDescent="0.75">
      <c r="A178" s="96">
        <f t="shared" si="4"/>
        <v>7510</v>
      </c>
      <c r="B178" s="99" t="s">
        <v>787</v>
      </c>
      <c r="C178" s="100">
        <f>4627.59</f>
        <v>4627.59</v>
      </c>
      <c r="D178" s="101"/>
      <c r="F178" s="32">
        <f t="shared" si="5"/>
        <v>4627.59</v>
      </c>
      <c r="H178" s="108"/>
    </row>
    <row r="179" spans="1:8" x14ac:dyDescent="0.75">
      <c r="A179" s="96">
        <f t="shared" si="4"/>
        <v>7520</v>
      </c>
      <c r="B179" s="99" t="s">
        <v>805</v>
      </c>
      <c r="C179" s="100">
        <f>14029.29</f>
        <v>14029.29</v>
      </c>
      <c r="D179" s="101"/>
      <c r="F179" s="32">
        <f t="shared" si="5"/>
        <v>14029.29</v>
      </c>
      <c r="H179" s="108"/>
    </row>
    <row r="180" spans="1:8" x14ac:dyDescent="0.75">
      <c r="A180" s="96">
        <f t="shared" si="4"/>
        <v>7530</v>
      </c>
      <c r="B180" s="99" t="s">
        <v>788</v>
      </c>
      <c r="C180" s="104">
        <f>29548.43+9345.22*3+9142.06-9425.09-9986.4-10136.94</f>
        <v>37177.719999999994</v>
      </c>
      <c r="D180" s="101"/>
      <c r="F180" s="32">
        <f t="shared" si="5"/>
        <v>37177.719999999994</v>
      </c>
      <c r="H180" s="108"/>
    </row>
    <row r="181" spans="1:8" x14ac:dyDescent="0.75">
      <c r="A181" s="96">
        <f t="shared" si="4"/>
        <v>7540</v>
      </c>
      <c r="B181" s="99" t="s">
        <v>846</v>
      </c>
      <c r="C181" s="104">
        <f>111163.86+214.93*3+210.26-24677.6</f>
        <v>87341.31</v>
      </c>
      <c r="D181" s="101"/>
      <c r="F181" s="32">
        <f t="shared" si="5"/>
        <v>87341.31</v>
      </c>
      <c r="H181" s="108"/>
    </row>
    <row r="182" spans="1:8" x14ac:dyDescent="0.75">
      <c r="A182" s="96">
        <f t="shared" si="4"/>
        <v>7590</v>
      </c>
      <c r="B182" s="99" t="s">
        <v>944</v>
      </c>
      <c r="C182" s="100">
        <f>150907</f>
        <v>150907</v>
      </c>
      <c r="D182" s="101"/>
      <c r="F182" s="32">
        <f t="shared" si="5"/>
        <v>150907</v>
      </c>
      <c r="H182" s="108"/>
    </row>
    <row r="183" spans="1:8" x14ac:dyDescent="0.75">
      <c r="A183" s="96">
        <f>VALUE(LEFT(B183,4))</f>
        <v>7100</v>
      </c>
      <c r="B183" s="99" t="s">
        <v>375</v>
      </c>
      <c r="C183" s="101"/>
      <c r="D183" s="100">
        <f>216.05</f>
        <v>216.05</v>
      </c>
      <c r="F183" s="32">
        <f t="shared" si="5"/>
        <v>-216.05</v>
      </c>
      <c r="H183" s="108"/>
    </row>
    <row r="184" spans="1:8" x14ac:dyDescent="0.75">
      <c r="B184" s="99" t="s">
        <v>2</v>
      </c>
      <c r="C184" s="102">
        <f t="shared" ref="C184:D184" si="6">SUM(C6:C183)</f>
        <v>13689840.759999996</v>
      </c>
      <c r="D184" s="102">
        <f t="shared" si="6"/>
        <v>13689840.76</v>
      </c>
      <c r="F184" s="32">
        <f>SUM(F6:F183)</f>
        <v>-5.570484518102603E-9</v>
      </c>
    </row>
    <row r="185" spans="1:8" x14ac:dyDescent="0.75">
      <c r="B185" s="99"/>
      <c r="C185" s="101"/>
      <c r="D185" s="101"/>
    </row>
    <row r="187" spans="1:8" x14ac:dyDescent="0.75">
      <c r="C187" s="105"/>
    </row>
    <row r="188" spans="1:8" x14ac:dyDescent="0.75">
      <c r="B188" s="202" t="s">
        <v>1015</v>
      </c>
      <c r="C188" s="197"/>
      <c r="D188" s="197"/>
    </row>
  </sheetData>
  <mergeCells count="4">
    <mergeCell ref="B1:D1"/>
    <mergeCell ref="B2:D2"/>
    <mergeCell ref="B3:D3"/>
    <mergeCell ref="B188:D188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55297" r:id="rId4" name="FILT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55297" r:id="rId4" name="FILTER"/>
      </mc:Fallback>
    </mc:AlternateContent>
    <mc:AlternateContent xmlns:mc="http://schemas.openxmlformats.org/markup-compatibility/2006">
      <mc:Choice Requires="x14">
        <control shapeId="55298" r:id="rId6" name="HEAD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55298" r:id="rId6" name="HEADER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AD74-3651-4999-8E78-712BC842E0F0}">
  <sheetPr>
    <tabColor rgb="FF92D050"/>
    <pageSetUpPr fitToPage="1"/>
  </sheetPr>
  <dimension ref="A1:M165"/>
  <sheetViews>
    <sheetView showGridLines="0" workbookViewId="0">
      <selection sqref="A1:K28"/>
    </sheetView>
  </sheetViews>
  <sheetFormatPr defaultColWidth="9.1328125" defaultRowHeight="15.75" x14ac:dyDescent="0.75"/>
  <cols>
    <col min="1" max="1" width="36.54296875" style="125" customWidth="1"/>
    <col min="2" max="2" width="11.54296875" style="125" customWidth="1"/>
    <col min="3" max="3" width="12" style="125" customWidth="1"/>
    <col min="4" max="4" width="2.40625" style="125" customWidth="1"/>
    <col min="5" max="5" width="13.7265625" style="125" customWidth="1"/>
    <col min="6" max="6" width="12.54296875" style="125" customWidth="1"/>
    <col min="7" max="7" width="2.54296875" style="125" customWidth="1"/>
    <col min="8" max="9" width="14.54296875" style="125" customWidth="1"/>
    <col min="10" max="10" width="15.7265625" style="125" customWidth="1"/>
    <col min="11" max="11" width="17" style="125" customWidth="1"/>
    <col min="12" max="13" width="14.54296875" style="125" customWidth="1"/>
    <col min="14" max="16384" width="9.1328125" style="125"/>
  </cols>
  <sheetData>
    <row r="1" spans="1:13" x14ac:dyDescent="0.75">
      <c r="A1" s="192" t="s">
        <v>386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51"/>
    </row>
    <row r="2" spans="1:13" x14ac:dyDescent="0.75">
      <c r="A2" s="192" t="s">
        <v>1104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51"/>
    </row>
    <row r="3" spans="1:13" x14ac:dyDescent="0.75">
      <c r="L3" s="151"/>
    </row>
    <row r="4" spans="1:13" x14ac:dyDescent="0.75">
      <c r="L4" s="151"/>
    </row>
    <row r="5" spans="1:13" x14ac:dyDescent="0.75">
      <c r="B5" s="176"/>
      <c r="C5" s="176"/>
      <c r="D5" s="176"/>
      <c r="E5" s="176"/>
      <c r="F5" s="176"/>
      <c r="G5" s="176"/>
      <c r="H5" s="176"/>
      <c r="I5" s="176" t="s">
        <v>931</v>
      </c>
      <c r="J5" s="176" t="s">
        <v>1082</v>
      </c>
      <c r="K5" s="176"/>
      <c r="L5" s="151"/>
    </row>
    <row r="6" spans="1:13" x14ac:dyDescent="0.75">
      <c r="B6" s="176" t="s">
        <v>419</v>
      </c>
      <c r="C6" s="176" t="s">
        <v>1042</v>
      </c>
      <c r="D6" s="176"/>
      <c r="E6" s="176" t="s">
        <v>419</v>
      </c>
      <c r="F6" s="176" t="s">
        <v>1042</v>
      </c>
      <c r="G6" s="176"/>
      <c r="H6" s="176" t="s">
        <v>567</v>
      </c>
      <c r="I6" s="176" t="s">
        <v>914</v>
      </c>
      <c r="J6" s="176" t="s">
        <v>1083</v>
      </c>
      <c r="K6" s="176" t="s">
        <v>869</v>
      </c>
      <c r="L6" s="151"/>
    </row>
    <row r="7" spans="1:13" x14ac:dyDescent="0.75">
      <c r="L7" s="151"/>
    </row>
    <row r="8" spans="1:13" x14ac:dyDescent="0.75">
      <c r="A8" s="127" t="s">
        <v>1043</v>
      </c>
      <c r="B8" s="137">
        <v>0</v>
      </c>
      <c r="C8" s="157">
        <v>0</v>
      </c>
      <c r="D8" s="134"/>
      <c r="E8" s="138">
        <f>46244200-100000</f>
        <v>46144200</v>
      </c>
      <c r="F8" s="157">
        <v>46244</v>
      </c>
      <c r="G8" s="134"/>
      <c r="H8" s="157">
        <v>7228587</v>
      </c>
      <c r="I8" s="157">
        <v>-30000</v>
      </c>
      <c r="J8" s="157">
        <f>-9143420-21931</f>
        <v>-9165351</v>
      </c>
      <c r="K8" s="157">
        <f>C8+F8+H8+I8+J8</f>
        <v>-1920520</v>
      </c>
      <c r="L8" s="151"/>
      <c r="M8" s="125" t="s">
        <v>1050</v>
      </c>
    </row>
    <row r="9" spans="1:13" x14ac:dyDescent="0.75"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51"/>
    </row>
    <row r="10" spans="1:13" x14ac:dyDescent="0.75">
      <c r="A10" s="125" t="s">
        <v>1052</v>
      </c>
      <c r="B10" s="137">
        <v>0</v>
      </c>
      <c r="C10" s="137">
        <v>0</v>
      </c>
      <c r="D10" s="137"/>
      <c r="E10" s="137">
        <v>46000</v>
      </c>
      <c r="F10" s="137">
        <v>46</v>
      </c>
      <c r="G10" s="137"/>
      <c r="H10" s="137">
        <v>9154</v>
      </c>
      <c r="I10" s="137">
        <v>0</v>
      </c>
      <c r="J10" s="137">
        <v>0</v>
      </c>
      <c r="K10" s="137">
        <f t="shared" ref="K10:K15" si="0">C10+F10+H10+I10+J10</f>
        <v>9200</v>
      </c>
      <c r="L10" s="151"/>
    </row>
    <row r="11" spans="1:13" x14ac:dyDescent="0.75">
      <c r="A11" s="125" t="s">
        <v>1102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51"/>
    </row>
    <row r="12" spans="1:13" x14ac:dyDescent="0.75">
      <c r="A12" s="125" t="s">
        <v>1103</v>
      </c>
      <c r="B12" s="137">
        <v>0</v>
      </c>
      <c r="C12" s="137">
        <v>0</v>
      </c>
      <c r="D12" s="137"/>
      <c r="E12" s="137">
        <v>0</v>
      </c>
      <c r="F12" s="137">
        <v>0</v>
      </c>
      <c r="G12" s="137"/>
      <c r="H12" s="137">
        <v>100000</v>
      </c>
      <c r="I12" s="137">
        <v>0</v>
      </c>
      <c r="J12" s="137">
        <v>0</v>
      </c>
      <c r="K12" s="137">
        <f t="shared" si="0"/>
        <v>100000</v>
      </c>
      <c r="L12" s="151"/>
    </row>
    <row r="13" spans="1:13" x14ac:dyDescent="0.75">
      <c r="A13" s="125" t="s">
        <v>665</v>
      </c>
      <c r="B13" s="137">
        <v>0</v>
      </c>
      <c r="C13" s="137">
        <v>0</v>
      </c>
      <c r="D13" s="137"/>
      <c r="E13" s="137">
        <v>0</v>
      </c>
      <c r="F13" s="137">
        <v>0</v>
      </c>
      <c r="G13" s="137"/>
      <c r="H13" s="137">
        <v>69479</v>
      </c>
      <c r="I13" s="137">
        <v>0</v>
      </c>
      <c r="J13" s="137">
        <v>0</v>
      </c>
      <c r="K13" s="137">
        <f t="shared" si="0"/>
        <v>69479</v>
      </c>
      <c r="L13" s="151"/>
    </row>
    <row r="14" spans="1:13" x14ac:dyDescent="0.75">
      <c r="A14" s="125" t="s">
        <v>1049</v>
      </c>
      <c r="B14" s="137">
        <v>0</v>
      </c>
      <c r="C14" s="137">
        <v>0</v>
      </c>
      <c r="D14" s="137"/>
      <c r="E14" s="137">
        <v>-180000</v>
      </c>
      <c r="F14" s="137">
        <v>0</v>
      </c>
      <c r="G14" s="137"/>
      <c r="H14" s="137">
        <v>0</v>
      </c>
      <c r="I14" s="137">
        <v>-54000</v>
      </c>
      <c r="J14" s="137">
        <v>0</v>
      </c>
      <c r="K14" s="137">
        <f t="shared" si="0"/>
        <v>-54000</v>
      </c>
      <c r="L14" s="151"/>
    </row>
    <row r="15" spans="1:13" x14ac:dyDescent="0.75">
      <c r="A15" s="125" t="s">
        <v>435</v>
      </c>
      <c r="B15" s="137">
        <v>0</v>
      </c>
      <c r="C15" s="137">
        <v>0</v>
      </c>
      <c r="D15" s="137"/>
      <c r="E15" s="137">
        <v>0</v>
      </c>
      <c r="F15" s="137">
        <v>0</v>
      </c>
      <c r="G15" s="137"/>
      <c r="H15" s="137"/>
      <c r="I15" s="137">
        <v>0</v>
      </c>
      <c r="J15" s="137">
        <f>'Stmt of Ops FY-20 &amp; 19'!H33</f>
        <v>-609806</v>
      </c>
      <c r="K15" s="137">
        <f t="shared" si="0"/>
        <v>-609806</v>
      </c>
      <c r="L15" s="151"/>
    </row>
    <row r="16" spans="1:13" x14ac:dyDescent="0.75">
      <c r="B16" s="169"/>
      <c r="C16" s="169"/>
      <c r="D16" s="134"/>
      <c r="E16" s="169"/>
      <c r="F16" s="169"/>
      <c r="G16" s="134"/>
      <c r="H16" s="169"/>
      <c r="I16" s="169"/>
      <c r="J16" s="169"/>
      <c r="K16" s="169"/>
      <c r="L16" s="151"/>
    </row>
    <row r="17" spans="1:12" x14ac:dyDescent="0.75">
      <c r="A17" s="127" t="s">
        <v>1044</v>
      </c>
      <c r="B17" s="137">
        <f>SUM(B8:B16)</f>
        <v>0</v>
      </c>
      <c r="C17" s="137">
        <f>SUM(C8:C16)</f>
        <v>0</v>
      </c>
      <c r="D17" s="137"/>
      <c r="E17" s="137">
        <f>SUM(E8:E16)</f>
        <v>46010200</v>
      </c>
      <c r="F17" s="137">
        <f>SUM(F8:F16)</f>
        <v>46290</v>
      </c>
      <c r="G17" s="137"/>
      <c r="H17" s="137">
        <f>SUM(H8:H16)</f>
        <v>7407220</v>
      </c>
      <c r="I17" s="137">
        <f>SUM(I8:I16)</f>
        <v>-84000</v>
      </c>
      <c r="J17" s="137">
        <f>SUM(J8:J16)</f>
        <v>-9775157</v>
      </c>
      <c r="K17" s="137">
        <f>SUM(K8:K16)</f>
        <v>-2405647</v>
      </c>
      <c r="L17" s="151"/>
    </row>
    <row r="18" spans="1:12" x14ac:dyDescent="0.75"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51"/>
    </row>
    <row r="19" spans="1:12" x14ac:dyDescent="0.75">
      <c r="A19" s="125" t="s">
        <v>1051</v>
      </c>
      <c r="B19" s="137">
        <v>41000</v>
      </c>
      <c r="C19" s="137">
        <v>41</v>
      </c>
      <c r="D19" s="137"/>
      <c r="E19" s="137">
        <v>0</v>
      </c>
      <c r="F19" s="137">
        <v>0</v>
      </c>
      <c r="G19" s="137"/>
      <c r="H19" s="137">
        <v>1024959</v>
      </c>
      <c r="I19" s="137">
        <v>0</v>
      </c>
      <c r="J19" s="137">
        <v>0</v>
      </c>
      <c r="K19" s="137">
        <f t="shared" ref="K19:K26" si="1">C19+F19+H19+I19+J19</f>
        <v>1025000</v>
      </c>
      <c r="L19" s="151"/>
    </row>
    <row r="20" spans="1:12" x14ac:dyDescent="0.75">
      <c r="A20" s="125" t="s">
        <v>1052</v>
      </c>
      <c r="B20" s="137">
        <v>0</v>
      </c>
      <c r="C20" s="137">
        <v>0</v>
      </c>
      <c r="D20" s="137"/>
      <c r="E20" s="137">
        <v>120000</v>
      </c>
      <c r="F20" s="137">
        <v>120</v>
      </c>
      <c r="G20" s="137"/>
      <c r="H20" s="137">
        <f>45900+4200</f>
        <v>50100</v>
      </c>
      <c r="I20" s="137">
        <v>0</v>
      </c>
      <c r="J20" s="137">
        <v>0</v>
      </c>
      <c r="K20" s="137">
        <f t="shared" si="1"/>
        <v>50220</v>
      </c>
      <c r="L20" s="151"/>
    </row>
    <row r="21" spans="1:12" x14ac:dyDescent="0.75">
      <c r="A21" s="125" t="s">
        <v>665</v>
      </c>
      <c r="B21" s="137">
        <v>0</v>
      </c>
      <c r="C21" s="137">
        <v>0</v>
      </c>
      <c r="D21" s="137"/>
      <c r="E21" s="137">
        <v>0</v>
      </c>
      <c r="F21" s="137">
        <v>0</v>
      </c>
      <c r="G21" s="137"/>
      <c r="H21" s="137">
        <v>267328</v>
      </c>
      <c r="I21" s="137">
        <v>0</v>
      </c>
      <c r="J21" s="137">
        <v>0</v>
      </c>
      <c r="K21" s="137">
        <f t="shared" si="1"/>
        <v>267328</v>
      </c>
      <c r="L21" s="151"/>
    </row>
    <row r="22" spans="1:12" x14ac:dyDescent="0.75">
      <c r="A22" s="125" t="s">
        <v>1084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51"/>
    </row>
    <row r="23" spans="1:12" x14ac:dyDescent="0.75">
      <c r="A23" s="125" t="s">
        <v>1085</v>
      </c>
      <c r="B23" s="137">
        <v>0</v>
      </c>
      <c r="C23" s="137">
        <v>0</v>
      </c>
      <c r="D23" s="137"/>
      <c r="E23" s="137">
        <v>0</v>
      </c>
      <c r="F23" s="137">
        <v>0</v>
      </c>
      <c r="G23" s="137"/>
      <c r="H23" s="137">
        <f>-'Stmt of Ops FY-20 &amp; 19'!F30</f>
        <v>26464</v>
      </c>
      <c r="I23" s="137">
        <v>0</v>
      </c>
      <c r="J23" s="137">
        <v>0</v>
      </c>
      <c r="K23" s="137">
        <f t="shared" si="1"/>
        <v>26464</v>
      </c>
      <c r="L23" s="151"/>
    </row>
    <row r="24" spans="1:12" x14ac:dyDescent="0.75">
      <c r="A24" s="125" t="s">
        <v>1086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51"/>
    </row>
    <row r="25" spans="1:12" x14ac:dyDescent="0.75">
      <c r="A25" s="125" t="s">
        <v>1087</v>
      </c>
      <c r="B25" s="137">
        <v>0</v>
      </c>
      <c r="C25" s="137">
        <v>0</v>
      </c>
      <c r="D25" s="137"/>
      <c r="E25" s="137">
        <v>0</v>
      </c>
      <c r="F25" s="137">
        <v>0</v>
      </c>
      <c r="G25" s="137"/>
      <c r="H25" s="137">
        <f>-H23</f>
        <v>-26464</v>
      </c>
      <c r="I25" s="137">
        <v>0</v>
      </c>
      <c r="J25" s="137">
        <v>0</v>
      </c>
      <c r="K25" s="137">
        <f t="shared" ref="K25" si="2">C25+F25+H25+I25+J25</f>
        <v>-26464</v>
      </c>
      <c r="L25" s="151"/>
    </row>
    <row r="26" spans="1:12" x14ac:dyDescent="0.75">
      <c r="A26" s="125" t="s">
        <v>435</v>
      </c>
      <c r="B26" s="137">
        <v>0</v>
      </c>
      <c r="C26" s="137">
        <v>0</v>
      </c>
      <c r="D26" s="137"/>
      <c r="E26" s="137">
        <v>0</v>
      </c>
      <c r="F26" s="137">
        <v>0</v>
      </c>
      <c r="G26" s="137"/>
      <c r="H26" s="137">
        <v>0</v>
      </c>
      <c r="I26" s="137">
        <v>0</v>
      </c>
      <c r="J26" s="138">
        <f>'Stmt of Ops FY-20 &amp; 19'!F28</f>
        <v>-1562547</v>
      </c>
      <c r="K26" s="137">
        <f t="shared" si="1"/>
        <v>-1562547</v>
      </c>
      <c r="L26" s="151"/>
    </row>
    <row r="27" spans="1:12" x14ac:dyDescent="0.75">
      <c r="B27" s="169"/>
      <c r="C27" s="169"/>
      <c r="D27" s="134"/>
      <c r="E27" s="169"/>
      <c r="F27" s="169"/>
      <c r="G27" s="134"/>
      <c r="H27" s="169"/>
      <c r="I27" s="169"/>
      <c r="J27" s="169"/>
      <c r="K27" s="169"/>
      <c r="L27" s="151"/>
    </row>
    <row r="28" spans="1:12" ht="16.5" thickBot="1" x14ac:dyDescent="0.9">
      <c r="A28" s="127" t="s">
        <v>1105</v>
      </c>
      <c r="B28" s="145">
        <f>SUM(B17:B27)</f>
        <v>41000</v>
      </c>
      <c r="C28" s="160">
        <f>SUM(C17:C27)</f>
        <v>41</v>
      </c>
      <c r="D28" s="137"/>
      <c r="E28" s="145">
        <f>SUM(E17:E27)</f>
        <v>46130200</v>
      </c>
      <c r="F28" s="160">
        <f>SUM(F17:F27)</f>
        <v>46410</v>
      </c>
      <c r="G28" s="137"/>
      <c r="H28" s="160">
        <f>SUM(H17:H27)</f>
        <v>8749607</v>
      </c>
      <c r="I28" s="160">
        <f>SUM(I17:I27)</f>
        <v>-84000</v>
      </c>
      <c r="J28" s="160">
        <f>SUM(J17:J27)</f>
        <v>-11337704</v>
      </c>
      <c r="K28" s="160">
        <f>SUM(K17:K27)</f>
        <v>-2625646</v>
      </c>
      <c r="L28" s="151"/>
    </row>
    <row r="29" spans="1:12" ht="16.5" thickTop="1" x14ac:dyDescent="0.75"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51"/>
    </row>
    <row r="30" spans="1:12" x14ac:dyDescent="0.75"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51"/>
    </row>
    <row r="31" spans="1:12" x14ac:dyDescent="0.75">
      <c r="A31" s="193" t="s">
        <v>994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51"/>
    </row>
    <row r="32" spans="1:12" x14ac:dyDescent="0.75"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51"/>
    </row>
    <row r="33" spans="1:12" x14ac:dyDescent="0.75">
      <c r="A33" s="194">
        <v>6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51"/>
    </row>
    <row r="34" spans="1:12" x14ac:dyDescent="0.75">
      <c r="A34" s="151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51"/>
    </row>
    <row r="35" spans="1:12" x14ac:dyDescent="0.75">
      <c r="A35" s="151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51"/>
    </row>
    <row r="36" spans="1:12" x14ac:dyDescent="0.75">
      <c r="B36" s="134"/>
      <c r="C36" s="134"/>
      <c r="D36" s="134"/>
      <c r="E36" s="134"/>
      <c r="F36" s="134"/>
      <c r="G36" s="134"/>
      <c r="H36" s="134"/>
      <c r="I36" s="134"/>
      <c r="J36" s="134"/>
      <c r="K36" s="134"/>
    </row>
    <row r="37" spans="1:12" x14ac:dyDescent="0.75">
      <c r="A37" s="127" t="s">
        <v>1045</v>
      </c>
      <c r="B37" s="134"/>
      <c r="C37" s="134">
        <f>C8</f>
        <v>0</v>
      </c>
      <c r="D37" s="134"/>
      <c r="E37" s="134"/>
      <c r="F37" s="134">
        <f>F8</f>
        <v>46244</v>
      </c>
      <c r="G37" s="134"/>
      <c r="H37" s="134">
        <f>H8</f>
        <v>7228587</v>
      </c>
      <c r="I37" s="134">
        <f>I8</f>
        <v>-30000</v>
      </c>
      <c r="J37" s="134">
        <f>J8</f>
        <v>-9165351</v>
      </c>
      <c r="K37" s="134">
        <f>K8</f>
        <v>-1920520</v>
      </c>
    </row>
    <row r="38" spans="1:12" x14ac:dyDescent="0.75">
      <c r="A38" s="125" t="s">
        <v>1046</v>
      </c>
      <c r="B38" s="134"/>
      <c r="C38" s="134">
        <f>'Balance Sheets'!H59</f>
        <v>0</v>
      </c>
      <c r="D38" s="134"/>
      <c r="E38" s="134"/>
      <c r="F38" s="134">
        <f>'Balance Sheets'!H61</f>
        <v>46244</v>
      </c>
      <c r="G38" s="134"/>
      <c r="H38" s="134">
        <f>'Balance Sheets'!H62</f>
        <v>7228587</v>
      </c>
      <c r="I38" s="134">
        <f>'Balance Sheets'!H63</f>
        <v>-30000</v>
      </c>
      <c r="J38" s="134">
        <f>'Balance Sheets'!H64</f>
        <v>-9165351</v>
      </c>
      <c r="K38" s="134">
        <f>'Balance Sheets'!H66</f>
        <v>-1920520</v>
      </c>
    </row>
    <row r="39" spans="1:12" x14ac:dyDescent="0.75">
      <c r="A39" s="125" t="s">
        <v>1036</v>
      </c>
      <c r="B39" s="134"/>
      <c r="C39" s="134">
        <f>C37-C38</f>
        <v>0</v>
      </c>
      <c r="D39" s="134"/>
      <c r="E39" s="134"/>
      <c r="F39" s="134">
        <f t="shared" ref="F39" si="3">F37-F38</f>
        <v>0</v>
      </c>
      <c r="G39" s="134"/>
      <c r="H39" s="134">
        <f t="shared" ref="H39:K39" si="4">H37-H38</f>
        <v>0</v>
      </c>
      <c r="I39" s="134">
        <f t="shared" si="4"/>
        <v>0</v>
      </c>
      <c r="J39" s="134">
        <f t="shared" si="4"/>
        <v>0</v>
      </c>
      <c r="K39" s="134">
        <f t="shared" si="4"/>
        <v>0</v>
      </c>
    </row>
    <row r="40" spans="1:12" x14ac:dyDescent="0.75">
      <c r="B40" s="134"/>
      <c r="C40" s="134"/>
      <c r="D40" s="134"/>
      <c r="E40" s="134"/>
      <c r="F40" s="134"/>
      <c r="G40" s="134"/>
      <c r="H40" s="134"/>
      <c r="I40" s="134"/>
      <c r="J40" s="134"/>
      <c r="K40" s="134"/>
    </row>
    <row r="41" spans="1:12" x14ac:dyDescent="0.75">
      <c r="A41" s="127" t="s">
        <v>1047</v>
      </c>
      <c r="B41" s="134"/>
      <c r="C41" s="134">
        <f>C17</f>
        <v>0</v>
      </c>
      <c r="D41" s="134"/>
      <c r="E41" s="134"/>
      <c r="F41" s="134">
        <f>F17</f>
        <v>46290</v>
      </c>
      <c r="G41" s="134"/>
      <c r="H41" s="134">
        <f>H17</f>
        <v>7407220</v>
      </c>
      <c r="I41" s="134">
        <f>I17</f>
        <v>-84000</v>
      </c>
      <c r="J41" s="134">
        <f>J17</f>
        <v>-9775157</v>
      </c>
      <c r="K41" s="134">
        <f>K17</f>
        <v>-2405647</v>
      </c>
    </row>
    <row r="42" spans="1:12" x14ac:dyDescent="0.75">
      <c r="A42" s="125" t="s">
        <v>1046</v>
      </c>
      <c r="B42" s="134"/>
      <c r="C42" s="134">
        <f>'Balance Sheets'!F59</f>
        <v>0</v>
      </c>
      <c r="D42" s="134"/>
      <c r="E42" s="134"/>
      <c r="F42" s="134">
        <f>'Balance Sheets'!F61</f>
        <v>46290</v>
      </c>
      <c r="G42" s="134"/>
      <c r="H42" s="134">
        <f>'Balance Sheets'!F62</f>
        <v>7407220</v>
      </c>
      <c r="I42" s="134">
        <f>'Balance Sheets'!F63</f>
        <v>-84000</v>
      </c>
      <c r="J42" s="134">
        <f>'Balance Sheets'!F64</f>
        <v>-9775157</v>
      </c>
      <c r="K42" s="134">
        <f>'Balance Sheets'!F66</f>
        <v>-2405647</v>
      </c>
    </row>
    <row r="43" spans="1:12" x14ac:dyDescent="0.75">
      <c r="A43" s="125" t="s">
        <v>1036</v>
      </c>
      <c r="B43" s="134"/>
      <c r="C43" s="134">
        <f>C41-C42</f>
        <v>0</v>
      </c>
      <c r="D43" s="134"/>
      <c r="E43" s="134"/>
      <c r="F43" s="134">
        <f t="shared" ref="F43" si="5">F41-F42</f>
        <v>0</v>
      </c>
      <c r="G43" s="134"/>
      <c r="H43" s="134">
        <f t="shared" ref="H43" si="6">H41-H42</f>
        <v>0</v>
      </c>
      <c r="I43" s="134">
        <f t="shared" ref="I43" si="7">I41-I42</f>
        <v>0</v>
      </c>
      <c r="J43" s="134">
        <f t="shared" ref="J43" si="8">J41-J42</f>
        <v>0</v>
      </c>
      <c r="K43" s="134">
        <f t="shared" ref="K43" si="9">K41-K42</f>
        <v>0</v>
      </c>
    </row>
    <row r="44" spans="1:12" x14ac:dyDescent="0.75">
      <c r="B44" s="134"/>
      <c r="C44" s="134"/>
      <c r="D44" s="134"/>
      <c r="E44" s="134"/>
      <c r="F44" s="134"/>
      <c r="G44" s="134"/>
      <c r="H44" s="134"/>
      <c r="I44" s="134"/>
      <c r="J44" s="134"/>
      <c r="K44" s="134"/>
    </row>
    <row r="45" spans="1:12" x14ac:dyDescent="0.75">
      <c r="A45" s="127" t="s">
        <v>1048</v>
      </c>
      <c r="B45" s="134"/>
      <c r="C45" s="134">
        <f>C28</f>
        <v>41</v>
      </c>
      <c r="D45" s="134"/>
      <c r="E45" s="134"/>
      <c r="F45" s="134">
        <f>F28</f>
        <v>46410</v>
      </c>
      <c r="G45" s="134"/>
      <c r="H45" s="134">
        <f t="shared" ref="H45:K45" si="10">H28</f>
        <v>8749607</v>
      </c>
      <c r="I45" s="134">
        <f t="shared" si="10"/>
        <v>-84000</v>
      </c>
      <c r="J45" s="134">
        <f t="shared" si="10"/>
        <v>-11337704</v>
      </c>
      <c r="K45" s="134">
        <f t="shared" si="10"/>
        <v>-2625646</v>
      </c>
    </row>
    <row r="46" spans="1:12" x14ac:dyDescent="0.75">
      <c r="A46" s="125" t="s">
        <v>1046</v>
      </c>
      <c r="B46" s="134"/>
      <c r="C46" s="134">
        <f>'Balance Sheets'!D59</f>
        <v>41</v>
      </c>
      <c r="D46" s="134"/>
      <c r="E46" s="134"/>
      <c r="F46" s="134">
        <f>'Balance Sheets'!D61</f>
        <v>46410</v>
      </c>
      <c r="G46" s="134"/>
      <c r="H46" s="134">
        <f>'Balance Sheets'!D62</f>
        <v>8749607</v>
      </c>
      <c r="I46" s="134">
        <f>'Balance Sheets'!F63</f>
        <v>-84000</v>
      </c>
      <c r="J46" s="134">
        <f>'Balance Sheets'!D64</f>
        <v>-11337704</v>
      </c>
      <c r="K46" s="134">
        <f>'Balance Sheets'!D66</f>
        <v>-2625646</v>
      </c>
    </row>
    <row r="47" spans="1:12" x14ac:dyDescent="0.75">
      <c r="A47" s="125" t="s">
        <v>1036</v>
      </c>
      <c r="B47" s="134"/>
      <c r="C47" s="134">
        <f>C45-C46</f>
        <v>0</v>
      </c>
      <c r="D47" s="134"/>
      <c r="E47" s="134"/>
      <c r="F47" s="134">
        <f t="shared" ref="F47" si="11">F45-F46</f>
        <v>0</v>
      </c>
      <c r="G47" s="134"/>
      <c r="H47" s="134">
        <f t="shared" ref="H47" si="12">H45-H46</f>
        <v>0</v>
      </c>
      <c r="I47" s="134">
        <f t="shared" ref="I47" si="13">I45-I46</f>
        <v>0</v>
      </c>
      <c r="J47" s="134">
        <f t="shared" ref="J47" si="14">J45-J46</f>
        <v>0</v>
      </c>
      <c r="K47" s="134">
        <f t="shared" ref="K47" si="15">K45-K46</f>
        <v>0</v>
      </c>
    </row>
    <row r="48" spans="1:12" x14ac:dyDescent="0.75">
      <c r="B48" s="134"/>
      <c r="C48" s="134"/>
      <c r="D48" s="134"/>
      <c r="E48" s="134"/>
      <c r="F48" s="134"/>
      <c r="G48" s="134"/>
      <c r="H48" s="134"/>
      <c r="I48" s="134"/>
      <c r="J48" s="134"/>
      <c r="K48" s="134"/>
    </row>
    <row r="49" spans="2:11" x14ac:dyDescent="0.75">
      <c r="B49" s="134"/>
      <c r="C49" s="134"/>
      <c r="D49" s="134"/>
      <c r="E49" s="134"/>
      <c r="F49" s="134"/>
      <c r="G49" s="134"/>
      <c r="H49" s="134"/>
      <c r="I49" s="134"/>
      <c r="J49" s="134"/>
      <c r="K49" s="134"/>
    </row>
    <row r="50" spans="2:11" x14ac:dyDescent="0.75">
      <c r="B50" s="134"/>
      <c r="C50" s="134"/>
      <c r="D50" s="134"/>
      <c r="E50" s="134"/>
      <c r="F50" s="134"/>
      <c r="G50" s="134"/>
      <c r="H50" s="134"/>
      <c r="I50" s="134"/>
      <c r="J50" s="134"/>
      <c r="K50" s="134"/>
    </row>
    <row r="51" spans="2:11" x14ac:dyDescent="0.75">
      <c r="B51" s="134"/>
      <c r="C51" s="134"/>
      <c r="D51" s="134"/>
      <c r="E51" s="134"/>
      <c r="F51" s="134"/>
      <c r="G51" s="134"/>
      <c r="H51" s="134"/>
      <c r="I51" s="134"/>
      <c r="J51" s="134"/>
      <c r="K51" s="134"/>
    </row>
    <row r="52" spans="2:11" x14ac:dyDescent="0.75">
      <c r="B52" s="134"/>
      <c r="C52" s="134"/>
      <c r="D52" s="134"/>
      <c r="E52" s="134"/>
      <c r="F52" s="134"/>
      <c r="G52" s="134"/>
      <c r="H52" s="134"/>
      <c r="I52" s="134"/>
      <c r="J52" s="134"/>
      <c r="K52" s="134"/>
    </row>
    <row r="53" spans="2:11" x14ac:dyDescent="0.75">
      <c r="B53" s="134"/>
      <c r="C53" s="134"/>
      <c r="D53" s="134"/>
      <c r="E53" s="134"/>
      <c r="F53" s="134"/>
      <c r="G53" s="134"/>
      <c r="H53" s="134"/>
      <c r="I53" s="134"/>
      <c r="J53" s="134"/>
      <c r="K53" s="134"/>
    </row>
    <row r="54" spans="2:11" x14ac:dyDescent="0.75">
      <c r="B54" s="134"/>
      <c r="C54" s="134"/>
      <c r="D54" s="134"/>
      <c r="E54" s="134"/>
      <c r="F54" s="134"/>
      <c r="G54" s="134"/>
      <c r="H54" s="134"/>
      <c r="I54" s="134"/>
      <c r="J54" s="134"/>
      <c r="K54" s="134"/>
    </row>
    <row r="55" spans="2:11" x14ac:dyDescent="0.75">
      <c r="B55" s="134"/>
      <c r="C55" s="134"/>
      <c r="D55" s="134"/>
      <c r="E55" s="134"/>
      <c r="F55" s="134"/>
      <c r="G55" s="134"/>
      <c r="H55" s="134"/>
      <c r="I55" s="134"/>
      <c r="J55" s="134"/>
      <c r="K55" s="134"/>
    </row>
    <row r="56" spans="2:11" x14ac:dyDescent="0.75">
      <c r="B56" s="134"/>
      <c r="C56" s="134"/>
      <c r="D56" s="134"/>
      <c r="E56" s="134"/>
      <c r="F56" s="134"/>
      <c r="G56" s="134"/>
      <c r="H56" s="134"/>
      <c r="I56" s="134"/>
      <c r="J56" s="134"/>
      <c r="K56" s="134"/>
    </row>
    <row r="57" spans="2:11" x14ac:dyDescent="0.75">
      <c r="B57" s="134"/>
      <c r="C57" s="134"/>
      <c r="D57" s="134"/>
      <c r="E57" s="134"/>
      <c r="F57" s="134"/>
      <c r="G57" s="134"/>
      <c r="H57" s="134"/>
      <c r="I57" s="134"/>
      <c r="J57" s="134"/>
      <c r="K57" s="134"/>
    </row>
    <row r="58" spans="2:11" x14ac:dyDescent="0.75">
      <c r="B58" s="134"/>
      <c r="C58" s="134"/>
      <c r="D58" s="134"/>
      <c r="E58" s="134"/>
      <c r="F58" s="134"/>
      <c r="G58" s="134"/>
      <c r="H58" s="134"/>
      <c r="I58" s="134"/>
      <c r="J58" s="134"/>
      <c r="K58" s="134"/>
    </row>
    <row r="59" spans="2:11" x14ac:dyDescent="0.75">
      <c r="B59" s="134"/>
      <c r="C59" s="134"/>
      <c r="D59" s="134"/>
      <c r="E59" s="134"/>
      <c r="F59" s="134"/>
      <c r="G59" s="134"/>
      <c r="H59" s="134"/>
      <c r="I59" s="134"/>
      <c r="J59" s="134"/>
      <c r="K59" s="134"/>
    </row>
    <row r="60" spans="2:11" x14ac:dyDescent="0.75">
      <c r="B60" s="134"/>
      <c r="C60" s="134"/>
      <c r="D60" s="134"/>
      <c r="E60" s="134"/>
      <c r="F60" s="134"/>
      <c r="G60" s="134"/>
      <c r="H60" s="134"/>
      <c r="I60" s="134"/>
      <c r="J60" s="134"/>
      <c r="K60" s="134"/>
    </row>
    <row r="61" spans="2:11" x14ac:dyDescent="0.75">
      <c r="B61" s="134"/>
      <c r="C61" s="134"/>
      <c r="D61" s="134"/>
      <c r="E61" s="134"/>
      <c r="F61" s="134"/>
      <c r="G61" s="134"/>
      <c r="H61" s="134"/>
      <c r="I61" s="134"/>
      <c r="J61" s="134"/>
      <c r="K61" s="134"/>
    </row>
    <row r="62" spans="2:11" x14ac:dyDescent="0.75">
      <c r="B62" s="134"/>
      <c r="C62" s="134"/>
      <c r="D62" s="134"/>
      <c r="E62" s="134"/>
      <c r="F62" s="134"/>
      <c r="G62" s="134"/>
      <c r="H62" s="134"/>
      <c r="I62" s="134"/>
      <c r="J62" s="134"/>
      <c r="K62" s="134"/>
    </row>
    <row r="63" spans="2:11" x14ac:dyDescent="0.75">
      <c r="B63" s="134"/>
      <c r="C63" s="134"/>
      <c r="D63" s="134"/>
      <c r="E63" s="134"/>
      <c r="F63" s="134"/>
      <c r="G63" s="134"/>
      <c r="H63" s="134"/>
      <c r="I63" s="134"/>
      <c r="J63" s="134"/>
      <c r="K63" s="134"/>
    </row>
    <row r="64" spans="2:11" x14ac:dyDescent="0.75">
      <c r="B64" s="134"/>
      <c r="C64" s="134"/>
      <c r="D64" s="134"/>
      <c r="E64" s="134"/>
      <c r="F64" s="134"/>
      <c r="G64" s="134"/>
      <c r="H64" s="134"/>
      <c r="I64" s="134"/>
      <c r="J64" s="134"/>
      <c r="K64" s="134"/>
    </row>
    <row r="65" spans="2:11" x14ac:dyDescent="0.75">
      <c r="B65" s="134"/>
      <c r="C65" s="134"/>
      <c r="D65" s="134"/>
      <c r="E65" s="134"/>
      <c r="F65" s="134"/>
      <c r="G65" s="134"/>
      <c r="H65" s="134"/>
      <c r="I65" s="134"/>
      <c r="J65" s="134"/>
      <c r="K65" s="134"/>
    </row>
    <row r="66" spans="2:11" x14ac:dyDescent="0.75">
      <c r="B66" s="134"/>
      <c r="C66" s="134"/>
      <c r="D66" s="134"/>
      <c r="E66" s="134"/>
      <c r="F66" s="134"/>
      <c r="G66" s="134"/>
      <c r="H66" s="134"/>
      <c r="I66" s="134"/>
      <c r="J66" s="134"/>
      <c r="K66" s="134"/>
    </row>
    <row r="67" spans="2:11" x14ac:dyDescent="0.75">
      <c r="B67" s="134"/>
      <c r="C67" s="134"/>
      <c r="D67" s="134"/>
      <c r="E67" s="134"/>
      <c r="F67" s="134"/>
      <c r="G67" s="134"/>
      <c r="H67" s="134"/>
      <c r="I67" s="134"/>
      <c r="J67" s="134"/>
      <c r="K67" s="134"/>
    </row>
    <row r="68" spans="2:11" x14ac:dyDescent="0.75">
      <c r="B68" s="134"/>
      <c r="C68" s="134"/>
      <c r="D68" s="134"/>
      <c r="E68" s="134"/>
      <c r="F68" s="134"/>
      <c r="G68" s="134"/>
      <c r="H68" s="134"/>
      <c r="I68" s="134"/>
      <c r="J68" s="134"/>
      <c r="K68" s="134"/>
    </row>
    <row r="69" spans="2:11" x14ac:dyDescent="0.75">
      <c r="B69" s="134"/>
      <c r="C69" s="134"/>
      <c r="D69" s="134"/>
      <c r="E69" s="134"/>
      <c r="F69" s="134"/>
      <c r="G69" s="134"/>
      <c r="H69" s="134"/>
      <c r="I69" s="134"/>
      <c r="J69" s="134"/>
      <c r="K69" s="134"/>
    </row>
    <row r="70" spans="2:11" x14ac:dyDescent="0.75">
      <c r="B70" s="134"/>
      <c r="C70" s="134"/>
      <c r="D70" s="134"/>
      <c r="E70" s="134"/>
      <c r="F70" s="134"/>
      <c r="G70" s="134"/>
      <c r="H70" s="134"/>
      <c r="I70" s="134"/>
      <c r="J70" s="134"/>
      <c r="K70" s="134"/>
    </row>
    <row r="71" spans="2:11" x14ac:dyDescent="0.75">
      <c r="B71" s="134"/>
      <c r="C71" s="134"/>
      <c r="D71" s="134"/>
      <c r="E71" s="134"/>
      <c r="F71" s="134"/>
      <c r="G71" s="134"/>
      <c r="H71" s="134"/>
      <c r="I71" s="134"/>
      <c r="J71" s="134"/>
      <c r="K71" s="134"/>
    </row>
    <row r="72" spans="2:11" x14ac:dyDescent="0.75">
      <c r="B72" s="134"/>
      <c r="C72" s="134"/>
      <c r="D72" s="134"/>
      <c r="E72" s="134"/>
      <c r="F72" s="134"/>
      <c r="G72" s="134"/>
      <c r="H72" s="134"/>
      <c r="I72" s="134"/>
      <c r="J72" s="134"/>
      <c r="K72" s="134"/>
    </row>
    <row r="73" spans="2:11" x14ac:dyDescent="0.75">
      <c r="B73" s="134"/>
      <c r="C73" s="134"/>
      <c r="D73" s="134"/>
      <c r="E73" s="134"/>
      <c r="F73" s="134"/>
      <c r="G73" s="134"/>
      <c r="H73" s="134"/>
      <c r="I73" s="134"/>
      <c r="J73" s="134"/>
      <c r="K73" s="134"/>
    </row>
    <row r="74" spans="2:11" x14ac:dyDescent="0.75">
      <c r="B74" s="134"/>
      <c r="C74" s="134"/>
      <c r="D74" s="134"/>
      <c r="E74" s="134"/>
      <c r="F74" s="134"/>
      <c r="G74" s="134"/>
      <c r="H74" s="134"/>
      <c r="I74" s="134"/>
      <c r="J74" s="134"/>
      <c r="K74" s="134"/>
    </row>
    <row r="75" spans="2:11" x14ac:dyDescent="0.75">
      <c r="B75" s="134"/>
      <c r="C75" s="134"/>
      <c r="D75" s="134"/>
      <c r="E75" s="134"/>
      <c r="F75" s="134"/>
      <c r="G75" s="134"/>
      <c r="H75" s="134"/>
      <c r="I75" s="134"/>
      <c r="J75" s="134"/>
      <c r="K75" s="134"/>
    </row>
    <row r="76" spans="2:11" x14ac:dyDescent="0.75">
      <c r="B76" s="134"/>
      <c r="C76" s="134"/>
      <c r="D76" s="134"/>
      <c r="E76" s="134"/>
      <c r="F76" s="134"/>
      <c r="G76" s="134"/>
      <c r="H76" s="134"/>
      <c r="I76" s="134"/>
      <c r="J76" s="134"/>
      <c r="K76" s="134"/>
    </row>
    <row r="77" spans="2:11" x14ac:dyDescent="0.75">
      <c r="B77" s="134"/>
      <c r="C77" s="134"/>
      <c r="D77" s="134"/>
      <c r="E77" s="134"/>
      <c r="F77" s="134"/>
      <c r="G77" s="134"/>
      <c r="H77" s="134"/>
      <c r="I77" s="134"/>
      <c r="J77" s="134"/>
      <c r="K77" s="134"/>
    </row>
    <row r="78" spans="2:11" x14ac:dyDescent="0.75">
      <c r="B78" s="134"/>
      <c r="C78" s="134"/>
      <c r="D78" s="134"/>
      <c r="E78" s="134"/>
      <c r="F78" s="134"/>
      <c r="G78" s="134"/>
      <c r="H78" s="134"/>
      <c r="I78" s="134"/>
      <c r="J78" s="134"/>
      <c r="K78" s="134"/>
    </row>
    <row r="79" spans="2:11" x14ac:dyDescent="0.75">
      <c r="B79" s="134"/>
      <c r="C79" s="134"/>
      <c r="D79" s="134"/>
      <c r="E79" s="134"/>
      <c r="F79" s="134"/>
      <c r="G79" s="134"/>
      <c r="H79" s="134"/>
      <c r="I79" s="134"/>
      <c r="J79" s="134"/>
      <c r="K79" s="134"/>
    </row>
    <row r="80" spans="2:11" x14ac:dyDescent="0.75">
      <c r="B80" s="134"/>
      <c r="C80" s="134"/>
      <c r="D80" s="134"/>
      <c r="E80" s="134"/>
      <c r="F80" s="134"/>
      <c r="G80" s="134"/>
      <c r="H80" s="134"/>
      <c r="I80" s="134"/>
      <c r="J80" s="134"/>
      <c r="K80" s="134"/>
    </row>
    <row r="81" spans="2:11" x14ac:dyDescent="0.75">
      <c r="B81" s="134"/>
      <c r="C81" s="134"/>
      <c r="D81" s="134"/>
      <c r="E81" s="134"/>
      <c r="F81" s="134"/>
      <c r="G81" s="134"/>
      <c r="H81" s="134"/>
      <c r="I81" s="134"/>
      <c r="J81" s="134"/>
      <c r="K81" s="134"/>
    </row>
    <row r="82" spans="2:11" x14ac:dyDescent="0.75">
      <c r="B82" s="134"/>
      <c r="C82" s="134"/>
      <c r="D82" s="134"/>
      <c r="E82" s="134"/>
      <c r="F82" s="134"/>
      <c r="G82" s="134"/>
      <c r="H82" s="134"/>
      <c r="I82" s="134"/>
      <c r="J82" s="134"/>
      <c r="K82" s="134"/>
    </row>
    <row r="83" spans="2:11" x14ac:dyDescent="0.75">
      <c r="B83" s="134"/>
      <c r="C83" s="134"/>
      <c r="D83" s="134"/>
      <c r="E83" s="134"/>
      <c r="F83" s="134"/>
      <c r="G83" s="134"/>
      <c r="H83" s="134"/>
      <c r="I83" s="134"/>
      <c r="J83" s="134"/>
      <c r="K83" s="134"/>
    </row>
    <row r="84" spans="2:11" x14ac:dyDescent="0.75">
      <c r="B84" s="134"/>
      <c r="C84" s="134"/>
      <c r="D84" s="134"/>
      <c r="E84" s="134"/>
      <c r="F84" s="134"/>
      <c r="G84" s="134"/>
      <c r="H84" s="134"/>
      <c r="I84" s="134"/>
      <c r="J84" s="134"/>
      <c r="K84" s="134"/>
    </row>
    <row r="85" spans="2:11" x14ac:dyDescent="0.75">
      <c r="B85" s="134"/>
      <c r="C85" s="134"/>
      <c r="D85" s="134"/>
      <c r="E85" s="134"/>
      <c r="F85" s="134"/>
      <c r="G85" s="134"/>
      <c r="H85" s="134"/>
      <c r="I85" s="134"/>
      <c r="J85" s="134"/>
      <c r="K85" s="134"/>
    </row>
    <row r="86" spans="2:11" x14ac:dyDescent="0.75">
      <c r="B86" s="134"/>
      <c r="C86" s="134"/>
      <c r="D86" s="134"/>
      <c r="E86" s="134"/>
      <c r="F86" s="134"/>
      <c r="G86" s="134"/>
      <c r="H86" s="134"/>
      <c r="I86" s="134"/>
      <c r="J86" s="134"/>
      <c r="K86" s="134"/>
    </row>
    <row r="87" spans="2:11" x14ac:dyDescent="0.75">
      <c r="B87" s="134"/>
      <c r="C87" s="134"/>
      <c r="D87" s="134"/>
      <c r="E87" s="134"/>
      <c r="F87" s="134"/>
      <c r="G87" s="134"/>
      <c r="H87" s="134"/>
      <c r="I87" s="134"/>
      <c r="J87" s="134"/>
      <c r="K87" s="134"/>
    </row>
    <row r="88" spans="2:11" x14ac:dyDescent="0.75">
      <c r="B88" s="134"/>
      <c r="C88" s="134"/>
      <c r="D88" s="134"/>
      <c r="E88" s="134"/>
      <c r="F88" s="134"/>
      <c r="G88" s="134"/>
      <c r="H88" s="134"/>
      <c r="I88" s="134"/>
      <c r="J88" s="134"/>
      <c r="K88" s="134"/>
    </row>
    <row r="89" spans="2:11" x14ac:dyDescent="0.75">
      <c r="B89" s="134"/>
      <c r="C89" s="134"/>
      <c r="D89" s="134"/>
      <c r="E89" s="134"/>
      <c r="F89" s="134"/>
      <c r="G89" s="134"/>
      <c r="H89" s="134"/>
      <c r="I89" s="134"/>
      <c r="J89" s="134"/>
      <c r="K89" s="134"/>
    </row>
    <row r="90" spans="2:11" x14ac:dyDescent="0.75">
      <c r="B90" s="134"/>
      <c r="C90" s="134"/>
      <c r="D90" s="134"/>
      <c r="E90" s="134"/>
      <c r="F90" s="134"/>
      <c r="G90" s="134"/>
      <c r="H90" s="134"/>
      <c r="I90" s="134"/>
      <c r="J90" s="134"/>
      <c r="K90" s="134"/>
    </row>
    <row r="91" spans="2:11" x14ac:dyDescent="0.75">
      <c r="B91" s="134"/>
      <c r="C91" s="134"/>
      <c r="D91" s="134"/>
      <c r="E91" s="134"/>
      <c r="F91" s="134"/>
      <c r="G91" s="134"/>
      <c r="H91" s="134"/>
      <c r="I91" s="134"/>
      <c r="J91" s="134"/>
      <c r="K91" s="134"/>
    </row>
    <row r="92" spans="2:11" x14ac:dyDescent="0.75">
      <c r="B92" s="134"/>
      <c r="C92" s="134"/>
      <c r="D92" s="134"/>
      <c r="E92" s="134"/>
      <c r="F92" s="134"/>
      <c r="G92" s="134"/>
      <c r="H92" s="134"/>
      <c r="I92" s="134"/>
      <c r="J92" s="134"/>
      <c r="K92" s="134"/>
    </row>
    <row r="93" spans="2:11" x14ac:dyDescent="0.75">
      <c r="B93" s="134"/>
      <c r="C93" s="134"/>
      <c r="D93" s="134"/>
      <c r="E93" s="134"/>
      <c r="F93" s="134"/>
      <c r="G93" s="134"/>
      <c r="H93" s="134"/>
      <c r="I93" s="134"/>
      <c r="J93" s="134"/>
      <c r="K93" s="134"/>
    </row>
    <row r="94" spans="2:11" x14ac:dyDescent="0.75">
      <c r="B94" s="134"/>
      <c r="C94" s="134"/>
      <c r="D94" s="134"/>
      <c r="E94" s="134"/>
      <c r="F94" s="134"/>
      <c r="G94" s="134"/>
      <c r="H94" s="134"/>
      <c r="I94" s="134"/>
      <c r="J94" s="134"/>
      <c r="K94" s="134"/>
    </row>
    <row r="95" spans="2:11" x14ac:dyDescent="0.75">
      <c r="B95" s="134"/>
      <c r="C95" s="134"/>
      <c r="D95" s="134"/>
      <c r="E95" s="134"/>
      <c r="F95" s="134"/>
      <c r="G95" s="134"/>
      <c r="H95" s="134"/>
      <c r="I95" s="134"/>
      <c r="J95" s="134"/>
      <c r="K95" s="134"/>
    </row>
    <row r="96" spans="2:11" x14ac:dyDescent="0.75">
      <c r="B96" s="134"/>
      <c r="C96" s="134"/>
      <c r="D96" s="134"/>
      <c r="E96" s="134"/>
      <c r="F96" s="134"/>
      <c r="G96" s="134"/>
      <c r="H96" s="134"/>
      <c r="I96" s="134"/>
      <c r="J96" s="134"/>
      <c r="K96" s="134"/>
    </row>
    <row r="97" spans="2:11" x14ac:dyDescent="0.75">
      <c r="B97" s="134"/>
      <c r="C97" s="134"/>
      <c r="D97" s="134"/>
      <c r="E97" s="134"/>
      <c r="F97" s="134"/>
      <c r="G97" s="134"/>
      <c r="H97" s="134"/>
      <c r="I97" s="134"/>
      <c r="J97" s="134"/>
      <c r="K97" s="134"/>
    </row>
    <row r="98" spans="2:11" x14ac:dyDescent="0.75">
      <c r="B98" s="134"/>
      <c r="C98" s="134"/>
      <c r="D98" s="134"/>
      <c r="E98" s="134"/>
      <c r="F98" s="134"/>
      <c r="G98" s="134"/>
      <c r="H98" s="134"/>
      <c r="I98" s="134"/>
      <c r="J98" s="134"/>
      <c r="K98" s="134"/>
    </row>
    <row r="99" spans="2:11" x14ac:dyDescent="0.75">
      <c r="B99" s="134"/>
      <c r="C99" s="134"/>
      <c r="D99" s="134"/>
      <c r="E99" s="134"/>
      <c r="F99" s="134"/>
      <c r="G99" s="134"/>
      <c r="H99" s="134"/>
      <c r="I99" s="134"/>
      <c r="J99" s="134"/>
      <c r="K99" s="134"/>
    </row>
    <row r="100" spans="2:11" x14ac:dyDescent="0.75"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</row>
    <row r="101" spans="2:11" x14ac:dyDescent="0.75"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</row>
    <row r="102" spans="2:11" x14ac:dyDescent="0.75"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</row>
    <row r="103" spans="2:11" x14ac:dyDescent="0.75"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</row>
    <row r="104" spans="2:11" x14ac:dyDescent="0.75"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</row>
    <row r="105" spans="2:11" x14ac:dyDescent="0.75">
      <c r="B105" s="134"/>
      <c r="C105" s="134"/>
      <c r="D105" s="134"/>
      <c r="E105" s="134"/>
      <c r="F105" s="134"/>
      <c r="G105" s="134"/>
      <c r="H105" s="134"/>
      <c r="I105" s="134"/>
      <c r="J105" s="134"/>
      <c r="K105" s="134"/>
    </row>
    <row r="106" spans="2:11" x14ac:dyDescent="0.75">
      <c r="B106" s="134"/>
      <c r="C106" s="134"/>
      <c r="D106" s="134"/>
      <c r="E106" s="134"/>
      <c r="F106" s="134"/>
      <c r="G106" s="134"/>
      <c r="H106" s="134"/>
      <c r="I106" s="134"/>
      <c r="J106" s="134"/>
      <c r="K106" s="134"/>
    </row>
    <row r="107" spans="2:11" x14ac:dyDescent="0.75"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</row>
    <row r="108" spans="2:11" x14ac:dyDescent="0.75">
      <c r="B108" s="134"/>
      <c r="C108" s="134"/>
      <c r="D108" s="134"/>
      <c r="E108" s="134"/>
      <c r="F108" s="134"/>
      <c r="G108" s="134"/>
      <c r="H108" s="134"/>
      <c r="I108" s="134"/>
      <c r="J108" s="134"/>
      <c r="K108" s="134"/>
    </row>
    <row r="109" spans="2:11" x14ac:dyDescent="0.75"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</row>
    <row r="110" spans="2:11" x14ac:dyDescent="0.75"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</row>
    <row r="111" spans="2:11" x14ac:dyDescent="0.75">
      <c r="B111" s="134"/>
      <c r="C111" s="134"/>
      <c r="D111" s="134"/>
      <c r="E111" s="134"/>
      <c r="F111" s="134"/>
      <c r="G111" s="134"/>
      <c r="H111" s="134"/>
      <c r="I111" s="134"/>
      <c r="J111" s="134"/>
      <c r="K111" s="134"/>
    </row>
    <row r="112" spans="2:11" x14ac:dyDescent="0.75"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</row>
    <row r="113" spans="2:11" x14ac:dyDescent="0.75"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</row>
    <row r="114" spans="2:11" x14ac:dyDescent="0.75"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</row>
    <row r="115" spans="2:11" x14ac:dyDescent="0.75"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</row>
    <row r="116" spans="2:11" x14ac:dyDescent="0.75"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</row>
    <row r="117" spans="2:11" x14ac:dyDescent="0.75"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</row>
    <row r="118" spans="2:11" x14ac:dyDescent="0.75"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</row>
    <row r="119" spans="2:11" x14ac:dyDescent="0.75"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</row>
    <row r="120" spans="2:11" x14ac:dyDescent="0.75"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</row>
    <row r="121" spans="2:11" x14ac:dyDescent="0.75"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</row>
    <row r="122" spans="2:11" x14ac:dyDescent="0.75"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</row>
    <row r="123" spans="2:11" x14ac:dyDescent="0.75"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</row>
    <row r="124" spans="2:11" x14ac:dyDescent="0.75"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</row>
    <row r="125" spans="2:11" x14ac:dyDescent="0.75"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</row>
    <row r="126" spans="2:11" x14ac:dyDescent="0.75">
      <c r="B126" s="134"/>
      <c r="C126" s="134"/>
      <c r="D126" s="134"/>
      <c r="E126" s="134"/>
      <c r="F126" s="134"/>
      <c r="G126" s="134"/>
      <c r="H126" s="134"/>
      <c r="I126" s="134"/>
      <c r="J126" s="134"/>
      <c r="K126" s="134"/>
    </row>
    <row r="127" spans="2:11" x14ac:dyDescent="0.75"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</row>
    <row r="128" spans="2:11" x14ac:dyDescent="0.75"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</row>
    <row r="129" spans="2:11" x14ac:dyDescent="0.75">
      <c r="B129" s="134"/>
      <c r="C129" s="134"/>
      <c r="D129" s="134"/>
      <c r="E129" s="134"/>
      <c r="F129" s="134"/>
      <c r="G129" s="134"/>
      <c r="H129" s="134"/>
      <c r="I129" s="134"/>
      <c r="J129" s="134"/>
      <c r="K129" s="134"/>
    </row>
    <row r="130" spans="2:11" x14ac:dyDescent="0.75"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</row>
    <row r="131" spans="2:11" x14ac:dyDescent="0.75"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</row>
    <row r="132" spans="2:11" x14ac:dyDescent="0.75"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</row>
    <row r="133" spans="2:11" x14ac:dyDescent="0.75"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</row>
    <row r="134" spans="2:11" x14ac:dyDescent="0.75"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</row>
    <row r="135" spans="2:11" x14ac:dyDescent="0.75"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</row>
    <row r="136" spans="2:11" x14ac:dyDescent="0.75">
      <c r="B136" s="134"/>
      <c r="C136" s="134"/>
      <c r="D136" s="134"/>
      <c r="E136" s="134"/>
      <c r="F136" s="134"/>
      <c r="G136" s="134"/>
      <c r="H136" s="134"/>
      <c r="I136" s="134"/>
      <c r="J136" s="134"/>
      <c r="K136" s="134"/>
    </row>
    <row r="137" spans="2:11" x14ac:dyDescent="0.75"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</row>
    <row r="138" spans="2:11" x14ac:dyDescent="0.75"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</row>
    <row r="139" spans="2:11" x14ac:dyDescent="0.75"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</row>
    <row r="140" spans="2:11" x14ac:dyDescent="0.75"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</row>
    <row r="141" spans="2:11" x14ac:dyDescent="0.75"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</row>
    <row r="142" spans="2:11" x14ac:dyDescent="0.75"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</row>
    <row r="143" spans="2:11" x14ac:dyDescent="0.75"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</row>
    <row r="144" spans="2:11" x14ac:dyDescent="0.75"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</row>
    <row r="145" spans="2:11" x14ac:dyDescent="0.75">
      <c r="B145" s="134"/>
      <c r="C145" s="134"/>
      <c r="D145" s="134"/>
      <c r="E145" s="134"/>
      <c r="F145" s="134"/>
      <c r="G145" s="134"/>
      <c r="H145" s="134"/>
      <c r="I145" s="134"/>
      <c r="J145" s="134"/>
      <c r="K145" s="134"/>
    </row>
    <row r="146" spans="2:11" x14ac:dyDescent="0.75"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</row>
    <row r="147" spans="2:11" x14ac:dyDescent="0.75"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</row>
    <row r="148" spans="2:11" x14ac:dyDescent="0.75"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</row>
    <row r="149" spans="2:11" x14ac:dyDescent="0.75"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</row>
    <row r="150" spans="2:11" x14ac:dyDescent="0.75">
      <c r="B150" s="134"/>
      <c r="C150" s="134"/>
      <c r="D150" s="134"/>
      <c r="E150" s="134"/>
      <c r="F150" s="134"/>
      <c r="G150" s="134"/>
      <c r="H150" s="134"/>
      <c r="I150" s="134"/>
      <c r="J150" s="134"/>
      <c r="K150" s="134"/>
    </row>
    <row r="151" spans="2:11" x14ac:dyDescent="0.75">
      <c r="B151" s="134"/>
      <c r="C151" s="134"/>
      <c r="D151" s="134"/>
      <c r="E151" s="134"/>
      <c r="F151" s="134"/>
      <c r="G151" s="134"/>
      <c r="H151" s="134"/>
      <c r="I151" s="134"/>
      <c r="J151" s="134"/>
      <c r="K151" s="134"/>
    </row>
    <row r="152" spans="2:11" x14ac:dyDescent="0.75">
      <c r="B152" s="134"/>
      <c r="C152" s="134"/>
      <c r="D152" s="134"/>
      <c r="E152" s="134"/>
      <c r="F152" s="134"/>
      <c r="G152" s="134"/>
      <c r="H152" s="134"/>
      <c r="I152" s="134"/>
      <c r="J152" s="134"/>
      <c r="K152" s="134"/>
    </row>
    <row r="153" spans="2:11" x14ac:dyDescent="0.75"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</row>
    <row r="154" spans="2:11" x14ac:dyDescent="0.75">
      <c r="B154" s="134"/>
      <c r="C154" s="134"/>
      <c r="D154" s="134"/>
      <c r="E154" s="134"/>
      <c r="F154" s="134"/>
      <c r="G154" s="134"/>
      <c r="H154" s="134"/>
      <c r="I154" s="134"/>
      <c r="J154" s="134"/>
      <c r="K154" s="134"/>
    </row>
    <row r="155" spans="2:11" x14ac:dyDescent="0.75">
      <c r="B155" s="134"/>
      <c r="C155" s="134"/>
      <c r="D155" s="134"/>
      <c r="E155" s="134"/>
      <c r="F155" s="134"/>
      <c r="G155" s="134"/>
      <c r="H155" s="134"/>
      <c r="I155" s="134"/>
      <c r="J155" s="134"/>
      <c r="K155" s="134"/>
    </row>
    <row r="156" spans="2:11" x14ac:dyDescent="0.75">
      <c r="B156" s="134"/>
      <c r="C156" s="134"/>
      <c r="D156" s="134"/>
      <c r="E156" s="134"/>
      <c r="F156" s="134"/>
      <c r="G156" s="134"/>
      <c r="H156" s="134"/>
      <c r="I156" s="134"/>
      <c r="J156" s="134"/>
      <c r="K156" s="134"/>
    </row>
    <row r="157" spans="2:11" x14ac:dyDescent="0.75"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</row>
    <row r="158" spans="2:11" x14ac:dyDescent="0.75">
      <c r="B158" s="134"/>
      <c r="C158" s="134"/>
      <c r="D158" s="134"/>
      <c r="E158" s="134"/>
      <c r="F158" s="134"/>
      <c r="G158" s="134"/>
      <c r="H158" s="134"/>
      <c r="I158" s="134"/>
      <c r="J158" s="134"/>
      <c r="K158" s="134"/>
    </row>
    <row r="159" spans="2:11" x14ac:dyDescent="0.75"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</row>
    <row r="160" spans="2:11" x14ac:dyDescent="0.75"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</row>
    <row r="161" spans="2:11" x14ac:dyDescent="0.75"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</row>
    <row r="162" spans="2:11" x14ac:dyDescent="0.75">
      <c r="B162" s="134"/>
      <c r="C162" s="134"/>
      <c r="D162" s="134"/>
      <c r="E162" s="134"/>
      <c r="F162" s="134"/>
      <c r="G162" s="134"/>
      <c r="H162" s="134"/>
      <c r="I162" s="134"/>
      <c r="J162" s="134"/>
      <c r="K162" s="134"/>
    </row>
    <row r="163" spans="2:11" x14ac:dyDescent="0.75"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</row>
    <row r="164" spans="2:11" x14ac:dyDescent="0.75">
      <c r="B164" s="134"/>
      <c r="C164" s="134"/>
      <c r="D164" s="134"/>
      <c r="E164" s="134"/>
      <c r="F164" s="134"/>
      <c r="G164" s="134"/>
      <c r="H164" s="134"/>
      <c r="I164" s="134"/>
      <c r="J164" s="134"/>
      <c r="K164" s="134"/>
    </row>
    <row r="165" spans="2:11" x14ac:dyDescent="0.75"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</row>
  </sheetData>
  <mergeCells count="4">
    <mergeCell ref="A33:K33"/>
    <mergeCell ref="A1:K1"/>
    <mergeCell ref="A2:K2"/>
    <mergeCell ref="A31:K31"/>
  </mergeCells>
  <pageMargins left="0.7" right="0.7" top="0.75" bottom="0.75" header="0.3" footer="0.3"/>
  <pageSetup scale="80" orientation="landscape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659E-373B-4740-B8C2-783ED2E9A6FC}">
  <sheetPr codeName="Sheet12">
    <tabColor theme="7" tint="0.59999389629810485"/>
  </sheetPr>
  <dimension ref="A1:F172"/>
  <sheetViews>
    <sheetView zoomScaleNormal="100" workbookViewId="0">
      <pane xSplit="2" ySplit="5" topLeftCell="C6" activePane="bottomRight" state="frozenSplit"/>
      <selection pane="topRight" activeCell="C1" sqref="C1"/>
      <selection pane="bottomLeft" activeCell="A3" sqref="A3"/>
      <selection pane="bottomRight" activeCell="I30" sqref="I30"/>
    </sheetView>
  </sheetViews>
  <sheetFormatPr defaultColWidth="9.1328125" defaultRowHeight="14.75" x14ac:dyDescent="0.75"/>
  <cols>
    <col min="1" max="1" width="9.1328125" style="109"/>
    <col min="2" max="2" width="52.40625" style="109" customWidth="1"/>
    <col min="3" max="4" width="13.7265625" style="109" customWidth="1"/>
    <col min="5" max="5" width="9.1328125" style="109"/>
    <col min="6" max="6" width="18.54296875" style="32" customWidth="1"/>
    <col min="7" max="16384" width="9.1328125" style="109"/>
  </cols>
  <sheetData>
    <row r="1" spans="1:6" ht="18" x14ac:dyDescent="0.8">
      <c r="B1" s="200" t="s">
        <v>696</v>
      </c>
      <c r="C1" s="197"/>
      <c r="D1" s="197"/>
    </row>
    <row r="2" spans="1:6" ht="18" x14ac:dyDescent="0.8">
      <c r="B2" s="200" t="s">
        <v>697</v>
      </c>
      <c r="C2" s="197"/>
      <c r="D2" s="197"/>
    </row>
    <row r="3" spans="1:6" x14ac:dyDescent="0.75">
      <c r="B3" s="201" t="s">
        <v>963</v>
      </c>
      <c r="C3" s="197"/>
      <c r="D3" s="197"/>
    </row>
    <row r="5" spans="1:6" x14ac:dyDescent="0.75">
      <c r="B5" s="52"/>
      <c r="C5" s="98" t="s">
        <v>0</v>
      </c>
      <c r="D5" s="98" t="s">
        <v>1</v>
      </c>
      <c r="F5" s="98" t="s">
        <v>170</v>
      </c>
    </row>
    <row r="6" spans="1:6" x14ac:dyDescent="0.75">
      <c r="A6" s="109">
        <f t="shared" ref="A6:A69" si="0">VALUE(LEFT(B6,4))</f>
        <v>1005</v>
      </c>
      <c r="B6" s="99" t="s">
        <v>698</v>
      </c>
      <c r="C6" s="100">
        <f>0</f>
        <v>0</v>
      </c>
      <c r="D6" s="101"/>
      <c r="F6" s="32">
        <f>C6-D6</f>
        <v>0</v>
      </c>
    </row>
    <row r="7" spans="1:6" x14ac:dyDescent="0.75">
      <c r="A7" s="109">
        <f t="shared" si="0"/>
        <v>1010</v>
      </c>
      <c r="B7" s="99" t="s">
        <v>193</v>
      </c>
      <c r="C7" s="100">
        <f>34202.14</f>
        <v>34202.14</v>
      </c>
      <c r="D7" s="101"/>
      <c r="F7" s="32">
        <f t="shared" ref="F7:F70" si="1">C7-D7</f>
        <v>34202.14</v>
      </c>
    </row>
    <row r="8" spans="1:6" x14ac:dyDescent="0.75">
      <c r="A8" s="109">
        <f t="shared" si="0"/>
        <v>1020</v>
      </c>
      <c r="B8" s="99" t="s">
        <v>194</v>
      </c>
      <c r="C8" s="100">
        <f>350642.98</f>
        <v>350642.98</v>
      </c>
      <c r="D8" s="101"/>
      <c r="F8" s="32">
        <f t="shared" si="1"/>
        <v>350642.98</v>
      </c>
    </row>
    <row r="9" spans="1:6" x14ac:dyDescent="0.75">
      <c r="A9" s="109">
        <f t="shared" si="0"/>
        <v>1200</v>
      </c>
      <c r="B9" s="99" t="s">
        <v>699</v>
      </c>
      <c r="C9" s="100">
        <f>216395.9</f>
        <v>216395.9</v>
      </c>
      <c r="D9" s="101"/>
      <c r="F9" s="32">
        <f t="shared" si="1"/>
        <v>216395.9</v>
      </c>
    </row>
    <row r="10" spans="1:6" x14ac:dyDescent="0.75">
      <c r="A10" s="109">
        <f t="shared" si="0"/>
        <v>1210</v>
      </c>
      <c r="B10" s="99" t="s">
        <v>700</v>
      </c>
      <c r="C10" s="100">
        <f>0</f>
        <v>0</v>
      </c>
      <c r="D10" s="101"/>
      <c r="F10" s="32">
        <f t="shared" si="1"/>
        <v>0</v>
      </c>
    </row>
    <row r="11" spans="1:6" x14ac:dyDescent="0.75">
      <c r="A11" s="109">
        <f t="shared" si="0"/>
        <v>1250</v>
      </c>
      <c r="B11" s="99" t="s">
        <v>701</v>
      </c>
      <c r="C11" s="100">
        <f>0</f>
        <v>0</v>
      </c>
      <c r="D11" s="101"/>
      <c r="F11" s="32">
        <f t="shared" si="1"/>
        <v>0</v>
      </c>
    </row>
    <row r="12" spans="1:6" x14ac:dyDescent="0.75">
      <c r="A12" s="109">
        <f t="shared" si="0"/>
        <v>1280</v>
      </c>
      <c r="B12" s="99" t="s">
        <v>702</v>
      </c>
      <c r="C12" s="100">
        <f>0</f>
        <v>0</v>
      </c>
      <c r="D12" s="101"/>
      <c r="F12" s="32">
        <f t="shared" si="1"/>
        <v>0</v>
      </c>
    </row>
    <row r="13" spans="1:6" x14ac:dyDescent="0.75">
      <c r="A13" s="109">
        <f t="shared" si="0"/>
        <v>1290</v>
      </c>
      <c r="B13" s="99" t="s">
        <v>703</v>
      </c>
      <c r="C13" s="100">
        <f>0</f>
        <v>0</v>
      </c>
      <c r="D13" s="101"/>
      <c r="F13" s="32">
        <f t="shared" si="1"/>
        <v>0</v>
      </c>
    </row>
    <row r="14" spans="1:6" x14ac:dyDescent="0.75">
      <c r="A14" s="109">
        <f t="shared" si="0"/>
        <v>1310</v>
      </c>
      <c r="B14" s="99" t="s">
        <v>200</v>
      </c>
      <c r="C14" s="101"/>
      <c r="D14" s="100">
        <f>1994.8</f>
        <v>1994.8</v>
      </c>
      <c r="F14" s="32">
        <f t="shared" si="1"/>
        <v>-1994.8</v>
      </c>
    </row>
    <row r="15" spans="1:6" x14ac:dyDescent="0.75">
      <c r="A15" s="109">
        <f t="shared" si="0"/>
        <v>1320</v>
      </c>
      <c r="B15" s="99" t="s">
        <v>201</v>
      </c>
      <c r="C15" s="100">
        <f>0</f>
        <v>0</v>
      </c>
      <c r="D15" s="101"/>
      <c r="F15" s="32">
        <f t="shared" si="1"/>
        <v>0</v>
      </c>
    </row>
    <row r="16" spans="1:6" x14ac:dyDescent="0.75">
      <c r="A16" s="109">
        <f t="shared" si="0"/>
        <v>1330</v>
      </c>
      <c r="B16" s="99" t="s">
        <v>704</v>
      </c>
      <c r="C16" s="100">
        <f>0</f>
        <v>0</v>
      </c>
      <c r="D16" s="101"/>
      <c r="F16" s="32">
        <f t="shared" si="1"/>
        <v>0</v>
      </c>
    </row>
    <row r="17" spans="1:6" x14ac:dyDescent="0.75">
      <c r="A17" s="109">
        <f t="shared" si="0"/>
        <v>1340</v>
      </c>
      <c r="B17" s="99" t="s">
        <v>705</v>
      </c>
      <c r="C17" s="101"/>
      <c r="D17" s="100">
        <f>19994.2</f>
        <v>19994.2</v>
      </c>
      <c r="F17" s="32">
        <f t="shared" si="1"/>
        <v>-19994.2</v>
      </c>
    </row>
    <row r="18" spans="1:6" x14ac:dyDescent="0.75">
      <c r="A18" s="109">
        <f t="shared" si="0"/>
        <v>1410</v>
      </c>
      <c r="B18" s="99" t="s">
        <v>204</v>
      </c>
      <c r="C18" s="100">
        <f>75250</f>
        <v>75250</v>
      </c>
      <c r="D18" s="101"/>
      <c r="F18" s="32">
        <f t="shared" si="1"/>
        <v>75250</v>
      </c>
    </row>
    <row r="19" spans="1:6" x14ac:dyDescent="0.75">
      <c r="A19" s="109">
        <f t="shared" si="0"/>
        <v>1430</v>
      </c>
      <c r="B19" s="99" t="s">
        <v>706</v>
      </c>
      <c r="C19" s="100">
        <f>5500</f>
        <v>5500</v>
      </c>
      <c r="D19" s="101"/>
      <c r="F19" s="32">
        <f t="shared" si="1"/>
        <v>5500</v>
      </c>
    </row>
    <row r="20" spans="1:6" x14ac:dyDescent="0.75">
      <c r="A20" s="109">
        <f t="shared" si="0"/>
        <v>1710</v>
      </c>
      <c r="B20" s="99" t="s">
        <v>807</v>
      </c>
      <c r="C20" s="100">
        <f>97384.17</f>
        <v>97384.17</v>
      </c>
      <c r="D20" s="101"/>
      <c r="F20" s="32">
        <f t="shared" si="1"/>
        <v>97384.17</v>
      </c>
    </row>
    <row r="21" spans="1:6" x14ac:dyDescent="0.75">
      <c r="A21" s="109">
        <f t="shared" si="0"/>
        <v>1715</v>
      </c>
      <c r="B21" s="99" t="s">
        <v>707</v>
      </c>
      <c r="C21" s="100">
        <f>0</f>
        <v>0</v>
      </c>
      <c r="D21" s="101"/>
      <c r="F21" s="32">
        <f t="shared" si="1"/>
        <v>0</v>
      </c>
    </row>
    <row r="22" spans="1:6" x14ac:dyDescent="0.75">
      <c r="A22" s="109">
        <f t="shared" si="0"/>
        <v>1720</v>
      </c>
      <c r="B22" s="99" t="s">
        <v>708</v>
      </c>
      <c r="C22" s="100">
        <f>3937.6</f>
        <v>3937.6</v>
      </c>
      <c r="D22" s="101"/>
      <c r="F22" s="32">
        <f t="shared" si="1"/>
        <v>3937.6</v>
      </c>
    </row>
    <row r="23" spans="1:6" x14ac:dyDescent="0.75">
      <c r="A23" s="109">
        <f t="shared" si="0"/>
        <v>1725</v>
      </c>
      <c r="B23" s="99" t="s">
        <v>849</v>
      </c>
      <c r="C23" s="100">
        <f>2446.33</f>
        <v>2446.33</v>
      </c>
      <c r="D23" s="101"/>
      <c r="F23" s="32">
        <f t="shared" si="1"/>
        <v>2446.33</v>
      </c>
    </row>
    <row r="24" spans="1:6" x14ac:dyDescent="0.75">
      <c r="A24" s="109">
        <f t="shared" si="0"/>
        <v>1735</v>
      </c>
      <c r="B24" s="99" t="s">
        <v>709</v>
      </c>
      <c r="C24" s="100">
        <f>4977.65</f>
        <v>4977.6499999999996</v>
      </c>
      <c r="D24" s="101"/>
      <c r="F24" s="32">
        <f t="shared" si="1"/>
        <v>4977.6499999999996</v>
      </c>
    </row>
    <row r="25" spans="1:6" x14ac:dyDescent="0.75">
      <c r="A25" s="109">
        <f t="shared" si="0"/>
        <v>1740</v>
      </c>
      <c r="B25" s="99" t="s">
        <v>710</v>
      </c>
      <c r="C25" s="100">
        <f>0</f>
        <v>0</v>
      </c>
      <c r="D25" s="101"/>
      <c r="F25" s="32">
        <f t="shared" si="1"/>
        <v>0</v>
      </c>
    </row>
    <row r="26" spans="1:6" x14ac:dyDescent="0.75">
      <c r="A26" s="109">
        <f t="shared" si="0"/>
        <v>1745</v>
      </c>
      <c r="B26" s="99" t="s">
        <v>711</v>
      </c>
      <c r="C26" s="100">
        <f>315246.63</f>
        <v>315246.63</v>
      </c>
      <c r="D26" s="101"/>
      <c r="F26" s="32">
        <f t="shared" si="1"/>
        <v>315246.63</v>
      </c>
    </row>
    <row r="27" spans="1:6" x14ac:dyDescent="0.75">
      <c r="A27" s="109">
        <f t="shared" si="0"/>
        <v>1750</v>
      </c>
      <c r="B27" s="99" t="s">
        <v>808</v>
      </c>
      <c r="C27" s="100">
        <f>10394.01</f>
        <v>10394.01</v>
      </c>
      <c r="D27" s="101"/>
      <c r="F27" s="32">
        <f t="shared" si="1"/>
        <v>10394.01</v>
      </c>
    </row>
    <row r="28" spans="1:6" x14ac:dyDescent="0.75">
      <c r="A28" s="109">
        <f t="shared" si="0"/>
        <v>1755</v>
      </c>
      <c r="B28" s="99" t="s">
        <v>712</v>
      </c>
      <c r="C28" s="100">
        <f>787.91</f>
        <v>787.91</v>
      </c>
      <c r="D28" s="101"/>
      <c r="F28" s="32">
        <f t="shared" si="1"/>
        <v>787.91</v>
      </c>
    </row>
    <row r="29" spans="1:6" x14ac:dyDescent="0.75">
      <c r="A29" s="109">
        <f t="shared" si="0"/>
        <v>1760</v>
      </c>
      <c r="B29" s="99" t="s">
        <v>713</v>
      </c>
      <c r="C29" s="100">
        <f>20105.95</f>
        <v>20105.95</v>
      </c>
      <c r="D29" s="101"/>
      <c r="F29" s="32">
        <f t="shared" si="1"/>
        <v>20105.95</v>
      </c>
    </row>
    <row r="30" spans="1:6" x14ac:dyDescent="0.75">
      <c r="A30" s="109">
        <f t="shared" si="0"/>
        <v>1765</v>
      </c>
      <c r="B30" s="99" t="s">
        <v>714</v>
      </c>
      <c r="C30" s="100">
        <f>1015.31</f>
        <v>1015.31</v>
      </c>
      <c r="D30" s="101"/>
      <c r="F30" s="32">
        <f t="shared" si="1"/>
        <v>1015.31</v>
      </c>
    </row>
    <row r="31" spans="1:6" x14ac:dyDescent="0.75">
      <c r="A31" s="109">
        <f t="shared" si="0"/>
        <v>1781</v>
      </c>
      <c r="B31" s="99" t="s">
        <v>809</v>
      </c>
      <c r="C31" s="101"/>
      <c r="D31" s="100">
        <f>47894.14</f>
        <v>47894.14</v>
      </c>
      <c r="F31" s="32">
        <f t="shared" si="1"/>
        <v>-47894.14</v>
      </c>
    </row>
    <row r="32" spans="1:6" x14ac:dyDescent="0.75">
      <c r="A32" s="109">
        <f t="shared" si="0"/>
        <v>1782</v>
      </c>
      <c r="B32" s="99" t="s">
        <v>715</v>
      </c>
      <c r="C32" s="100">
        <f>0</f>
        <v>0</v>
      </c>
      <c r="D32" s="101"/>
      <c r="F32" s="32">
        <f t="shared" si="1"/>
        <v>0</v>
      </c>
    </row>
    <row r="33" spans="1:6" x14ac:dyDescent="0.75">
      <c r="A33" s="109">
        <f t="shared" si="0"/>
        <v>1783</v>
      </c>
      <c r="B33" s="99" t="s">
        <v>716</v>
      </c>
      <c r="C33" s="101"/>
      <c r="D33" s="100">
        <f>1312.52</f>
        <v>1312.52</v>
      </c>
      <c r="F33" s="32">
        <f t="shared" si="1"/>
        <v>-1312.52</v>
      </c>
    </row>
    <row r="34" spans="1:6" x14ac:dyDescent="0.75">
      <c r="A34" s="109">
        <f t="shared" si="0"/>
        <v>1784</v>
      </c>
      <c r="B34" s="99" t="s">
        <v>850</v>
      </c>
      <c r="C34" s="101"/>
      <c r="D34" s="100">
        <f>559.1</f>
        <v>559.1</v>
      </c>
      <c r="F34" s="32">
        <f t="shared" si="1"/>
        <v>-559.1</v>
      </c>
    </row>
    <row r="35" spans="1:6" x14ac:dyDescent="0.75">
      <c r="A35" s="109">
        <f t="shared" si="0"/>
        <v>1785</v>
      </c>
      <c r="B35" s="99" t="s">
        <v>717</v>
      </c>
      <c r="C35" s="101"/>
      <c r="D35" s="100">
        <f>4321.35</f>
        <v>4321.3500000000004</v>
      </c>
      <c r="F35" s="32">
        <f t="shared" si="1"/>
        <v>-4321.3500000000004</v>
      </c>
    </row>
    <row r="36" spans="1:6" x14ac:dyDescent="0.75">
      <c r="A36" s="109">
        <f t="shared" si="0"/>
        <v>1786</v>
      </c>
      <c r="B36" s="99" t="s">
        <v>718</v>
      </c>
      <c r="C36" s="100">
        <f>0</f>
        <v>0</v>
      </c>
      <c r="D36" s="101"/>
      <c r="F36" s="32">
        <f t="shared" si="1"/>
        <v>0</v>
      </c>
    </row>
    <row r="37" spans="1:6" x14ac:dyDescent="0.75">
      <c r="A37" s="109">
        <f t="shared" si="0"/>
        <v>1787</v>
      </c>
      <c r="B37" s="99" t="s">
        <v>719</v>
      </c>
      <c r="C37" s="101"/>
      <c r="D37" s="100">
        <f>189746.69</f>
        <v>189746.69</v>
      </c>
      <c r="F37" s="32">
        <f t="shared" si="1"/>
        <v>-189746.69</v>
      </c>
    </row>
    <row r="38" spans="1:6" x14ac:dyDescent="0.75">
      <c r="A38" s="109">
        <f t="shared" si="0"/>
        <v>1788</v>
      </c>
      <c r="B38" s="99" t="s">
        <v>810</v>
      </c>
      <c r="C38" s="101"/>
      <c r="D38" s="100">
        <f>10394.01</f>
        <v>10394.01</v>
      </c>
      <c r="F38" s="32">
        <f t="shared" si="1"/>
        <v>-10394.01</v>
      </c>
    </row>
    <row r="39" spans="1:6" x14ac:dyDescent="0.75">
      <c r="A39" s="109">
        <f t="shared" si="0"/>
        <v>1789</v>
      </c>
      <c r="B39" s="99" t="s">
        <v>720</v>
      </c>
      <c r="C39" s="101"/>
      <c r="D39" s="100">
        <f>787.91</f>
        <v>787.91</v>
      </c>
      <c r="F39" s="32">
        <f t="shared" si="1"/>
        <v>-787.91</v>
      </c>
    </row>
    <row r="40" spans="1:6" x14ac:dyDescent="0.75">
      <c r="A40" s="109">
        <f t="shared" si="0"/>
        <v>1790</v>
      </c>
      <c r="B40" s="99" t="s">
        <v>721</v>
      </c>
      <c r="C40" s="101"/>
      <c r="D40" s="100">
        <f>1015.31</f>
        <v>1015.31</v>
      </c>
      <c r="F40" s="32">
        <f t="shared" si="1"/>
        <v>-1015.31</v>
      </c>
    </row>
    <row r="41" spans="1:6" x14ac:dyDescent="0.75">
      <c r="A41" s="109">
        <f t="shared" si="0"/>
        <v>1791</v>
      </c>
      <c r="B41" s="99" t="s">
        <v>722</v>
      </c>
      <c r="C41" s="101"/>
      <c r="D41" s="100">
        <f>19955.22</f>
        <v>19955.22</v>
      </c>
      <c r="F41" s="32">
        <f t="shared" si="1"/>
        <v>-19955.22</v>
      </c>
    </row>
    <row r="42" spans="1:6" x14ac:dyDescent="0.75">
      <c r="A42" s="109">
        <f t="shared" si="0"/>
        <v>1810</v>
      </c>
      <c r="B42" s="99" t="s">
        <v>957</v>
      </c>
      <c r="C42" s="100">
        <f>56459</f>
        <v>56459</v>
      </c>
      <c r="D42" s="101"/>
      <c r="F42" s="32">
        <f t="shared" si="1"/>
        <v>56459</v>
      </c>
    </row>
    <row r="43" spans="1:6" x14ac:dyDescent="0.75">
      <c r="A43" s="109">
        <f t="shared" si="0"/>
        <v>1820</v>
      </c>
      <c r="B43" s="99" t="s">
        <v>229</v>
      </c>
      <c r="C43" s="100">
        <f>0</f>
        <v>0</v>
      </c>
      <c r="D43" s="101"/>
      <c r="F43" s="32">
        <f t="shared" si="1"/>
        <v>0</v>
      </c>
    </row>
    <row r="44" spans="1:6" x14ac:dyDescent="0.75">
      <c r="A44" s="109">
        <f t="shared" si="0"/>
        <v>1830</v>
      </c>
      <c r="B44" s="99" t="s">
        <v>723</v>
      </c>
      <c r="C44" s="100">
        <f>0</f>
        <v>0</v>
      </c>
      <c r="D44" s="101"/>
      <c r="F44" s="32">
        <f t="shared" si="1"/>
        <v>0</v>
      </c>
    </row>
    <row r="45" spans="1:6" x14ac:dyDescent="0.75">
      <c r="A45" s="109">
        <f t="shared" si="0"/>
        <v>1840</v>
      </c>
      <c r="B45" s="99" t="s">
        <v>811</v>
      </c>
      <c r="C45" s="100">
        <f>0</f>
        <v>0</v>
      </c>
      <c r="D45" s="101"/>
      <c r="F45" s="32">
        <f t="shared" si="1"/>
        <v>0</v>
      </c>
    </row>
    <row r="46" spans="1:6" x14ac:dyDescent="0.75">
      <c r="A46" s="109">
        <f t="shared" si="0"/>
        <v>1900</v>
      </c>
      <c r="B46" s="99" t="s">
        <v>233</v>
      </c>
      <c r="C46" s="100">
        <f>0</f>
        <v>0</v>
      </c>
      <c r="D46" s="101"/>
      <c r="F46" s="32">
        <f t="shared" si="1"/>
        <v>0</v>
      </c>
    </row>
    <row r="47" spans="1:6" x14ac:dyDescent="0.75">
      <c r="A47" s="109">
        <f t="shared" si="0"/>
        <v>1902</v>
      </c>
      <c r="B47" s="99" t="s">
        <v>812</v>
      </c>
      <c r="C47" s="100">
        <f>0</f>
        <v>0</v>
      </c>
      <c r="D47" s="101"/>
      <c r="F47" s="32">
        <f t="shared" si="1"/>
        <v>0</v>
      </c>
    </row>
    <row r="48" spans="1:6" x14ac:dyDescent="0.75">
      <c r="A48" s="109">
        <f t="shared" si="0"/>
        <v>1904</v>
      </c>
      <c r="B48" s="99" t="s">
        <v>724</v>
      </c>
      <c r="C48" s="100">
        <f>0</f>
        <v>0</v>
      </c>
      <c r="D48" s="101"/>
      <c r="F48" s="32">
        <f t="shared" si="1"/>
        <v>0</v>
      </c>
    </row>
    <row r="49" spans="1:6" x14ac:dyDescent="0.75">
      <c r="A49" s="109">
        <f t="shared" si="0"/>
        <v>1906</v>
      </c>
      <c r="B49" s="99" t="s">
        <v>725</v>
      </c>
      <c r="C49" s="100">
        <f>0</f>
        <v>0</v>
      </c>
      <c r="D49" s="101"/>
      <c r="F49" s="32">
        <f t="shared" si="1"/>
        <v>0</v>
      </c>
    </row>
    <row r="50" spans="1:6" x14ac:dyDescent="0.75">
      <c r="A50" s="109">
        <f t="shared" si="0"/>
        <v>1908</v>
      </c>
      <c r="B50" s="99" t="s">
        <v>241</v>
      </c>
      <c r="C50" s="100">
        <f>0</f>
        <v>0</v>
      </c>
      <c r="D50" s="101"/>
      <c r="F50" s="32">
        <f t="shared" si="1"/>
        <v>0</v>
      </c>
    </row>
    <row r="51" spans="1:6" x14ac:dyDescent="0.75">
      <c r="A51" s="109">
        <f t="shared" si="0"/>
        <v>1910</v>
      </c>
      <c r="B51" s="99" t="s">
        <v>726</v>
      </c>
      <c r="C51" s="100">
        <f>0</f>
        <v>0</v>
      </c>
      <c r="D51" s="101"/>
      <c r="F51" s="32">
        <f t="shared" si="1"/>
        <v>0</v>
      </c>
    </row>
    <row r="52" spans="1:6" x14ac:dyDescent="0.75">
      <c r="A52" s="109">
        <f t="shared" si="0"/>
        <v>1912</v>
      </c>
      <c r="B52" s="99" t="s">
        <v>727</v>
      </c>
      <c r="C52" s="100">
        <f>0</f>
        <v>0</v>
      </c>
      <c r="D52" s="101"/>
      <c r="F52" s="32">
        <f t="shared" si="1"/>
        <v>0</v>
      </c>
    </row>
    <row r="53" spans="1:6" x14ac:dyDescent="0.75">
      <c r="A53" s="109">
        <f t="shared" si="0"/>
        <v>1914</v>
      </c>
      <c r="B53" s="99" t="s">
        <v>247</v>
      </c>
      <c r="C53" s="100">
        <f>0</f>
        <v>0</v>
      </c>
      <c r="D53" s="101"/>
      <c r="F53" s="32">
        <f t="shared" si="1"/>
        <v>0</v>
      </c>
    </row>
    <row r="54" spans="1:6" x14ac:dyDescent="0.75">
      <c r="A54" s="109">
        <f t="shared" si="0"/>
        <v>1916</v>
      </c>
      <c r="B54" s="99" t="s">
        <v>728</v>
      </c>
      <c r="C54" s="100">
        <f>0</f>
        <v>0</v>
      </c>
      <c r="D54" s="101"/>
      <c r="F54" s="32">
        <f t="shared" si="1"/>
        <v>0</v>
      </c>
    </row>
    <row r="55" spans="1:6" x14ac:dyDescent="0.75">
      <c r="A55" s="109">
        <f t="shared" si="0"/>
        <v>1918</v>
      </c>
      <c r="B55" s="99" t="s">
        <v>729</v>
      </c>
      <c r="C55" s="100">
        <f>0</f>
        <v>0</v>
      </c>
      <c r="D55" s="101"/>
      <c r="F55" s="32">
        <f t="shared" si="1"/>
        <v>0</v>
      </c>
    </row>
    <row r="56" spans="1:6" x14ac:dyDescent="0.75">
      <c r="A56" s="109">
        <f t="shared" si="0"/>
        <v>1920</v>
      </c>
      <c r="B56" s="99" t="s">
        <v>730</v>
      </c>
      <c r="C56" s="100">
        <f>0</f>
        <v>0</v>
      </c>
      <c r="D56" s="101"/>
      <c r="F56" s="32">
        <f t="shared" si="1"/>
        <v>0</v>
      </c>
    </row>
    <row r="57" spans="1:6" x14ac:dyDescent="0.75">
      <c r="A57" s="109">
        <f t="shared" si="0"/>
        <v>1922</v>
      </c>
      <c r="B57" s="99" t="s">
        <v>731</v>
      </c>
      <c r="C57" s="100">
        <f>0</f>
        <v>0</v>
      </c>
      <c r="D57" s="101"/>
      <c r="F57" s="32">
        <f t="shared" si="1"/>
        <v>0</v>
      </c>
    </row>
    <row r="58" spans="1:6" x14ac:dyDescent="0.75">
      <c r="A58" s="109">
        <f t="shared" si="0"/>
        <v>1924</v>
      </c>
      <c r="B58" s="99" t="s">
        <v>732</v>
      </c>
      <c r="C58" s="100">
        <f>0</f>
        <v>0</v>
      </c>
      <c r="D58" s="101"/>
      <c r="F58" s="32">
        <f t="shared" si="1"/>
        <v>0</v>
      </c>
    </row>
    <row r="59" spans="1:6" x14ac:dyDescent="0.75">
      <c r="A59" s="109">
        <f t="shared" si="0"/>
        <v>1926</v>
      </c>
      <c r="B59" s="99" t="s">
        <v>733</v>
      </c>
      <c r="C59" s="100">
        <f>0</f>
        <v>0</v>
      </c>
      <c r="D59" s="101"/>
      <c r="F59" s="32">
        <f t="shared" si="1"/>
        <v>0</v>
      </c>
    </row>
    <row r="60" spans="1:6" x14ac:dyDescent="0.75">
      <c r="A60" s="109">
        <f t="shared" si="0"/>
        <v>1928</v>
      </c>
      <c r="B60" s="99" t="s">
        <v>734</v>
      </c>
      <c r="C60" s="100">
        <f>43132.88</f>
        <v>43132.88</v>
      </c>
      <c r="D60" s="101"/>
      <c r="F60" s="32">
        <f t="shared" si="1"/>
        <v>43132.88</v>
      </c>
    </row>
    <row r="61" spans="1:6" x14ac:dyDescent="0.75">
      <c r="A61" s="109">
        <f t="shared" si="0"/>
        <v>1930</v>
      </c>
      <c r="B61" s="99" t="s">
        <v>735</v>
      </c>
      <c r="C61" s="100">
        <f>0</f>
        <v>0</v>
      </c>
      <c r="D61" s="101"/>
      <c r="F61" s="32">
        <f t="shared" si="1"/>
        <v>0</v>
      </c>
    </row>
    <row r="62" spans="1:6" x14ac:dyDescent="0.75">
      <c r="A62" s="109">
        <f t="shared" si="0"/>
        <v>1950</v>
      </c>
      <c r="B62" s="99" t="s">
        <v>930</v>
      </c>
      <c r="C62" s="101"/>
      <c r="D62" s="100">
        <f>43132.89</f>
        <v>43132.89</v>
      </c>
      <c r="F62" s="32">
        <f t="shared" si="1"/>
        <v>-43132.89</v>
      </c>
    </row>
    <row r="63" spans="1:6" x14ac:dyDescent="0.75">
      <c r="A63" s="109">
        <f t="shared" si="0"/>
        <v>1932</v>
      </c>
      <c r="B63" s="99" t="s">
        <v>736</v>
      </c>
      <c r="C63" s="100">
        <f>0</f>
        <v>0</v>
      </c>
      <c r="D63" s="101"/>
      <c r="F63" s="32">
        <f t="shared" si="1"/>
        <v>0</v>
      </c>
    </row>
    <row r="64" spans="1:6" x14ac:dyDescent="0.75">
      <c r="A64" s="109">
        <f t="shared" si="0"/>
        <v>1960</v>
      </c>
      <c r="B64" s="99" t="s">
        <v>737</v>
      </c>
      <c r="C64" s="100">
        <f>0</f>
        <v>0</v>
      </c>
      <c r="D64" s="101"/>
      <c r="F64" s="32">
        <f t="shared" si="1"/>
        <v>0</v>
      </c>
    </row>
    <row r="65" spans="1:6" x14ac:dyDescent="0.75">
      <c r="A65" s="109">
        <f t="shared" si="0"/>
        <v>1980</v>
      </c>
      <c r="B65" s="99" t="s">
        <v>738</v>
      </c>
      <c r="C65" s="100">
        <f>0</f>
        <v>0</v>
      </c>
      <c r="D65" s="101"/>
      <c r="F65" s="32">
        <f t="shared" si="1"/>
        <v>0</v>
      </c>
    </row>
    <row r="66" spans="1:6" x14ac:dyDescent="0.75">
      <c r="A66" s="109">
        <f t="shared" si="0"/>
        <v>2000</v>
      </c>
      <c r="B66" s="99" t="s">
        <v>251</v>
      </c>
      <c r="C66" s="101"/>
      <c r="D66" s="100">
        <f>15898.92</f>
        <v>15898.92</v>
      </c>
      <c r="F66" s="32">
        <f t="shared" si="1"/>
        <v>-15898.92</v>
      </c>
    </row>
    <row r="67" spans="1:6" x14ac:dyDescent="0.75">
      <c r="A67" s="109">
        <f t="shared" si="0"/>
        <v>2101</v>
      </c>
      <c r="B67" s="99" t="s">
        <v>739</v>
      </c>
      <c r="C67" s="101"/>
      <c r="D67" s="100">
        <f>0</f>
        <v>0</v>
      </c>
      <c r="F67" s="32">
        <f t="shared" si="1"/>
        <v>0</v>
      </c>
    </row>
    <row r="68" spans="1:6" x14ac:dyDescent="0.75">
      <c r="A68" s="109">
        <f t="shared" si="0"/>
        <v>2102</v>
      </c>
      <c r="B68" s="99" t="s">
        <v>740</v>
      </c>
      <c r="C68" s="101"/>
      <c r="D68" s="100">
        <f>12517.38</f>
        <v>12517.38</v>
      </c>
      <c r="F68" s="32">
        <f t="shared" si="1"/>
        <v>-12517.38</v>
      </c>
    </row>
    <row r="69" spans="1:6" x14ac:dyDescent="0.75">
      <c r="A69" s="109">
        <f t="shared" si="0"/>
        <v>2103</v>
      </c>
      <c r="B69" s="99" t="s">
        <v>813</v>
      </c>
      <c r="C69" s="101"/>
      <c r="D69" s="100">
        <f>8469.4</f>
        <v>8469.4</v>
      </c>
      <c r="F69" s="32">
        <f t="shared" si="1"/>
        <v>-8469.4</v>
      </c>
    </row>
    <row r="70" spans="1:6" x14ac:dyDescent="0.75">
      <c r="A70" s="109">
        <f t="shared" ref="A70:A133" si="2">VALUE(LEFT(B70,4))</f>
        <v>2104</v>
      </c>
      <c r="B70" s="99" t="s">
        <v>741</v>
      </c>
      <c r="C70" s="101"/>
      <c r="D70" s="100">
        <f>7379.34</f>
        <v>7379.34</v>
      </c>
      <c r="F70" s="32">
        <f t="shared" si="1"/>
        <v>-7379.34</v>
      </c>
    </row>
    <row r="71" spans="1:6" x14ac:dyDescent="0.75">
      <c r="A71" s="109">
        <f t="shared" si="2"/>
        <v>2105</v>
      </c>
      <c r="B71" s="99" t="s">
        <v>814</v>
      </c>
      <c r="C71" s="101"/>
      <c r="D71" s="100">
        <f>0</f>
        <v>0</v>
      </c>
      <c r="F71" s="32">
        <f t="shared" ref="F71:F134" si="3">C71-D71</f>
        <v>0</v>
      </c>
    </row>
    <row r="72" spans="1:6" x14ac:dyDescent="0.75">
      <c r="A72" s="109">
        <f t="shared" si="2"/>
        <v>2010</v>
      </c>
      <c r="B72" s="99" t="s">
        <v>277</v>
      </c>
      <c r="C72" s="101"/>
      <c r="D72" s="100">
        <f>0</f>
        <v>0</v>
      </c>
      <c r="F72" s="32">
        <f t="shared" si="3"/>
        <v>0</v>
      </c>
    </row>
    <row r="73" spans="1:6" x14ac:dyDescent="0.75">
      <c r="A73" s="109">
        <f t="shared" si="2"/>
        <v>2020</v>
      </c>
      <c r="B73" s="99" t="s">
        <v>742</v>
      </c>
      <c r="C73" s="101"/>
      <c r="D73" s="100">
        <f>0</f>
        <v>0</v>
      </c>
      <c r="F73" s="32">
        <f t="shared" si="3"/>
        <v>0</v>
      </c>
    </row>
    <row r="74" spans="1:6" x14ac:dyDescent="0.75">
      <c r="A74" s="109">
        <f t="shared" si="2"/>
        <v>2106</v>
      </c>
      <c r="B74" s="99" t="s">
        <v>743</v>
      </c>
      <c r="C74" s="101"/>
      <c r="D74" s="100">
        <f>6932.48</f>
        <v>6932.48</v>
      </c>
      <c r="F74" s="32">
        <f t="shared" si="3"/>
        <v>-6932.48</v>
      </c>
    </row>
    <row r="75" spans="1:6" x14ac:dyDescent="0.75">
      <c r="A75" s="109">
        <f t="shared" si="2"/>
        <v>2210</v>
      </c>
      <c r="B75" s="99" t="s">
        <v>744</v>
      </c>
      <c r="C75" s="101"/>
      <c r="D75" s="100">
        <f>678047.42</f>
        <v>678047.42</v>
      </c>
      <c r="F75" s="32">
        <f t="shared" si="3"/>
        <v>-678047.42</v>
      </c>
    </row>
    <row r="76" spans="1:6" x14ac:dyDescent="0.75">
      <c r="A76" s="109">
        <f t="shared" si="2"/>
        <v>2220</v>
      </c>
      <c r="B76" s="99" t="s">
        <v>1041</v>
      </c>
      <c r="C76" s="101"/>
      <c r="D76" s="100">
        <f>2805.55</f>
        <v>2805.55</v>
      </c>
      <c r="F76" s="32">
        <f t="shared" si="3"/>
        <v>-2805.55</v>
      </c>
    </row>
    <row r="77" spans="1:6" x14ac:dyDescent="0.75">
      <c r="A77" s="109">
        <f t="shared" si="2"/>
        <v>2231</v>
      </c>
      <c r="B77" s="99" t="s">
        <v>745</v>
      </c>
      <c r="C77" s="101"/>
      <c r="D77" s="100">
        <f>0</f>
        <v>0</v>
      </c>
      <c r="F77" s="32">
        <f t="shared" si="3"/>
        <v>0</v>
      </c>
    </row>
    <row r="78" spans="1:6" x14ac:dyDescent="0.75">
      <c r="A78" s="109">
        <f t="shared" si="2"/>
        <v>2232</v>
      </c>
      <c r="B78" s="99" t="s">
        <v>746</v>
      </c>
      <c r="C78" s="101"/>
      <c r="D78" s="100">
        <f>0</f>
        <v>0</v>
      </c>
      <c r="F78" s="32">
        <f t="shared" si="3"/>
        <v>0</v>
      </c>
    </row>
    <row r="79" spans="1:6" x14ac:dyDescent="0.75">
      <c r="A79" s="109">
        <f t="shared" si="2"/>
        <v>2233</v>
      </c>
      <c r="B79" s="99" t="s">
        <v>747</v>
      </c>
      <c r="C79" s="101"/>
      <c r="D79" s="100">
        <f>0</f>
        <v>0</v>
      </c>
      <c r="F79" s="32">
        <f t="shared" si="3"/>
        <v>0</v>
      </c>
    </row>
    <row r="80" spans="1:6" x14ac:dyDescent="0.75">
      <c r="A80" s="109">
        <f t="shared" si="2"/>
        <v>2235</v>
      </c>
      <c r="B80" s="99" t="s">
        <v>748</v>
      </c>
      <c r="C80" s="101"/>
      <c r="D80" s="100">
        <f>0</f>
        <v>0</v>
      </c>
      <c r="F80" s="32">
        <f t="shared" si="3"/>
        <v>0</v>
      </c>
    </row>
    <row r="81" spans="1:6" x14ac:dyDescent="0.75">
      <c r="A81" s="109">
        <f t="shared" si="2"/>
        <v>2236</v>
      </c>
      <c r="B81" s="99" t="s">
        <v>749</v>
      </c>
      <c r="C81" s="101"/>
      <c r="D81" s="100">
        <f>0</f>
        <v>0</v>
      </c>
      <c r="F81" s="32">
        <f t="shared" si="3"/>
        <v>0</v>
      </c>
    </row>
    <row r="82" spans="1:6" x14ac:dyDescent="0.75">
      <c r="A82" s="109">
        <f t="shared" si="2"/>
        <v>2250</v>
      </c>
      <c r="B82" s="99" t="s">
        <v>750</v>
      </c>
      <c r="C82" s="101"/>
      <c r="D82" s="100">
        <f>0</f>
        <v>0</v>
      </c>
      <c r="F82" s="32">
        <f t="shared" si="3"/>
        <v>0</v>
      </c>
    </row>
    <row r="83" spans="1:6" x14ac:dyDescent="0.75">
      <c r="A83" s="109">
        <f t="shared" si="2"/>
        <v>2270</v>
      </c>
      <c r="B83" s="99" t="s">
        <v>751</v>
      </c>
      <c r="C83" s="101"/>
      <c r="D83" s="100">
        <f>0</f>
        <v>0</v>
      </c>
      <c r="F83" s="32">
        <f t="shared" si="3"/>
        <v>0</v>
      </c>
    </row>
    <row r="84" spans="1:6" x14ac:dyDescent="0.75">
      <c r="A84" s="109">
        <f t="shared" si="2"/>
        <v>2280</v>
      </c>
      <c r="B84" s="99" t="s">
        <v>752</v>
      </c>
      <c r="C84" s="101"/>
      <c r="D84" s="100">
        <f>0</f>
        <v>0</v>
      </c>
      <c r="F84" s="32">
        <f t="shared" si="3"/>
        <v>0</v>
      </c>
    </row>
    <row r="85" spans="1:6" x14ac:dyDescent="0.75">
      <c r="A85" s="109">
        <f t="shared" si="2"/>
        <v>2285</v>
      </c>
      <c r="B85" s="99" t="s">
        <v>753</v>
      </c>
      <c r="C85" s="101"/>
      <c r="D85" s="100">
        <f>0</f>
        <v>0</v>
      </c>
      <c r="F85" s="32">
        <f t="shared" si="3"/>
        <v>0</v>
      </c>
    </row>
    <row r="86" spans="1:6" x14ac:dyDescent="0.75">
      <c r="A86" s="109">
        <f t="shared" si="2"/>
        <v>2290</v>
      </c>
      <c r="B86" s="99" t="s">
        <v>754</v>
      </c>
      <c r="C86" s="101"/>
      <c r="D86" s="100">
        <f>40000</f>
        <v>40000</v>
      </c>
      <c r="F86" s="32">
        <f t="shared" si="3"/>
        <v>-40000</v>
      </c>
    </row>
    <row r="87" spans="1:6" x14ac:dyDescent="0.75">
      <c r="A87" s="109">
        <f t="shared" si="2"/>
        <v>2305</v>
      </c>
      <c r="B87" s="99" t="s">
        <v>755</v>
      </c>
      <c r="C87" s="101"/>
      <c r="D87" s="100">
        <f>1221957.72</f>
        <v>1221957.72</v>
      </c>
      <c r="F87" s="32">
        <f t="shared" si="3"/>
        <v>-1221957.72</v>
      </c>
    </row>
    <row r="88" spans="1:6" x14ac:dyDescent="0.75">
      <c r="A88" s="109">
        <f t="shared" si="2"/>
        <v>2310</v>
      </c>
      <c r="B88" s="99" t="s">
        <v>756</v>
      </c>
      <c r="C88" s="101"/>
      <c r="D88" s="100">
        <f>35000</f>
        <v>35000</v>
      </c>
      <c r="F88" s="32">
        <f t="shared" si="3"/>
        <v>-35000</v>
      </c>
    </row>
    <row r="89" spans="1:6" x14ac:dyDescent="0.75">
      <c r="A89" s="109">
        <f t="shared" si="2"/>
        <v>2320</v>
      </c>
      <c r="B89" s="99" t="s">
        <v>859</v>
      </c>
      <c r="C89" s="101"/>
      <c r="D89" s="100">
        <f>0</f>
        <v>0</v>
      </c>
      <c r="F89" s="32">
        <f t="shared" si="3"/>
        <v>0</v>
      </c>
    </row>
    <row r="90" spans="1:6" x14ac:dyDescent="0.75">
      <c r="A90" s="109">
        <f t="shared" si="2"/>
        <v>2400</v>
      </c>
      <c r="B90" s="99" t="s">
        <v>757</v>
      </c>
      <c r="C90" s="101"/>
      <c r="D90" s="100">
        <f>123163.32</f>
        <v>123163.32</v>
      </c>
      <c r="F90" s="32">
        <f t="shared" si="3"/>
        <v>-123163.32</v>
      </c>
    </row>
    <row r="91" spans="1:6" x14ac:dyDescent="0.75">
      <c r="A91" s="109">
        <f t="shared" si="2"/>
        <v>2405</v>
      </c>
      <c r="B91" s="99" t="s">
        <v>815</v>
      </c>
      <c r="C91" s="101"/>
      <c r="D91" s="100">
        <f>51246.29</f>
        <v>51246.29</v>
      </c>
      <c r="F91" s="32">
        <f t="shared" si="3"/>
        <v>-51246.29</v>
      </c>
    </row>
    <row r="92" spans="1:6" x14ac:dyDescent="0.75">
      <c r="A92" s="109">
        <f t="shared" si="2"/>
        <v>2410</v>
      </c>
      <c r="B92" s="99" t="s">
        <v>758</v>
      </c>
      <c r="C92" s="101"/>
      <c r="D92" s="100">
        <f>0</f>
        <v>0</v>
      </c>
      <c r="F92" s="32">
        <f t="shared" si="3"/>
        <v>0</v>
      </c>
    </row>
    <row r="93" spans="1:6" x14ac:dyDescent="0.75">
      <c r="A93" s="109">
        <f t="shared" si="2"/>
        <v>2415</v>
      </c>
      <c r="B93" s="99" t="s">
        <v>759</v>
      </c>
      <c r="C93" s="101"/>
      <c r="D93" s="100">
        <f>0</f>
        <v>0</v>
      </c>
      <c r="F93" s="32">
        <f t="shared" si="3"/>
        <v>0</v>
      </c>
    </row>
    <row r="94" spans="1:6" x14ac:dyDescent="0.75">
      <c r="A94" s="109">
        <f t="shared" si="2"/>
        <v>2420</v>
      </c>
      <c r="B94" s="99" t="s">
        <v>760</v>
      </c>
      <c r="C94" s="101"/>
      <c r="D94" s="100">
        <f>0</f>
        <v>0</v>
      </c>
      <c r="F94" s="32">
        <f t="shared" si="3"/>
        <v>0</v>
      </c>
    </row>
    <row r="95" spans="1:6" x14ac:dyDescent="0.75">
      <c r="A95" s="109">
        <f t="shared" si="2"/>
        <v>2425</v>
      </c>
      <c r="B95" s="99" t="s">
        <v>761</v>
      </c>
      <c r="C95" s="101"/>
      <c r="D95" s="100">
        <f>0</f>
        <v>0</v>
      </c>
      <c r="F95" s="32">
        <f t="shared" si="3"/>
        <v>0</v>
      </c>
    </row>
    <row r="96" spans="1:6" x14ac:dyDescent="0.75">
      <c r="A96" s="109">
        <f t="shared" si="2"/>
        <v>2430</v>
      </c>
      <c r="B96" s="99" t="s">
        <v>762</v>
      </c>
      <c r="C96" s="101"/>
      <c r="D96" s="100">
        <f>0</f>
        <v>0</v>
      </c>
      <c r="F96" s="32">
        <f t="shared" si="3"/>
        <v>0</v>
      </c>
    </row>
    <row r="97" spans="1:6" x14ac:dyDescent="0.75">
      <c r="A97" s="109">
        <f t="shared" si="2"/>
        <v>2470</v>
      </c>
      <c r="B97" s="99" t="s">
        <v>958</v>
      </c>
      <c r="C97" s="101"/>
      <c r="D97" s="100">
        <f>56459</f>
        <v>56459</v>
      </c>
      <c r="F97" s="32">
        <f t="shared" si="3"/>
        <v>-56459</v>
      </c>
    </row>
    <row r="98" spans="1:6" x14ac:dyDescent="0.75">
      <c r="A98" s="109">
        <f t="shared" si="2"/>
        <v>2705</v>
      </c>
      <c r="B98" s="99" t="s">
        <v>816</v>
      </c>
      <c r="C98" s="101"/>
      <c r="D98" s="100">
        <f>50000</f>
        <v>50000</v>
      </c>
      <c r="F98" s="32">
        <f t="shared" si="3"/>
        <v>-50000</v>
      </c>
    </row>
    <row r="99" spans="1:6" x14ac:dyDescent="0.75">
      <c r="A99" s="109">
        <f t="shared" si="2"/>
        <v>2710</v>
      </c>
      <c r="B99" s="99" t="s">
        <v>817</v>
      </c>
      <c r="C99" s="101"/>
      <c r="D99" s="100">
        <f>15000</f>
        <v>15000</v>
      </c>
      <c r="F99" s="32">
        <f t="shared" si="3"/>
        <v>-15000</v>
      </c>
    </row>
    <row r="100" spans="1:6" x14ac:dyDescent="0.75">
      <c r="A100" s="109">
        <f t="shared" si="2"/>
        <v>2715</v>
      </c>
      <c r="B100" s="99" t="s">
        <v>818</v>
      </c>
      <c r="C100" s="101"/>
      <c r="D100" s="100">
        <f>25000</f>
        <v>25000</v>
      </c>
      <c r="F100" s="32">
        <f t="shared" si="3"/>
        <v>-25000</v>
      </c>
    </row>
    <row r="101" spans="1:6" x14ac:dyDescent="0.75">
      <c r="A101" s="109">
        <f t="shared" si="2"/>
        <v>2720</v>
      </c>
      <c r="B101" s="99" t="s">
        <v>819</v>
      </c>
      <c r="C101" s="101"/>
      <c r="D101" s="100">
        <f>50000</f>
        <v>50000</v>
      </c>
      <c r="F101" s="32">
        <f t="shared" si="3"/>
        <v>-50000</v>
      </c>
    </row>
    <row r="102" spans="1:6" x14ac:dyDescent="0.75">
      <c r="A102" s="109">
        <f t="shared" si="2"/>
        <v>2725</v>
      </c>
      <c r="B102" s="99" t="s">
        <v>820</v>
      </c>
      <c r="C102" s="101"/>
      <c r="D102" s="100">
        <f>60000</f>
        <v>60000</v>
      </c>
      <c r="F102" s="32">
        <f t="shared" si="3"/>
        <v>-60000</v>
      </c>
    </row>
    <row r="103" spans="1:6" x14ac:dyDescent="0.75">
      <c r="A103" s="109">
        <f t="shared" si="2"/>
        <v>2730</v>
      </c>
      <c r="B103" s="99" t="s">
        <v>821</v>
      </c>
      <c r="C103" s="101"/>
      <c r="D103" s="100">
        <f>108527</f>
        <v>108527</v>
      </c>
      <c r="F103" s="32">
        <f t="shared" si="3"/>
        <v>-108527</v>
      </c>
    </row>
    <row r="104" spans="1:6" x14ac:dyDescent="0.75">
      <c r="A104" s="109">
        <f t="shared" si="2"/>
        <v>2735</v>
      </c>
      <c r="B104" s="99" t="s">
        <v>822</v>
      </c>
      <c r="C104" s="101"/>
      <c r="D104" s="100">
        <f>150000</f>
        <v>150000</v>
      </c>
      <c r="F104" s="32">
        <f t="shared" si="3"/>
        <v>-150000</v>
      </c>
    </row>
    <row r="105" spans="1:6" x14ac:dyDescent="0.75">
      <c r="A105" s="109">
        <f t="shared" si="2"/>
        <v>2740</v>
      </c>
      <c r="B105" s="99" t="s">
        <v>823</v>
      </c>
      <c r="C105" s="101"/>
      <c r="D105" s="100">
        <f>40000</f>
        <v>40000</v>
      </c>
      <c r="F105" s="32">
        <f t="shared" si="3"/>
        <v>-40000</v>
      </c>
    </row>
    <row r="106" spans="1:6" x14ac:dyDescent="0.75">
      <c r="A106" s="109">
        <f t="shared" si="2"/>
        <v>2745</v>
      </c>
      <c r="B106" s="99" t="s">
        <v>940</v>
      </c>
      <c r="C106" s="101"/>
      <c r="D106" s="100">
        <f>136754.29</f>
        <v>136754.29</v>
      </c>
      <c r="F106" s="32">
        <f t="shared" si="3"/>
        <v>-136754.29</v>
      </c>
    </row>
    <row r="107" spans="1:6" x14ac:dyDescent="0.75">
      <c r="A107" s="109">
        <f t="shared" si="2"/>
        <v>2750</v>
      </c>
      <c r="B107" s="99" t="s">
        <v>824</v>
      </c>
      <c r="C107" s="101"/>
      <c r="D107" s="100">
        <f>50000</f>
        <v>50000</v>
      </c>
      <c r="F107" s="32">
        <f t="shared" si="3"/>
        <v>-50000</v>
      </c>
    </row>
    <row r="108" spans="1:6" x14ac:dyDescent="0.75">
      <c r="A108" s="109">
        <f t="shared" si="2"/>
        <v>2755</v>
      </c>
      <c r="B108" s="99" t="s">
        <v>825</v>
      </c>
      <c r="C108" s="101"/>
      <c r="D108" s="100">
        <f>25000</f>
        <v>25000</v>
      </c>
      <c r="F108" s="32">
        <f t="shared" si="3"/>
        <v>-25000</v>
      </c>
    </row>
    <row r="109" spans="1:6" x14ac:dyDescent="0.75">
      <c r="A109" s="109">
        <f t="shared" si="2"/>
        <v>2760</v>
      </c>
      <c r="B109" s="99" t="s">
        <v>826</v>
      </c>
      <c r="C109" s="101"/>
      <c r="D109" s="100">
        <f>170000</f>
        <v>170000</v>
      </c>
      <c r="F109" s="32">
        <f t="shared" si="3"/>
        <v>-170000</v>
      </c>
    </row>
    <row r="110" spans="1:6" x14ac:dyDescent="0.75">
      <c r="A110" s="109">
        <f t="shared" si="2"/>
        <v>2765</v>
      </c>
      <c r="B110" s="99" t="s">
        <v>827</v>
      </c>
      <c r="C110" s="101"/>
      <c r="D110" s="100">
        <f>50000</f>
        <v>50000</v>
      </c>
      <c r="F110" s="32">
        <f t="shared" si="3"/>
        <v>-50000</v>
      </c>
    </row>
    <row r="111" spans="1:6" x14ac:dyDescent="0.75">
      <c r="A111" s="109">
        <f t="shared" si="2"/>
        <v>2770</v>
      </c>
      <c r="B111" s="99" t="s">
        <v>828</v>
      </c>
      <c r="C111" s="101"/>
      <c r="D111" s="100">
        <f>2500</f>
        <v>2500</v>
      </c>
      <c r="F111" s="32">
        <f t="shared" si="3"/>
        <v>-2500</v>
      </c>
    </row>
    <row r="112" spans="1:6" x14ac:dyDescent="0.75">
      <c r="A112" s="109">
        <f t="shared" si="2"/>
        <v>2775</v>
      </c>
      <c r="B112" s="99" t="s">
        <v>829</v>
      </c>
      <c r="C112" s="101"/>
      <c r="D112" s="100">
        <f>50000</f>
        <v>50000</v>
      </c>
      <c r="F112" s="32">
        <f t="shared" si="3"/>
        <v>-50000</v>
      </c>
    </row>
    <row r="113" spans="1:6" x14ac:dyDescent="0.75">
      <c r="A113" s="109">
        <f t="shared" si="2"/>
        <v>2780</v>
      </c>
      <c r="B113" s="99" t="s">
        <v>830</v>
      </c>
      <c r="C113" s="101"/>
      <c r="D113" s="100">
        <f>25000</f>
        <v>25000</v>
      </c>
      <c r="F113" s="32">
        <f t="shared" si="3"/>
        <v>-25000</v>
      </c>
    </row>
    <row r="114" spans="1:6" x14ac:dyDescent="0.75">
      <c r="A114" s="109">
        <f t="shared" si="2"/>
        <v>2785</v>
      </c>
      <c r="B114" s="99" t="s">
        <v>947</v>
      </c>
      <c r="C114" s="101"/>
      <c r="D114" s="100">
        <f>0</f>
        <v>0</v>
      </c>
      <c r="F114" s="32">
        <f t="shared" si="3"/>
        <v>0</v>
      </c>
    </row>
    <row r="115" spans="1:6" x14ac:dyDescent="0.75">
      <c r="A115" s="109">
        <f t="shared" si="2"/>
        <v>2790</v>
      </c>
      <c r="B115" s="99" t="s">
        <v>943</v>
      </c>
      <c r="C115" s="100">
        <f>306906</f>
        <v>306906</v>
      </c>
      <c r="D115" s="101"/>
      <c r="F115" s="32">
        <f t="shared" si="3"/>
        <v>306906</v>
      </c>
    </row>
    <row r="116" spans="1:6" x14ac:dyDescent="0.75">
      <c r="A116" s="109">
        <f t="shared" si="2"/>
        <v>3000</v>
      </c>
      <c r="B116" s="99" t="s">
        <v>307</v>
      </c>
      <c r="C116" s="101"/>
      <c r="D116" s="100">
        <f>46290.14</f>
        <v>46290.14</v>
      </c>
      <c r="F116" s="32">
        <f t="shared" si="3"/>
        <v>-46290.14</v>
      </c>
    </row>
    <row r="117" spans="1:6" x14ac:dyDescent="0.75">
      <c r="A117" s="109">
        <f t="shared" si="2"/>
        <v>3050</v>
      </c>
      <c r="B117" s="99" t="s">
        <v>964</v>
      </c>
      <c r="C117" s="101"/>
      <c r="D117" s="100">
        <f>125013</f>
        <v>125013</v>
      </c>
      <c r="F117" s="32">
        <f t="shared" si="3"/>
        <v>-125013</v>
      </c>
    </row>
    <row r="118" spans="1:6" x14ac:dyDescent="0.75">
      <c r="A118" s="109">
        <f t="shared" si="2"/>
        <v>3100</v>
      </c>
      <c r="B118" s="99" t="s">
        <v>308</v>
      </c>
      <c r="C118" s="101"/>
      <c r="D118" s="100">
        <f>7871075.56</f>
        <v>7871075.5599999996</v>
      </c>
      <c r="F118" s="32">
        <f t="shared" si="3"/>
        <v>-7871075.5599999996</v>
      </c>
    </row>
    <row r="119" spans="1:6" x14ac:dyDescent="0.75">
      <c r="A119" s="109">
        <f t="shared" si="2"/>
        <v>3200</v>
      </c>
      <c r="B119" s="99" t="s">
        <v>309</v>
      </c>
      <c r="C119" s="101"/>
      <c r="D119" s="100">
        <f>0</f>
        <v>0</v>
      </c>
      <c r="F119" s="32">
        <f t="shared" si="3"/>
        <v>0</v>
      </c>
    </row>
    <row r="120" spans="1:6" x14ac:dyDescent="0.75">
      <c r="A120" s="109">
        <f t="shared" si="2"/>
        <v>3300</v>
      </c>
      <c r="B120" s="99" t="s">
        <v>763</v>
      </c>
      <c r="C120" s="101"/>
      <c r="D120" s="100">
        <f>0</f>
        <v>0</v>
      </c>
      <c r="F120" s="32">
        <f t="shared" si="3"/>
        <v>0</v>
      </c>
    </row>
    <row r="121" spans="1:6" x14ac:dyDescent="0.75">
      <c r="A121" s="109">
        <f t="shared" si="2"/>
        <v>3400</v>
      </c>
      <c r="B121" s="99" t="s">
        <v>764</v>
      </c>
      <c r="C121" s="101"/>
      <c r="D121" s="100">
        <f>0</f>
        <v>0</v>
      </c>
      <c r="F121" s="32">
        <f t="shared" si="3"/>
        <v>0</v>
      </c>
    </row>
    <row r="122" spans="1:6" x14ac:dyDescent="0.75">
      <c r="A122" s="109">
        <f t="shared" si="2"/>
        <v>3500</v>
      </c>
      <c r="B122" s="99" t="s">
        <v>306</v>
      </c>
      <c r="C122" s="101"/>
      <c r="D122" s="100">
        <f>0</f>
        <v>0</v>
      </c>
      <c r="F122" s="32">
        <f t="shared" si="3"/>
        <v>0</v>
      </c>
    </row>
    <row r="123" spans="1:6" x14ac:dyDescent="0.75">
      <c r="A123" s="109">
        <f t="shared" si="2"/>
        <v>3600</v>
      </c>
      <c r="B123" s="99" t="s">
        <v>938</v>
      </c>
      <c r="C123" s="100">
        <f>84000</f>
        <v>84000</v>
      </c>
      <c r="D123" s="101"/>
      <c r="F123" s="32">
        <f t="shared" si="3"/>
        <v>84000</v>
      </c>
    </row>
    <row r="124" spans="1:6" x14ac:dyDescent="0.75">
      <c r="A124" s="109">
        <f t="shared" si="2"/>
        <v>3800</v>
      </c>
      <c r="B124" s="99" t="s">
        <v>765</v>
      </c>
      <c r="C124" s="101"/>
      <c r="D124" s="100">
        <f>0</f>
        <v>0</v>
      </c>
      <c r="F124" s="32">
        <f t="shared" si="3"/>
        <v>0</v>
      </c>
    </row>
    <row r="125" spans="1:6" x14ac:dyDescent="0.75">
      <c r="A125" s="109">
        <f t="shared" si="2"/>
        <v>3900</v>
      </c>
      <c r="B125" s="99" t="s">
        <v>311</v>
      </c>
      <c r="C125" s="100">
        <f>9754286.07</f>
        <v>9754286.0700000003</v>
      </c>
      <c r="D125" s="101"/>
      <c r="F125" s="32">
        <f t="shared" si="3"/>
        <v>9754286.0700000003</v>
      </c>
    </row>
    <row r="126" spans="1:6" x14ac:dyDescent="0.75">
      <c r="A126" s="109">
        <f t="shared" si="2"/>
        <v>4100</v>
      </c>
      <c r="B126" s="99" t="s">
        <v>313</v>
      </c>
      <c r="C126" s="101"/>
      <c r="D126" s="100">
        <f>220688.5</f>
        <v>220688.5</v>
      </c>
      <c r="F126" s="32">
        <f t="shared" si="3"/>
        <v>-220688.5</v>
      </c>
    </row>
    <row r="127" spans="1:6" x14ac:dyDescent="0.75">
      <c r="A127" s="109">
        <f t="shared" si="2"/>
        <v>4500</v>
      </c>
      <c r="B127" s="99" t="s">
        <v>766</v>
      </c>
      <c r="C127" s="101"/>
      <c r="D127" s="100">
        <f>5232.91</f>
        <v>5232.91</v>
      </c>
      <c r="F127" s="32">
        <f t="shared" si="3"/>
        <v>-5232.91</v>
      </c>
    </row>
    <row r="128" spans="1:6" x14ac:dyDescent="0.75">
      <c r="A128" s="109">
        <f t="shared" si="2"/>
        <v>5010</v>
      </c>
      <c r="B128" s="99" t="s">
        <v>833</v>
      </c>
      <c r="C128" s="100">
        <f>7773</f>
        <v>7773</v>
      </c>
      <c r="D128" s="101"/>
      <c r="F128" s="32">
        <f t="shared" si="3"/>
        <v>7773</v>
      </c>
    </row>
    <row r="129" spans="1:6" x14ac:dyDescent="0.75">
      <c r="A129" s="109">
        <f t="shared" si="2"/>
        <v>5020</v>
      </c>
      <c r="B129" s="99" t="s">
        <v>796</v>
      </c>
      <c r="C129" s="100">
        <f>25000</f>
        <v>25000</v>
      </c>
      <c r="D129" s="101"/>
      <c r="F129" s="32">
        <f t="shared" si="3"/>
        <v>25000</v>
      </c>
    </row>
    <row r="130" spans="1:6" x14ac:dyDescent="0.75">
      <c r="A130" s="109">
        <f t="shared" si="2"/>
        <v>5030</v>
      </c>
      <c r="B130" s="99" t="s">
        <v>860</v>
      </c>
      <c r="C130" s="100">
        <f>7533.6</f>
        <v>7533.6</v>
      </c>
      <c r="D130" s="101"/>
      <c r="F130" s="32">
        <f t="shared" si="3"/>
        <v>7533.6</v>
      </c>
    </row>
    <row r="131" spans="1:6" x14ac:dyDescent="0.75">
      <c r="A131" s="109">
        <f t="shared" si="2"/>
        <v>5050</v>
      </c>
      <c r="B131" s="99" t="s">
        <v>797</v>
      </c>
      <c r="C131" s="100">
        <f>15155.54</f>
        <v>15155.54</v>
      </c>
      <c r="D131" s="101"/>
      <c r="F131" s="32">
        <f t="shared" si="3"/>
        <v>15155.54</v>
      </c>
    </row>
    <row r="132" spans="1:6" x14ac:dyDescent="0.75">
      <c r="A132" s="109">
        <f t="shared" si="2"/>
        <v>6010</v>
      </c>
      <c r="B132" s="99" t="s">
        <v>798</v>
      </c>
      <c r="C132" s="100">
        <f>0</f>
        <v>0</v>
      </c>
      <c r="D132" s="101"/>
      <c r="F132" s="32">
        <f t="shared" si="3"/>
        <v>0</v>
      </c>
    </row>
    <row r="133" spans="1:6" x14ac:dyDescent="0.75">
      <c r="A133" s="109">
        <f t="shared" si="2"/>
        <v>6025</v>
      </c>
      <c r="B133" s="99" t="s">
        <v>767</v>
      </c>
      <c r="C133" s="100">
        <f>158</f>
        <v>158</v>
      </c>
      <c r="D133" s="101"/>
      <c r="F133" s="32">
        <f t="shared" si="3"/>
        <v>158</v>
      </c>
    </row>
    <row r="134" spans="1:6" x14ac:dyDescent="0.75">
      <c r="A134" s="109">
        <f t="shared" ref="A134:A166" si="4">VALUE(LEFT(B134,4))</f>
        <v>6030</v>
      </c>
      <c r="B134" s="99" t="s">
        <v>768</v>
      </c>
      <c r="C134" s="100">
        <f>542.45</f>
        <v>542.45000000000005</v>
      </c>
      <c r="D134" s="101"/>
      <c r="F134" s="32">
        <f t="shared" si="3"/>
        <v>542.45000000000005</v>
      </c>
    </row>
    <row r="135" spans="1:6" x14ac:dyDescent="0.75">
      <c r="A135" s="109">
        <f t="shared" si="4"/>
        <v>6075</v>
      </c>
      <c r="B135" s="99" t="s">
        <v>803</v>
      </c>
      <c r="C135" s="100">
        <f>17074.86</f>
        <v>17074.86</v>
      </c>
      <c r="D135" s="101"/>
      <c r="F135" s="32">
        <f t="shared" ref="F135:F167" si="5">C135-D135</f>
        <v>17074.86</v>
      </c>
    </row>
    <row r="136" spans="1:6" x14ac:dyDescent="0.75">
      <c r="A136" s="109">
        <f t="shared" si="4"/>
        <v>6085</v>
      </c>
      <c r="B136" s="99" t="s">
        <v>769</v>
      </c>
      <c r="C136" s="100">
        <f>582</f>
        <v>582</v>
      </c>
      <c r="D136" s="101"/>
      <c r="F136" s="32">
        <f t="shared" si="5"/>
        <v>582</v>
      </c>
    </row>
    <row r="137" spans="1:6" x14ac:dyDescent="0.75">
      <c r="A137" s="109">
        <f t="shared" si="4"/>
        <v>6100</v>
      </c>
      <c r="B137" s="99" t="s">
        <v>804</v>
      </c>
      <c r="C137" s="100">
        <f>312.89</f>
        <v>312.89</v>
      </c>
      <c r="D137" s="101"/>
      <c r="F137" s="32">
        <f t="shared" si="5"/>
        <v>312.89</v>
      </c>
    </row>
    <row r="138" spans="1:6" x14ac:dyDescent="0.75">
      <c r="A138" s="109">
        <f t="shared" si="4"/>
        <v>6105</v>
      </c>
      <c r="B138" s="99" t="s">
        <v>838</v>
      </c>
      <c r="C138" s="100">
        <f>1634.95</f>
        <v>1634.95</v>
      </c>
      <c r="D138" s="101"/>
      <c r="F138" s="32">
        <f t="shared" si="5"/>
        <v>1634.95</v>
      </c>
    </row>
    <row r="139" spans="1:6" x14ac:dyDescent="0.75">
      <c r="A139" s="109">
        <f t="shared" si="4"/>
        <v>6115</v>
      </c>
      <c r="B139" s="99" t="s">
        <v>839</v>
      </c>
      <c r="C139" s="100">
        <f>0</f>
        <v>0</v>
      </c>
      <c r="D139" s="101"/>
      <c r="F139" s="32">
        <f t="shared" si="5"/>
        <v>0</v>
      </c>
    </row>
    <row r="140" spans="1:6" x14ac:dyDescent="0.75">
      <c r="A140" s="109">
        <f t="shared" si="4"/>
        <v>6120</v>
      </c>
      <c r="B140" s="99" t="s">
        <v>770</v>
      </c>
      <c r="C140" s="100">
        <f>1098.92</f>
        <v>1098.92</v>
      </c>
      <c r="D140" s="101"/>
      <c r="F140" s="32">
        <f t="shared" si="5"/>
        <v>1098.92</v>
      </c>
    </row>
    <row r="141" spans="1:6" x14ac:dyDescent="0.75">
      <c r="A141" s="109">
        <f t="shared" si="4"/>
        <v>6135</v>
      </c>
      <c r="B141" s="99" t="s">
        <v>853</v>
      </c>
      <c r="C141" s="100">
        <f>4632.78</f>
        <v>4632.78</v>
      </c>
      <c r="D141" s="101"/>
      <c r="F141" s="32">
        <f t="shared" si="5"/>
        <v>4632.78</v>
      </c>
    </row>
    <row r="142" spans="1:6" x14ac:dyDescent="0.75">
      <c r="A142" s="109">
        <f t="shared" si="4"/>
        <v>6150</v>
      </c>
      <c r="B142" s="99" t="s">
        <v>771</v>
      </c>
      <c r="C142" s="100">
        <f>4055</f>
        <v>4055</v>
      </c>
      <c r="D142" s="101"/>
      <c r="F142" s="32">
        <f t="shared" si="5"/>
        <v>4055</v>
      </c>
    </row>
    <row r="143" spans="1:6" x14ac:dyDescent="0.75">
      <c r="A143" s="109">
        <f t="shared" si="4"/>
        <v>6155</v>
      </c>
      <c r="B143" s="99" t="s">
        <v>772</v>
      </c>
      <c r="C143" s="100">
        <f>4228.15</f>
        <v>4228.1499999999996</v>
      </c>
      <c r="D143" s="101"/>
      <c r="F143" s="32">
        <f t="shared" si="5"/>
        <v>4228.1499999999996</v>
      </c>
    </row>
    <row r="144" spans="1:6" x14ac:dyDescent="0.75">
      <c r="A144" s="109">
        <f t="shared" si="4"/>
        <v>6210</v>
      </c>
      <c r="B144" s="99" t="s">
        <v>773</v>
      </c>
      <c r="C144" s="100">
        <f>16</f>
        <v>16</v>
      </c>
      <c r="D144" s="101"/>
      <c r="F144" s="32">
        <f t="shared" si="5"/>
        <v>16</v>
      </c>
    </row>
    <row r="145" spans="1:6" x14ac:dyDescent="0.75">
      <c r="A145" s="109">
        <f t="shared" si="4"/>
        <v>6220</v>
      </c>
      <c r="B145" s="99" t="s">
        <v>775</v>
      </c>
      <c r="C145" s="100">
        <f>1090.89</f>
        <v>1090.8900000000001</v>
      </c>
      <c r="D145" s="101"/>
      <c r="F145" s="32">
        <f t="shared" si="5"/>
        <v>1090.8900000000001</v>
      </c>
    </row>
    <row r="146" spans="1:6" x14ac:dyDescent="0.75">
      <c r="A146" s="109">
        <f t="shared" si="4"/>
        <v>6245</v>
      </c>
      <c r="B146" s="99" t="s">
        <v>776</v>
      </c>
      <c r="C146" s="100">
        <f>155.29</f>
        <v>155.29</v>
      </c>
      <c r="D146" s="101"/>
      <c r="F146" s="32">
        <f t="shared" si="5"/>
        <v>155.29</v>
      </c>
    </row>
    <row r="147" spans="1:6" x14ac:dyDescent="0.75">
      <c r="A147" s="109">
        <f t="shared" si="4"/>
        <v>6270</v>
      </c>
      <c r="B147" s="99" t="s">
        <v>778</v>
      </c>
      <c r="C147" s="100">
        <f>38360</f>
        <v>38360</v>
      </c>
      <c r="D147" s="101"/>
      <c r="F147" s="32">
        <f t="shared" si="5"/>
        <v>38360</v>
      </c>
    </row>
    <row r="148" spans="1:6" x14ac:dyDescent="0.75">
      <c r="A148" s="109">
        <f t="shared" si="4"/>
        <v>6275</v>
      </c>
      <c r="B148" s="99" t="s">
        <v>790</v>
      </c>
      <c r="C148" s="100">
        <f>48518.46</f>
        <v>48518.46</v>
      </c>
      <c r="D148" s="101"/>
      <c r="F148" s="32">
        <f t="shared" si="5"/>
        <v>48518.46</v>
      </c>
    </row>
    <row r="149" spans="1:6" x14ac:dyDescent="0.75">
      <c r="A149" s="109">
        <f t="shared" si="4"/>
        <v>6280</v>
      </c>
      <c r="B149" s="99" t="s">
        <v>779</v>
      </c>
      <c r="C149" s="100">
        <f>12640</f>
        <v>12640</v>
      </c>
      <c r="D149" s="101"/>
      <c r="F149" s="32">
        <f t="shared" si="5"/>
        <v>12640</v>
      </c>
    </row>
    <row r="150" spans="1:6" x14ac:dyDescent="0.75">
      <c r="A150" s="109">
        <f t="shared" si="4"/>
        <v>6300</v>
      </c>
      <c r="B150" s="99" t="s">
        <v>840</v>
      </c>
      <c r="C150" s="100">
        <f>545.06</f>
        <v>545.05999999999995</v>
      </c>
      <c r="D150" s="101"/>
      <c r="F150" s="32">
        <f t="shared" si="5"/>
        <v>545.05999999999995</v>
      </c>
    </row>
    <row r="151" spans="1:6" x14ac:dyDescent="0.75">
      <c r="A151" s="109">
        <f t="shared" si="4"/>
        <v>6315</v>
      </c>
      <c r="B151" s="99" t="s">
        <v>791</v>
      </c>
      <c r="C151" s="100">
        <f>7480.29</f>
        <v>7480.29</v>
      </c>
      <c r="D151" s="101"/>
      <c r="F151" s="32">
        <f t="shared" si="5"/>
        <v>7480.29</v>
      </c>
    </row>
    <row r="152" spans="1:6" x14ac:dyDescent="0.75">
      <c r="A152" s="109">
        <f t="shared" si="4"/>
        <v>6350</v>
      </c>
      <c r="B152" s="99" t="s">
        <v>780</v>
      </c>
      <c r="C152" s="100">
        <f>552.63</f>
        <v>552.63</v>
      </c>
      <c r="D152" s="101"/>
      <c r="F152" s="32">
        <f t="shared" si="5"/>
        <v>552.63</v>
      </c>
    </row>
    <row r="153" spans="1:6" x14ac:dyDescent="0.75">
      <c r="A153" s="109">
        <f t="shared" si="4"/>
        <v>6400</v>
      </c>
      <c r="B153" s="99" t="s">
        <v>781</v>
      </c>
      <c r="C153" s="100">
        <f>31092</f>
        <v>31092</v>
      </c>
      <c r="D153" s="101"/>
      <c r="F153" s="32">
        <f t="shared" si="5"/>
        <v>31092</v>
      </c>
    </row>
    <row r="154" spans="1:6" x14ac:dyDescent="0.75">
      <c r="A154" s="109">
        <f t="shared" si="4"/>
        <v>6420</v>
      </c>
      <c r="B154" s="99" t="s">
        <v>965</v>
      </c>
      <c r="C154" s="101"/>
      <c r="D154" s="100">
        <f>7773</f>
        <v>7773</v>
      </c>
      <c r="F154" s="32">
        <f t="shared" si="5"/>
        <v>-7773</v>
      </c>
    </row>
    <row r="155" spans="1:6" x14ac:dyDescent="0.75">
      <c r="A155" s="109">
        <f t="shared" si="4"/>
        <v>6430</v>
      </c>
      <c r="B155" s="99" t="s">
        <v>782</v>
      </c>
      <c r="C155" s="100">
        <f>38000.73</f>
        <v>38000.730000000003</v>
      </c>
      <c r="D155" s="101"/>
      <c r="F155" s="32">
        <f t="shared" si="5"/>
        <v>38000.730000000003</v>
      </c>
    </row>
    <row r="156" spans="1:6" x14ac:dyDescent="0.75">
      <c r="A156" s="109">
        <f t="shared" si="4"/>
        <v>6435</v>
      </c>
      <c r="B156" s="99" t="s">
        <v>783</v>
      </c>
      <c r="C156" s="100">
        <f>1788</f>
        <v>1788</v>
      </c>
      <c r="D156" s="101"/>
      <c r="F156" s="32">
        <f t="shared" si="5"/>
        <v>1788</v>
      </c>
    </row>
    <row r="157" spans="1:6" x14ac:dyDescent="0.75">
      <c r="A157" s="109">
        <f t="shared" si="4"/>
        <v>6440</v>
      </c>
      <c r="B157" s="99" t="s">
        <v>948</v>
      </c>
      <c r="C157" s="100">
        <f>138868.1</f>
        <v>138868.1</v>
      </c>
      <c r="D157" s="101"/>
      <c r="F157" s="32">
        <f t="shared" si="5"/>
        <v>138868.1</v>
      </c>
    </row>
    <row r="158" spans="1:6" x14ac:dyDescent="0.75">
      <c r="A158" s="109">
        <f t="shared" si="4"/>
        <v>6445</v>
      </c>
      <c r="B158" s="99" t="s">
        <v>784</v>
      </c>
      <c r="C158" s="100">
        <f>8527.52</f>
        <v>8527.52</v>
      </c>
      <c r="D158" s="101"/>
      <c r="F158" s="32">
        <f t="shared" si="5"/>
        <v>8527.52</v>
      </c>
    </row>
    <row r="159" spans="1:6" x14ac:dyDescent="0.75">
      <c r="A159" s="109">
        <f t="shared" si="4"/>
        <v>6510</v>
      </c>
      <c r="B159" s="99" t="s">
        <v>785</v>
      </c>
      <c r="C159" s="100">
        <f>3809.85</f>
        <v>3809.85</v>
      </c>
      <c r="D159" s="101"/>
      <c r="F159" s="32">
        <f t="shared" si="5"/>
        <v>3809.85</v>
      </c>
    </row>
    <row r="160" spans="1:6" x14ac:dyDescent="0.75">
      <c r="A160" s="109">
        <f t="shared" si="4"/>
        <v>6550</v>
      </c>
      <c r="B160" s="99" t="s">
        <v>786</v>
      </c>
      <c r="C160" s="100">
        <f>4149.88</f>
        <v>4149.88</v>
      </c>
      <c r="D160" s="101"/>
      <c r="F160" s="32">
        <f t="shared" si="5"/>
        <v>4149.88</v>
      </c>
    </row>
    <row r="161" spans="1:6" x14ac:dyDescent="0.75">
      <c r="A161" s="109">
        <f t="shared" si="4"/>
        <v>6555</v>
      </c>
      <c r="B161" s="99" t="s">
        <v>857</v>
      </c>
      <c r="C161" s="100">
        <f>1783.04</f>
        <v>1783.04</v>
      </c>
      <c r="D161" s="101"/>
      <c r="F161" s="32">
        <f t="shared" si="5"/>
        <v>1783.04</v>
      </c>
    </row>
    <row r="162" spans="1:6" x14ac:dyDescent="0.75">
      <c r="A162" s="109">
        <f t="shared" si="4"/>
        <v>7510</v>
      </c>
      <c r="B162" s="99" t="s">
        <v>787</v>
      </c>
      <c r="C162" s="100">
        <f>1590.11</f>
        <v>1590.11</v>
      </c>
      <c r="D162" s="101"/>
      <c r="F162" s="32">
        <f t="shared" si="5"/>
        <v>1590.11</v>
      </c>
    </row>
    <row r="163" spans="1:6" x14ac:dyDescent="0.75">
      <c r="A163" s="109">
        <f t="shared" si="4"/>
        <v>7520</v>
      </c>
      <c r="B163" s="99" t="s">
        <v>805</v>
      </c>
      <c r="C163" s="100">
        <f>3823.43</f>
        <v>3823.43</v>
      </c>
      <c r="D163" s="101"/>
      <c r="F163" s="32">
        <f t="shared" si="5"/>
        <v>3823.43</v>
      </c>
    </row>
    <row r="164" spans="1:6" x14ac:dyDescent="0.75">
      <c r="A164" s="109">
        <f t="shared" si="4"/>
        <v>7530</v>
      </c>
      <c r="B164" s="99" t="s">
        <v>788</v>
      </c>
      <c r="C164" s="100">
        <f>9345.22</f>
        <v>9345.2199999999993</v>
      </c>
      <c r="D164" s="101"/>
      <c r="F164" s="32">
        <f t="shared" si="5"/>
        <v>9345.2199999999993</v>
      </c>
    </row>
    <row r="165" spans="1:6" x14ac:dyDescent="0.75">
      <c r="A165" s="109">
        <f t="shared" si="4"/>
        <v>7540</v>
      </c>
      <c r="B165" s="99" t="s">
        <v>846</v>
      </c>
      <c r="C165" s="100">
        <f>21954.64</f>
        <v>21954.639999999999</v>
      </c>
      <c r="D165" s="101"/>
      <c r="F165" s="32">
        <f t="shared" si="5"/>
        <v>21954.639999999999</v>
      </c>
    </row>
    <row r="166" spans="1:6" x14ac:dyDescent="0.75">
      <c r="A166" s="109">
        <f t="shared" si="4"/>
        <v>7590</v>
      </c>
      <c r="B166" s="99" t="s">
        <v>944</v>
      </c>
      <c r="C166" s="100">
        <f>37933</f>
        <v>37933</v>
      </c>
      <c r="D166" s="101"/>
      <c r="F166" s="32">
        <f t="shared" si="5"/>
        <v>37933</v>
      </c>
    </row>
    <row r="167" spans="1:6" x14ac:dyDescent="0.75">
      <c r="A167" s="109">
        <f>VALUE(LEFT(B167,4))</f>
        <v>7100</v>
      </c>
      <c r="B167" s="99" t="s">
        <v>375</v>
      </c>
      <c r="C167" s="101"/>
      <c r="D167" s="100">
        <f>37.45</f>
        <v>37.450000000000003</v>
      </c>
      <c r="F167" s="32">
        <f t="shared" si="5"/>
        <v>-37.450000000000003</v>
      </c>
    </row>
    <row r="168" spans="1:6" x14ac:dyDescent="0.75">
      <c r="B168" s="99" t="s">
        <v>2</v>
      </c>
      <c r="C168" s="102">
        <f t="shared" ref="C168:D168" si="6">SUM(C6:C167)</f>
        <v>11884876.809999997</v>
      </c>
      <c r="D168" s="102">
        <f t="shared" si="6"/>
        <v>11884876.809999999</v>
      </c>
      <c r="F168" s="32">
        <f>SUM(F6:F167)</f>
        <v>1.2805401183868526E-10</v>
      </c>
    </row>
    <row r="169" spans="1:6" x14ac:dyDescent="0.75">
      <c r="B169" s="99"/>
      <c r="C169" s="101"/>
      <c r="D169" s="101"/>
    </row>
    <row r="172" spans="1:6" x14ac:dyDescent="0.75">
      <c r="B172" s="202" t="s">
        <v>1056</v>
      </c>
      <c r="C172" s="197"/>
      <c r="D172" s="197"/>
    </row>
  </sheetData>
  <mergeCells count="4">
    <mergeCell ref="B1:D1"/>
    <mergeCell ref="B2:D2"/>
    <mergeCell ref="B3:D3"/>
    <mergeCell ref="B172:D172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52225" r:id="rId4" name="FILT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52225" r:id="rId4" name="FILTER"/>
      </mc:Fallback>
    </mc:AlternateContent>
    <mc:AlternateContent xmlns:mc="http://schemas.openxmlformats.org/markup-compatibility/2006">
      <mc:Choice Requires="x14">
        <control shapeId="52226" r:id="rId6" name="HEAD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52226" r:id="rId6" name="HEADER"/>
      </mc:Fallback>
    </mc:AlternateContent>
  </control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B26A-A81C-4D4A-B6C0-CA4FC3371A51}">
  <sheetPr codeName="Sheet13">
    <tabColor theme="7" tint="0.59999389629810485"/>
  </sheetPr>
  <dimension ref="A1:F178"/>
  <sheetViews>
    <sheetView zoomScaleNormal="100" workbookViewId="0">
      <pane xSplit="2" ySplit="5" topLeftCell="C6" activePane="bottomRight" state="frozenSplit"/>
      <selection pane="topRight" activeCell="C1" sqref="C1"/>
      <selection pane="bottomLeft" activeCell="A3" sqref="A3"/>
      <selection pane="bottomRight" activeCell="I29" sqref="I29"/>
    </sheetView>
  </sheetViews>
  <sheetFormatPr defaultColWidth="9.1328125" defaultRowHeight="14.75" x14ac:dyDescent="0.75"/>
  <cols>
    <col min="1" max="1" width="9.1328125" style="109"/>
    <col min="2" max="2" width="52.40625" style="109" customWidth="1"/>
    <col min="3" max="4" width="13.7265625" style="109" customWidth="1"/>
    <col min="5" max="5" width="9.1328125" style="109"/>
    <col min="6" max="6" width="18.1328125" style="32" customWidth="1"/>
    <col min="7" max="16384" width="9.1328125" style="109"/>
  </cols>
  <sheetData>
    <row r="1" spans="1:6" ht="18" x14ac:dyDescent="0.8">
      <c r="B1" s="200" t="s">
        <v>696</v>
      </c>
      <c r="C1" s="197"/>
      <c r="D1" s="197"/>
    </row>
    <row r="2" spans="1:6" ht="18" x14ac:dyDescent="0.8">
      <c r="B2" s="200" t="s">
        <v>697</v>
      </c>
      <c r="C2" s="197"/>
      <c r="D2" s="197"/>
    </row>
    <row r="3" spans="1:6" x14ac:dyDescent="0.75">
      <c r="B3" s="201" t="s">
        <v>966</v>
      </c>
      <c r="C3" s="197"/>
      <c r="D3" s="197"/>
    </row>
    <row r="5" spans="1:6" x14ac:dyDescent="0.75">
      <c r="B5" s="52"/>
      <c r="C5" s="98" t="s">
        <v>0</v>
      </c>
      <c r="D5" s="98" t="s">
        <v>1</v>
      </c>
      <c r="F5" s="98" t="s">
        <v>170</v>
      </c>
    </row>
    <row r="6" spans="1:6" x14ac:dyDescent="0.75">
      <c r="A6" s="109">
        <f t="shared" ref="A6:A69" si="0">VALUE(LEFT(B6,4))</f>
        <v>1005</v>
      </c>
      <c r="B6" s="99" t="s">
        <v>698</v>
      </c>
      <c r="C6" s="100">
        <f>0</f>
        <v>0</v>
      </c>
      <c r="D6" s="101"/>
      <c r="F6" s="32">
        <f>C6-D6</f>
        <v>0</v>
      </c>
    </row>
    <row r="7" spans="1:6" x14ac:dyDescent="0.75">
      <c r="A7" s="109">
        <f t="shared" si="0"/>
        <v>1010</v>
      </c>
      <c r="B7" s="99" t="s">
        <v>193</v>
      </c>
      <c r="C7" s="100">
        <f>25413.97</f>
        <v>25413.97</v>
      </c>
      <c r="D7" s="101"/>
      <c r="F7" s="32">
        <f t="shared" ref="F7:F70" si="1">C7-D7</f>
        <v>25413.97</v>
      </c>
    </row>
    <row r="8" spans="1:6" x14ac:dyDescent="0.75">
      <c r="A8" s="109">
        <f t="shared" si="0"/>
        <v>1020</v>
      </c>
      <c r="B8" s="99" t="s">
        <v>194</v>
      </c>
      <c r="C8" s="100">
        <f>290723.23</f>
        <v>290723.23</v>
      </c>
      <c r="D8" s="101"/>
      <c r="F8" s="32">
        <f t="shared" si="1"/>
        <v>290723.23</v>
      </c>
    </row>
    <row r="9" spans="1:6" x14ac:dyDescent="0.75">
      <c r="A9" s="109">
        <f t="shared" si="0"/>
        <v>1200</v>
      </c>
      <c r="B9" s="99" t="s">
        <v>699</v>
      </c>
      <c r="C9" s="100">
        <f>234145.53</f>
        <v>234145.53</v>
      </c>
      <c r="D9" s="101"/>
      <c r="F9" s="32">
        <f t="shared" si="1"/>
        <v>234145.53</v>
      </c>
    </row>
    <row r="10" spans="1:6" x14ac:dyDescent="0.75">
      <c r="A10" s="109">
        <f t="shared" si="0"/>
        <v>1210</v>
      </c>
      <c r="B10" s="99" t="s">
        <v>700</v>
      </c>
      <c r="C10" s="100">
        <f>0</f>
        <v>0</v>
      </c>
      <c r="D10" s="101"/>
      <c r="F10" s="32">
        <f t="shared" si="1"/>
        <v>0</v>
      </c>
    </row>
    <row r="11" spans="1:6" x14ac:dyDescent="0.75">
      <c r="A11" s="109">
        <f t="shared" si="0"/>
        <v>1250</v>
      </c>
      <c r="B11" s="99" t="s">
        <v>701</v>
      </c>
      <c r="C11" s="100">
        <f>0</f>
        <v>0</v>
      </c>
      <c r="D11" s="101"/>
      <c r="F11" s="32">
        <f t="shared" si="1"/>
        <v>0</v>
      </c>
    </row>
    <row r="12" spans="1:6" x14ac:dyDescent="0.75">
      <c r="A12" s="109">
        <f t="shared" si="0"/>
        <v>1280</v>
      </c>
      <c r="B12" s="99" t="s">
        <v>702</v>
      </c>
      <c r="C12" s="100">
        <f>0</f>
        <v>0</v>
      </c>
      <c r="D12" s="101"/>
      <c r="F12" s="32">
        <f t="shared" si="1"/>
        <v>0</v>
      </c>
    </row>
    <row r="13" spans="1:6" x14ac:dyDescent="0.75">
      <c r="A13" s="109">
        <f t="shared" si="0"/>
        <v>1290</v>
      </c>
      <c r="B13" s="99" t="s">
        <v>703</v>
      </c>
      <c r="C13" s="100">
        <f>0</f>
        <v>0</v>
      </c>
      <c r="D13" s="101"/>
      <c r="F13" s="32">
        <f t="shared" si="1"/>
        <v>0</v>
      </c>
    </row>
    <row r="14" spans="1:6" x14ac:dyDescent="0.75">
      <c r="A14" s="109">
        <f t="shared" si="0"/>
        <v>1310</v>
      </c>
      <c r="B14" s="99" t="s">
        <v>200</v>
      </c>
      <c r="C14" s="100">
        <f>57496.82</f>
        <v>57496.82</v>
      </c>
      <c r="D14" s="101"/>
      <c r="F14" s="32">
        <f t="shared" si="1"/>
        <v>57496.82</v>
      </c>
    </row>
    <row r="15" spans="1:6" x14ac:dyDescent="0.75">
      <c r="A15" s="109">
        <f t="shared" si="0"/>
        <v>1320</v>
      </c>
      <c r="B15" s="99" t="s">
        <v>201</v>
      </c>
      <c r="C15" s="100">
        <f>0</f>
        <v>0</v>
      </c>
      <c r="D15" s="101"/>
      <c r="F15" s="32">
        <f t="shared" si="1"/>
        <v>0</v>
      </c>
    </row>
    <row r="16" spans="1:6" x14ac:dyDescent="0.75">
      <c r="A16" s="109">
        <f t="shared" si="0"/>
        <v>1330</v>
      </c>
      <c r="B16" s="99" t="s">
        <v>704</v>
      </c>
      <c r="C16" s="100">
        <f>0</f>
        <v>0</v>
      </c>
      <c r="D16" s="101"/>
      <c r="F16" s="32">
        <f t="shared" si="1"/>
        <v>0</v>
      </c>
    </row>
    <row r="17" spans="1:6" x14ac:dyDescent="0.75">
      <c r="A17" s="109">
        <f t="shared" si="0"/>
        <v>1340</v>
      </c>
      <c r="B17" s="99" t="s">
        <v>705</v>
      </c>
      <c r="C17" s="100">
        <f>11380.4</f>
        <v>11380.4</v>
      </c>
      <c r="D17" s="101"/>
      <c r="F17" s="32">
        <f t="shared" si="1"/>
        <v>11380.4</v>
      </c>
    </row>
    <row r="18" spans="1:6" x14ac:dyDescent="0.75">
      <c r="A18" s="109">
        <f t="shared" si="0"/>
        <v>1410</v>
      </c>
      <c r="B18" s="99" t="s">
        <v>204</v>
      </c>
      <c r="C18" s="100">
        <f>50000</f>
        <v>50000</v>
      </c>
      <c r="D18" s="101"/>
      <c r="F18" s="32">
        <f t="shared" si="1"/>
        <v>50000</v>
      </c>
    </row>
    <row r="19" spans="1:6" x14ac:dyDescent="0.75">
      <c r="A19" s="109">
        <f t="shared" si="0"/>
        <v>1430</v>
      </c>
      <c r="B19" s="99" t="s">
        <v>706</v>
      </c>
      <c r="C19" s="100">
        <f>0</f>
        <v>0</v>
      </c>
      <c r="D19" s="101"/>
      <c r="F19" s="32">
        <f t="shared" si="1"/>
        <v>0</v>
      </c>
    </row>
    <row r="20" spans="1:6" x14ac:dyDescent="0.75">
      <c r="A20" s="109">
        <f t="shared" si="0"/>
        <v>1710</v>
      </c>
      <c r="B20" s="99" t="s">
        <v>807</v>
      </c>
      <c r="C20" s="100">
        <f>97384.17</f>
        <v>97384.17</v>
      </c>
      <c r="D20" s="101"/>
      <c r="F20" s="32">
        <f t="shared" si="1"/>
        <v>97384.17</v>
      </c>
    </row>
    <row r="21" spans="1:6" x14ac:dyDescent="0.75">
      <c r="A21" s="109">
        <f t="shared" si="0"/>
        <v>1715</v>
      </c>
      <c r="B21" s="99" t="s">
        <v>707</v>
      </c>
      <c r="C21" s="100">
        <f>0</f>
        <v>0</v>
      </c>
      <c r="D21" s="101"/>
      <c r="F21" s="32">
        <f t="shared" si="1"/>
        <v>0</v>
      </c>
    </row>
    <row r="22" spans="1:6" x14ac:dyDescent="0.75">
      <c r="A22" s="109">
        <f t="shared" si="0"/>
        <v>1720</v>
      </c>
      <c r="B22" s="99" t="s">
        <v>708</v>
      </c>
      <c r="C22" s="100">
        <f>3937.6</f>
        <v>3937.6</v>
      </c>
      <c r="D22" s="101"/>
      <c r="F22" s="32">
        <f t="shared" si="1"/>
        <v>3937.6</v>
      </c>
    </row>
    <row r="23" spans="1:6" x14ac:dyDescent="0.75">
      <c r="A23" s="109">
        <f t="shared" si="0"/>
        <v>1725</v>
      </c>
      <c r="B23" s="99" t="s">
        <v>849</v>
      </c>
      <c r="C23" s="100">
        <f>2446.33</f>
        <v>2446.33</v>
      </c>
      <c r="D23" s="101"/>
      <c r="F23" s="32">
        <f t="shared" si="1"/>
        <v>2446.33</v>
      </c>
    </row>
    <row r="24" spans="1:6" x14ac:dyDescent="0.75">
      <c r="A24" s="109">
        <f t="shared" si="0"/>
        <v>1735</v>
      </c>
      <c r="B24" s="99" t="s">
        <v>709</v>
      </c>
      <c r="C24" s="100">
        <f>4977.65</f>
        <v>4977.6499999999996</v>
      </c>
      <c r="D24" s="101"/>
      <c r="F24" s="32">
        <f t="shared" si="1"/>
        <v>4977.6499999999996</v>
      </c>
    </row>
    <row r="25" spans="1:6" x14ac:dyDescent="0.75">
      <c r="A25" s="109">
        <f t="shared" si="0"/>
        <v>1740</v>
      </c>
      <c r="B25" s="99" t="s">
        <v>710</v>
      </c>
      <c r="C25" s="100">
        <f>0</f>
        <v>0</v>
      </c>
      <c r="D25" s="101"/>
      <c r="F25" s="32">
        <f t="shared" si="1"/>
        <v>0</v>
      </c>
    </row>
    <row r="26" spans="1:6" x14ac:dyDescent="0.75">
      <c r="A26" s="109">
        <f t="shared" si="0"/>
        <v>1745</v>
      </c>
      <c r="B26" s="99" t="s">
        <v>711</v>
      </c>
      <c r="C26" s="100">
        <f>315246.63</f>
        <v>315246.63</v>
      </c>
      <c r="D26" s="101"/>
      <c r="F26" s="32">
        <f t="shared" si="1"/>
        <v>315246.63</v>
      </c>
    </row>
    <row r="27" spans="1:6" x14ac:dyDescent="0.75">
      <c r="A27" s="109">
        <f t="shared" si="0"/>
        <v>1750</v>
      </c>
      <c r="B27" s="99" t="s">
        <v>808</v>
      </c>
      <c r="C27" s="100">
        <f>10394.01</f>
        <v>10394.01</v>
      </c>
      <c r="D27" s="101"/>
      <c r="F27" s="32">
        <f t="shared" si="1"/>
        <v>10394.01</v>
      </c>
    </row>
    <row r="28" spans="1:6" x14ac:dyDescent="0.75">
      <c r="A28" s="109">
        <f t="shared" si="0"/>
        <v>1755</v>
      </c>
      <c r="B28" s="99" t="s">
        <v>712</v>
      </c>
      <c r="C28" s="100">
        <f>787.91</f>
        <v>787.91</v>
      </c>
      <c r="D28" s="101"/>
      <c r="F28" s="32">
        <f t="shared" si="1"/>
        <v>787.91</v>
      </c>
    </row>
    <row r="29" spans="1:6" x14ac:dyDescent="0.75">
      <c r="A29" s="109">
        <f t="shared" si="0"/>
        <v>1760</v>
      </c>
      <c r="B29" s="99" t="s">
        <v>713</v>
      </c>
      <c r="C29" s="100">
        <f>20105.95</f>
        <v>20105.95</v>
      </c>
      <c r="D29" s="101"/>
      <c r="F29" s="32">
        <f t="shared" si="1"/>
        <v>20105.95</v>
      </c>
    </row>
    <row r="30" spans="1:6" x14ac:dyDescent="0.75">
      <c r="A30" s="109">
        <f t="shared" si="0"/>
        <v>1765</v>
      </c>
      <c r="B30" s="99" t="s">
        <v>714</v>
      </c>
      <c r="C30" s="100">
        <f>1015.31</f>
        <v>1015.31</v>
      </c>
      <c r="D30" s="101"/>
      <c r="F30" s="32">
        <f t="shared" si="1"/>
        <v>1015.31</v>
      </c>
    </row>
    <row r="31" spans="1:6" x14ac:dyDescent="0.75">
      <c r="A31" s="109">
        <f t="shared" si="0"/>
        <v>1781</v>
      </c>
      <c r="B31" s="99" t="s">
        <v>809</v>
      </c>
      <c r="C31" s="101"/>
      <c r="D31" s="100">
        <f>52763.35</f>
        <v>52763.35</v>
      </c>
      <c r="F31" s="32">
        <f t="shared" si="1"/>
        <v>-52763.35</v>
      </c>
    </row>
    <row r="32" spans="1:6" x14ac:dyDescent="0.75">
      <c r="A32" s="109">
        <f t="shared" si="0"/>
        <v>1782</v>
      </c>
      <c r="B32" s="99" t="s">
        <v>715</v>
      </c>
      <c r="C32" s="100">
        <f>0</f>
        <v>0</v>
      </c>
      <c r="D32" s="101"/>
      <c r="F32" s="32">
        <f t="shared" si="1"/>
        <v>0</v>
      </c>
    </row>
    <row r="33" spans="1:6" x14ac:dyDescent="0.75">
      <c r="A33" s="109">
        <f t="shared" si="0"/>
        <v>1783</v>
      </c>
      <c r="B33" s="99" t="s">
        <v>716</v>
      </c>
      <c r="C33" s="101"/>
      <c r="D33" s="100">
        <f>1640.65</f>
        <v>1640.65</v>
      </c>
      <c r="F33" s="32">
        <f t="shared" si="1"/>
        <v>-1640.65</v>
      </c>
    </row>
    <row r="34" spans="1:6" x14ac:dyDescent="0.75">
      <c r="A34" s="109">
        <f t="shared" si="0"/>
        <v>1784</v>
      </c>
      <c r="B34" s="99" t="s">
        <v>850</v>
      </c>
      <c r="C34" s="101"/>
      <c r="D34" s="100">
        <f>681.42</f>
        <v>681.42</v>
      </c>
      <c r="F34" s="32">
        <f t="shared" si="1"/>
        <v>-681.42</v>
      </c>
    </row>
    <row r="35" spans="1:6" x14ac:dyDescent="0.75">
      <c r="A35" s="109">
        <f t="shared" si="0"/>
        <v>1785</v>
      </c>
      <c r="B35" s="99" t="s">
        <v>717</v>
      </c>
      <c r="C35" s="101"/>
      <c r="D35" s="100">
        <f>4514.02</f>
        <v>4514.0200000000004</v>
      </c>
      <c r="F35" s="32">
        <f t="shared" si="1"/>
        <v>-4514.0200000000004</v>
      </c>
    </row>
    <row r="36" spans="1:6" x14ac:dyDescent="0.75">
      <c r="A36" s="109">
        <f t="shared" si="0"/>
        <v>1786</v>
      </c>
      <c r="B36" s="99" t="s">
        <v>718</v>
      </c>
      <c r="C36" s="100">
        <f>0</f>
        <v>0</v>
      </c>
      <c r="D36" s="101"/>
      <c r="F36" s="32">
        <f t="shared" si="1"/>
        <v>0</v>
      </c>
    </row>
    <row r="37" spans="1:6" x14ac:dyDescent="0.75">
      <c r="A37" s="109">
        <f t="shared" si="0"/>
        <v>1787</v>
      </c>
      <c r="B37" s="99" t="s">
        <v>719</v>
      </c>
      <c r="C37" s="101"/>
      <c r="D37" s="100">
        <f>203181.64</f>
        <v>203181.64</v>
      </c>
      <c r="F37" s="32">
        <f t="shared" si="1"/>
        <v>-203181.64</v>
      </c>
    </row>
    <row r="38" spans="1:6" x14ac:dyDescent="0.75">
      <c r="A38" s="109">
        <f t="shared" si="0"/>
        <v>1788</v>
      </c>
      <c r="B38" s="99" t="s">
        <v>810</v>
      </c>
      <c r="C38" s="101"/>
      <c r="D38" s="100">
        <f>10394.01</f>
        <v>10394.01</v>
      </c>
      <c r="F38" s="32">
        <f t="shared" si="1"/>
        <v>-10394.01</v>
      </c>
    </row>
    <row r="39" spans="1:6" x14ac:dyDescent="0.75">
      <c r="A39" s="109">
        <f t="shared" si="0"/>
        <v>1789</v>
      </c>
      <c r="B39" s="99" t="s">
        <v>720</v>
      </c>
      <c r="C39" s="101"/>
      <c r="D39" s="100">
        <f>787.91</f>
        <v>787.91</v>
      </c>
      <c r="F39" s="32">
        <f t="shared" si="1"/>
        <v>-787.91</v>
      </c>
    </row>
    <row r="40" spans="1:6" x14ac:dyDescent="0.75">
      <c r="A40" s="109">
        <f t="shared" si="0"/>
        <v>1790</v>
      </c>
      <c r="B40" s="99" t="s">
        <v>721</v>
      </c>
      <c r="C40" s="101"/>
      <c r="D40" s="100">
        <f>1015.31</f>
        <v>1015.31</v>
      </c>
      <c r="F40" s="32">
        <f t="shared" si="1"/>
        <v>-1015.31</v>
      </c>
    </row>
    <row r="41" spans="1:6" x14ac:dyDescent="0.75">
      <c r="A41" s="109">
        <f t="shared" si="0"/>
        <v>1791</v>
      </c>
      <c r="B41" s="99" t="s">
        <v>722</v>
      </c>
      <c r="C41" s="101"/>
      <c r="D41" s="100">
        <f>20105.95</f>
        <v>20105.95</v>
      </c>
      <c r="F41" s="32">
        <f t="shared" si="1"/>
        <v>-20105.95</v>
      </c>
    </row>
    <row r="42" spans="1:6" x14ac:dyDescent="0.75">
      <c r="A42" s="109">
        <f t="shared" si="0"/>
        <v>1810</v>
      </c>
      <c r="B42" s="99" t="s">
        <v>957</v>
      </c>
      <c r="C42" s="100">
        <f>50911</f>
        <v>50911</v>
      </c>
      <c r="D42" s="101"/>
      <c r="F42" s="32">
        <f t="shared" si="1"/>
        <v>50911</v>
      </c>
    </row>
    <row r="43" spans="1:6" x14ac:dyDescent="0.75">
      <c r="A43" s="109">
        <f t="shared" si="0"/>
        <v>1820</v>
      </c>
      <c r="B43" s="99" t="s">
        <v>229</v>
      </c>
      <c r="C43" s="100">
        <f>0</f>
        <v>0</v>
      </c>
      <c r="D43" s="101"/>
      <c r="F43" s="32">
        <f t="shared" si="1"/>
        <v>0</v>
      </c>
    </row>
    <row r="44" spans="1:6" x14ac:dyDescent="0.75">
      <c r="A44" s="109">
        <f t="shared" si="0"/>
        <v>1830</v>
      </c>
      <c r="B44" s="99" t="s">
        <v>723</v>
      </c>
      <c r="C44" s="100">
        <f>0</f>
        <v>0</v>
      </c>
      <c r="D44" s="101"/>
      <c r="F44" s="32">
        <f t="shared" si="1"/>
        <v>0</v>
      </c>
    </row>
    <row r="45" spans="1:6" x14ac:dyDescent="0.75">
      <c r="A45" s="109">
        <f t="shared" si="0"/>
        <v>1840</v>
      </c>
      <c r="B45" s="99" t="s">
        <v>811</v>
      </c>
      <c r="C45" s="100">
        <f>0</f>
        <v>0</v>
      </c>
      <c r="D45" s="101"/>
      <c r="F45" s="32">
        <f t="shared" si="1"/>
        <v>0</v>
      </c>
    </row>
    <row r="46" spans="1:6" x14ac:dyDescent="0.75">
      <c r="A46" s="109">
        <f t="shared" si="0"/>
        <v>1900</v>
      </c>
      <c r="B46" s="99" t="s">
        <v>233</v>
      </c>
      <c r="C46" s="100">
        <f>0</f>
        <v>0</v>
      </c>
      <c r="D46" s="101"/>
      <c r="F46" s="32">
        <f t="shared" si="1"/>
        <v>0</v>
      </c>
    </row>
    <row r="47" spans="1:6" x14ac:dyDescent="0.75">
      <c r="A47" s="109">
        <f t="shared" si="0"/>
        <v>1902</v>
      </c>
      <c r="B47" s="99" t="s">
        <v>812</v>
      </c>
      <c r="C47" s="100">
        <f>0</f>
        <v>0</v>
      </c>
      <c r="D47" s="101"/>
      <c r="F47" s="32">
        <f t="shared" si="1"/>
        <v>0</v>
      </c>
    </row>
    <row r="48" spans="1:6" x14ac:dyDescent="0.75">
      <c r="A48" s="109">
        <f t="shared" si="0"/>
        <v>1904</v>
      </c>
      <c r="B48" s="99" t="s">
        <v>724</v>
      </c>
      <c r="C48" s="100">
        <f>0</f>
        <v>0</v>
      </c>
      <c r="D48" s="101"/>
      <c r="F48" s="32">
        <f t="shared" si="1"/>
        <v>0</v>
      </c>
    </row>
    <row r="49" spans="1:6" x14ac:dyDescent="0.75">
      <c r="A49" s="109">
        <f t="shared" si="0"/>
        <v>1906</v>
      </c>
      <c r="B49" s="99" t="s">
        <v>725</v>
      </c>
      <c r="C49" s="100">
        <f>0</f>
        <v>0</v>
      </c>
      <c r="D49" s="101"/>
      <c r="F49" s="32">
        <f t="shared" si="1"/>
        <v>0</v>
      </c>
    </row>
    <row r="50" spans="1:6" x14ac:dyDescent="0.75">
      <c r="A50" s="109">
        <f t="shared" si="0"/>
        <v>1908</v>
      </c>
      <c r="B50" s="99" t="s">
        <v>241</v>
      </c>
      <c r="C50" s="100">
        <f>0</f>
        <v>0</v>
      </c>
      <c r="D50" s="101"/>
      <c r="F50" s="32">
        <f t="shared" si="1"/>
        <v>0</v>
      </c>
    </row>
    <row r="51" spans="1:6" x14ac:dyDescent="0.75">
      <c r="A51" s="109">
        <f t="shared" si="0"/>
        <v>1910</v>
      </c>
      <c r="B51" s="99" t="s">
        <v>726</v>
      </c>
      <c r="C51" s="100">
        <f>0</f>
        <v>0</v>
      </c>
      <c r="D51" s="101"/>
      <c r="F51" s="32">
        <f t="shared" si="1"/>
        <v>0</v>
      </c>
    </row>
    <row r="52" spans="1:6" x14ac:dyDescent="0.75">
      <c r="A52" s="109">
        <f t="shared" si="0"/>
        <v>1912</v>
      </c>
      <c r="B52" s="99" t="s">
        <v>727</v>
      </c>
      <c r="C52" s="100">
        <f>0</f>
        <v>0</v>
      </c>
      <c r="D52" s="101"/>
      <c r="F52" s="32">
        <f t="shared" si="1"/>
        <v>0</v>
      </c>
    </row>
    <row r="53" spans="1:6" x14ac:dyDescent="0.75">
      <c r="A53" s="109">
        <f t="shared" si="0"/>
        <v>1914</v>
      </c>
      <c r="B53" s="99" t="s">
        <v>247</v>
      </c>
      <c r="C53" s="100">
        <f>0</f>
        <v>0</v>
      </c>
      <c r="D53" s="101"/>
      <c r="F53" s="32">
        <f t="shared" si="1"/>
        <v>0</v>
      </c>
    </row>
    <row r="54" spans="1:6" x14ac:dyDescent="0.75">
      <c r="A54" s="109">
        <f t="shared" si="0"/>
        <v>1916</v>
      </c>
      <c r="B54" s="99" t="s">
        <v>728</v>
      </c>
      <c r="C54" s="100">
        <f>0</f>
        <v>0</v>
      </c>
      <c r="D54" s="101"/>
      <c r="F54" s="32">
        <f t="shared" si="1"/>
        <v>0</v>
      </c>
    </row>
    <row r="55" spans="1:6" x14ac:dyDescent="0.75">
      <c r="A55" s="109">
        <f t="shared" si="0"/>
        <v>1918</v>
      </c>
      <c r="B55" s="99" t="s">
        <v>729</v>
      </c>
      <c r="C55" s="100">
        <f>0</f>
        <v>0</v>
      </c>
      <c r="D55" s="101"/>
      <c r="F55" s="32">
        <f t="shared" si="1"/>
        <v>0</v>
      </c>
    </row>
    <row r="56" spans="1:6" x14ac:dyDescent="0.75">
      <c r="A56" s="109">
        <f t="shared" si="0"/>
        <v>1920</v>
      </c>
      <c r="B56" s="99" t="s">
        <v>730</v>
      </c>
      <c r="C56" s="100">
        <f>0</f>
        <v>0</v>
      </c>
      <c r="D56" s="101"/>
      <c r="F56" s="32">
        <f t="shared" si="1"/>
        <v>0</v>
      </c>
    </row>
    <row r="57" spans="1:6" x14ac:dyDescent="0.75">
      <c r="A57" s="109">
        <f t="shared" si="0"/>
        <v>1922</v>
      </c>
      <c r="B57" s="99" t="s">
        <v>731</v>
      </c>
      <c r="C57" s="100">
        <f>0</f>
        <v>0</v>
      </c>
      <c r="D57" s="101"/>
      <c r="F57" s="32">
        <f t="shared" si="1"/>
        <v>0</v>
      </c>
    </row>
    <row r="58" spans="1:6" x14ac:dyDescent="0.75">
      <c r="A58" s="109">
        <f t="shared" si="0"/>
        <v>1924</v>
      </c>
      <c r="B58" s="99" t="s">
        <v>732</v>
      </c>
      <c r="C58" s="100">
        <f>0</f>
        <v>0</v>
      </c>
      <c r="D58" s="101"/>
      <c r="F58" s="32">
        <f t="shared" si="1"/>
        <v>0</v>
      </c>
    </row>
    <row r="59" spans="1:6" x14ac:dyDescent="0.75">
      <c r="A59" s="109">
        <f t="shared" si="0"/>
        <v>1926</v>
      </c>
      <c r="B59" s="99" t="s">
        <v>733</v>
      </c>
      <c r="C59" s="100">
        <f>0</f>
        <v>0</v>
      </c>
      <c r="D59" s="101"/>
      <c r="F59" s="32">
        <f t="shared" si="1"/>
        <v>0</v>
      </c>
    </row>
    <row r="60" spans="1:6" x14ac:dyDescent="0.75">
      <c r="A60" s="109">
        <f t="shared" si="0"/>
        <v>1928</v>
      </c>
      <c r="B60" s="99" t="s">
        <v>734</v>
      </c>
      <c r="C60" s="100">
        <f>43132.88</f>
        <v>43132.88</v>
      </c>
      <c r="D60" s="101"/>
      <c r="F60" s="32">
        <f t="shared" si="1"/>
        <v>43132.88</v>
      </c>
    </row>
    <row r="61" spans="1:6" x14ac:dyDescent="0.75">
      <c r="A61" s="109">
        <f t="shared" si="0"/>
        <v>1930</v>
      </c>
      <c r="B61" s="99" t="s">
        <v>735</v>
      </c>
      <c r="C61" s="100">
        <f>0</f>
        <v>0</v>
      </c>
      <c r="D61" s="101"/>
      <c r="F61" s="32">
        <f t="shared" si="1"/>
        <v>0</v>
      </c>
    </row>
    <row r="62" spans="1:6" x14ac:dyDescent="0.75">
      <c r="A62" s="109">
        <f t="shared" si="0"/>
        <v>1950</v>
      </c>
      <c r="B62" s="99" t="s">
        <v>930</v>
      </c>
      <c r="C62" s="101"/>
      <c r="D62" s="100">
        <f>43132.89</f>
        <v>43132.89</v>
      </c>
      <c r="F62" s="32">
        <f t="shared" si="1"/>
        <v>-43132.89</v>
      </c>
    </row>
    <row r="63" spans="1:6" x14ac:dyDescent="0.75">
      <c r="A63" s="109">
        <f t="shared" si="0"/>
        <v>1932</v>
      </c>
      <c r="B63" s="99" t="s">
        <v>736</v>
      </c>
      <c r="C63" s="100">
        <f>0</f>
        <v>0</v>
      </c>
      <c r="D63" s="101"/>
      <c r="F63" s="32">
        <f t="shared" si="1"/>
        <v>0</v>
      </c>
    </row>
    <row r="64" spans="1:6" x14ac:dyDescent="0.75">
      <c r="A64" s="109">
        <f t="shared" si="0"/>
        <v>1960</v>
      </c>
      <c r="B64" s="99" t="s">
        <v>737</v>
      </c>
      <c r="C64" s="100">
        <f>0</f>
        <v>0</v>
      </c>
      <c r="D64" s="101"/>
      <c r="F64" s="32">
        <f t="shared" si="1"/>
        <v>0</v>
      </c>
    </row>
    <row r="65" spans="1:6" x14ac:dyDescent="0.75">
      <c r="A65" s="109">
        <f t="shared" si="0"/>
        <v>1980</v>
      </c>
      <c r="B65" s="99" t="s">
        <v>738</v>
      </c>
      <c r="C65" s="100">
        <f>0</f>
        <v>0</v>
      </c>
      <c r="D65" s="101"/>
      <c r="F65" s="32">
        <f t="shared" si="1"/>
        <v>0</v>
      </c>
    </row>
    <row r="66" spans="1:6" x14ac:dyDescent="0.75">
      <c r="A66" s="109">
        <f t="shared" si="0"/>
        <v>2000</v>
      </c>
      <c r="B66" s="99" t="s">
        <v>251</v>
      </c>
      <c r="C66" s="101"/>
      <c r="D66" s="100">
        <f>97074.86</f>
        <v>97074.86</v>
      </c>
      <c r="F66" s="32">
        <f t="shared" si="1"/>
        <v>-97074.86</v>
      </c>
    </row>
    <row r="67" spans="1:6" x14ac:dyDescent="0.75">
      <c r="A67" s="109">
        <f t="shared" si="0"/>
        <v>2101</v>
      </c>
      <c r="B67" s="99" t="s">
        <v>739</v>
      </c>
      <c r="C67" s="101"/>
      <c r="D67" s="100">
        <f>0</f>
        <v>0</v>
      </c>
      <c r="F67" s="32">
        <f t="shared" si="1"/>
        <v>0</v>
      </c>
    </row>
    <row r="68" spans="1:6" x14ac:dyDescent="0.75">
      <c r="A68" s="109">
        <f t="shared" si="0"/>
        <v>2102</v>
      </c>
      <c r="B68" s="99" t="s">
        <v>740</v>
      </c>
      <c r="C68" s="101"/>
      <c r="D68" s="100">
        <f>12129.85</f>
        <v>12129.85</v>
      </c>
      <c r="F68" s="32">
        <f t="shared" si="1"/>
        <v>-12129.85</v>
      </c>
    </row>
    <row r="69" spans="1:6" x14ac:dyDescent="0.75">
      <c r="A69" s="109">
        <f t="shared" si="0"/>
        <v>2103</v>
      </c>
      <c r="B69" s="99" t="s">
        <v>813</v>
      </c>
      <c r="C69" s="101"/>
      <c r="D69" s="100">
        <f>8469.4</f>
        <v>8469.4</v>
      </c>
      <c r="F69" s="32">
        <f t="shared" si="1"/>
        <v>-8469.4</v>
      </c>
    </row>
    <row r="70" spans="1:6" x14ac:dyDescent="0.75">
      <c r="A70" s="109">
        <f t="shared" ref="A70:A133" si="2">VALUE(LEFT(B70,4))</f>
        <v>2104</v>
      </c>
      <c r="B70" s="99" t="s">
        <v>741</v>
      </c>
      <c r="C70" s="101"/>
      <c r="D70" s="100">
        <f>6083.35</f>
        <v>6083.35</v>
      </c>
      <c r="F70" s="32">
        <f t="shared" si="1"/>
        <v>-6083.35</v>
      </c>
    </row>
    <row r="71" spans="1:6" x14ac:dyDescent="0.75">
      <c r="A71" s="109">
        <f t="shared" si="2"/>
        <v>2105</v>
      </c>
      <c r="B71" s="99" t="s">
        <v>814</v>
      </c>
      <c r="C71" s="101"/>
      <c r="D71" s="100">
        <f>0</f>
        <v>0</v>
      </c>
      <c r="F71" s="32">
        <f t="shared" ref="F71:F134" si="3">C71-D71</f>
        <v>0</v>
      </c>
    </row>
    <row r="72" spans="1:6" x14ac:dyDescent="0.75">
      <c r="A72" s="109">
        <f t="shared" si="2"/>
        <v>2010</v>
      </c>
      <c r="B72" s="99" t="s">
        <v>277</v>
      </c>
      <c r="C72" s="101"/>
      <c r="D72" s="100">
        <f>0</f>
        <v>0</v>
      </c>
      <c r="F72" s="32">
        <f t="shared" si="3"/>
        <v>0</v>
      </c>
    </row>
    <row r="73" spans="1:6" x14ac:dyDescent="0.75">
      <c r="A73" s="109">
        <f t="shared" si="2"/>
        <v>2020</v>
      </c>
      <c r="B73" s="99" t="s">
        <v>742</v>
      </c>
      <c r="C73" s="101"/>
      <c r="D73" s="100">
        <f>0</f>
        <v>0</v>
      </c>
      <c r="F73" s="32">
        <f t="shared" si="3"/>
        <v>0</v>
      </c>
    </row>
    <row r="74" spans="1:6" x14ac:dyDescent="0.75">
      <c r="A74" s="109">
        <f t="shared" si="2"/>
        <v>2106</v>
      </c>
      <c r="B74" s="99" t="s">
        <v>743</v>
      </c>
      <c r="C74" s="101"/>
      <c r="D74" s="100">
        <f>6674.12</f>
        <v>6674.12</v>
      </c>
      <c r="F74" s="32">
        <f t="shared" si="3"/>
        <v>-6674.12</v>
      </c>
    </row>
    <row r="75" spans="1:6" x14ac:dyDescent="0.75">
      <c r="A75" s="109">
        <f t="shared" si="2"/>
        <v>2210</v>
      </c>
      <c r="B75" s="99" t="s">
        <v>744</v>
      </c>
      <c r="C75" s="101"/>
      <c r="D75" s="100">
        <f>687189.48</f>
        <v>687189.48</v>
      </c>
      <c r="F75" s="32">
        <f t="shared" si="3"/>
        <v>-687189.48</v>
      </c>
    </row>
    <row r="76" spans="1:6" x14ac:dyDescent="0.75">
      <c r="A76" s="109">
        <f t="shared" si="2"/>
        <v>2220</v>
      </c>
      <c r="B76" s="99" t="s">
        <v>1041</v>
      </c>
      <c r="C76" s="101"/>
      <c r="D76" s="100">
        <f>10853.33</f>
        <v>10853.33</v>
      </c>
      <c r="F76" s="32">
        <f t="shared" si="3"/>
        <v>-10853.33</v>
      </c>
    </row>
    <row r="77" spans="1:6" x14ac:dyDescent="0.75">
      <c r="A77" s="109">
        <f t="shared" si="2"/>
        <v>2231</v>
      </c>
      <c r="B77" s="99" t="s">
        <v>745</v>
      </c>
      <c r="C77" s="101"/>
      <c r="D77" s="100">
        <f>0</f>
        <v>0</v>
      </c>
      <c r="F77" s="32">
        <f t="shared" si="3"/>
        <v>0</v>
      </c>
    </row>
    <row r="78" spans="1:6" x14ac:dyDescent="0.75">
      <c r="A78" s="109">
        <f t="shared" si="2"/>
        <v>2232</v>
      </c>
      <c r="B78" s="99" t="s">
        <v>746</v>
      </c>
      <c r="C78" s="101"/>
      <c r="D78" s="100">
        <f>0</f>
        <v>0</v>
      </c>
      <c r="F78" s="32">
        <f t="shared" si="3"/>
        <v>0</v>
      </c>
    </row>
    <row r="79" spans="1:6" x14ac:dyDescent="0.75">
      <c r="A79" s="109">
        <f t="shared" si="2"/>
        <v>2233</v>
      </c>
      <c r="B79" s="99" t="s">
        <v>747</v>
      </c>
      <c r="C79" s="101"/>
      <c r="D79" s="100">
        <f>0</f>
        <v>0</v>
      </c>
      <c r="F79" s="32">
        <f t="shared" si="3"/>
        <v>0</v>
      </c>
    </row>
    <row r="80" spans="1:6" x14ac:dyDescent="0.75">
      <c r="A80" s="109">
        <f t="shared" si="2"/>
        <v>2235</v>
      </c>
      <c r="B80" s="99" t="s">
        <v>748</v>
      </c>
      <c r="C80" s="101"/>
      <c r="D80" s="100">
        <f>0</f>
        <v>0</v>
      </c>
      <c r="F80" s="32">
        <f t="shared" si="3"/>
        <v>0</v>
      </c>
    </row>
    <row r="81" spans="1:6" x14ac:dyDescent="0.75">
      <c r="A81" s="109">
        <f t="shared" si="2"/>
        <v>2236</v>
      </c>
      <c r="B81" s="99" t="s">
        <v>749</v>
      </c>
      <c r="C81" s="101"/>
      <c r="D81" s="100">
        <f>0</f>
        <v>0</v>
      </c>
      <c r="F81" s="32">
        <f t="shared" si="3"/>
        <v>0</v>
      </c>
    </row>
    <row r="82" spans="1:6" x14ac:dyDescent="0.75">
      <c r="A82" s="109">
        <f t="shared" si="2"/>
        <v>2250</v>
      </c>
      <c r="B82" s="99" t="s">
        <v>750</v>
      </c>
      <c r="C82" s="101"/>
      <c r="D82" s="100">
        <f>0</f>
        <v>0</v>
      </c>
      <c r="F82" s="32">
        <f t="shared" si="3"/>
        <v>0</v>
      </c>
    </row>
    <row r="83" spans="1:6" x14ac:dyDescent="0.75">
      <c r="A83" s="109">
        <f t="shared" si="2"/>
        <v>2270</v>
      </c>
      <c r="B83" s="99" t="s">
        <v>751</v>
      </c>
      <c r="C83" s="101"/>
      <c r="D83" s="100">
        <f>0</f>
        <v>0</v>
      </c>
      <c r="F83" s="32">
        <f t="shared" si="3"/>
        <v>0</v>
      </c>
    </row>
    <row r="84" spans="1:6" x14ac:dyDescent="0.75">
      <c r="A84" s="109">
        <f t="shared" si="2"/>
        <v>2280</v>
      </c>
      <c r="B84" s="99" t="s">
        <v>752</v>
      </c>
      <c r="C84" s="101"/>
      <c r="D84" s="100">
        <f>0</f>
        <v>0</v>
      </c>
      <c r="F84" s="32">
        <f t="shared" si="3"/>
        <v>0</v>
      </c>
    </row>
    <row r="85" spans="1:6" x14ac:dyDescent="0.75">
      <c r="A85" s="109">
        <f t="shared" si="2"/>
        <v>2285</v>
      </c>
      <c r="B85" s="99" t="s">
        <v>753</v>
      </c>
      <c r="C85" s="101"/>
      <c r="D85" s="100">
        <f>0</f>
        <v>0</v>
      </c>
      <c r="F85" s="32">
        <f t="shared" si="3"/>
        <v>0</v>
      </c>
    </row>
    <row r="86" spans="1:6" x14ac:dyDescent="0.75">
      <c r="A86" s="109">
        <f t="shared" si="2"/>
        <v>2290</v>
      </c>
      <c r="B86" s="99" t="s">
        <v>754</v>
      </c>
      <c r="C86" s="101"/>
      <c r="D86" s="100">
        <f>40000</f>
        <v>40000</v>
      </c>
      <c r="F86" s="32">
        <f t="shared" si="3"/>
        <v>-40000</v>
      </c>
    </row>
    <row r="87" spans="1:6" x14ac:dyDescent="0.75">
      <c r="A87" s="109">
        <f t="shared" si="2"/>
        <v>2305</v>
      </c>
      <c r="B87" s="99" t="s">
        <v>755</v>
      </c>
      <c r="C87" s="101"/>
      <c r="D87" s="100">
        <f>1221957.72</f>
        <v>1221957.72</v>
      </c>
      <c r="F87" s="32">
        <f t="shared" si="3"/>
        <v>-1221957.72</v>
      </c>
    </row>
    <row r="88" spans="1:6" x14ac:dyDescent="0.75">
      <c r="A88" s="109">
        <f t="shared" si="2"/>
        <v>2310</v>
      </c>
      <c r="B88" s="99" t="s">
        <v>756</v>
      </c>
      <c r="C88" s="101"/>
      <c r="D88" s="100">
        <f>35000</f>
        <v>35000</v>
      </c>
      <c r="F88" s="32">
        <f t="shared" si="3"/>
        <v>-35000</v>
      </c>
    </row>
    <row r="89" spans="1:6" x14ac:dyDescent="0.75">
      <c r="A89" s="109">
        <f t="shared" si="2"/>
        <v>2320</v>
      </c>
      <c r="B89" s="99" t="s">
        <v>859</v>
      </c>
      <c r="C89" s="101"/>
      <c r="D89" s="100">
        <f>0</f>
        <v>0</v>
      </c>
      <c r="F89" s="32">
        <f t="shared" si="3"/>
        <v>0</v>
      </c>
    </row>
    <row r="90" spans="1:6" x14ac:dyDescent="0.75">
      <c r="A90" s="109">
        <f t="shared" si="2"/>
        <v>2400</v>
      </c>
      <c r="B90" s="99" t="s">
        <v>757</v>
      </c>
      <c r="C90" s="101"/>
      <c r="D90" s="100">
        <f>117691.94</f>
        <v>117691.94</v>
      </c>
      <c r="F90" s="32">
        <f t="shared" si="3"/>
        <v>-117691.94</v>
      </c>
    </row>
    <row r="91" spans="1:6" x14ac:dyDescent="0.75">
      <c r="A91" s="109">
        <f t="shared" si="2"/>
        <v>2405</v>
      </c>
      <c r="B91" s="99" t="s">
        <v>815</v>
      </c>
      <c r="C91" s="101"/>
      <c r="D91" s="100">
        <f>46527.63</f>
        <v>46527.63</v>
      </c>
      <c r="F91" s="32">
        <f t="shared" si="3"/>
        <v>-46527.63</v>
      </c>
    </row>
    <row r="92" spans="1:6" x14ac:dyDescent="0.75">
      <c r="A92" s="109">
        <f t="shared" si="2"/>
        <v>2410</v>
      </c>
      <c r="B92" s="99" t="s">
        <v>758</v>
      </c>
      <c r="C92" s="101"/>
      <c r="D92" s="100">
        <f>0</f>
        <v>0</v>
      </c>
      <c r="F92" s="32">
        <f t="shared" si="3"/>
        <v>0</v>
      </c>
    </row>
    <row r="93" spans="1:6" x14ac:dyDescent="0.75">
      <c r="A93" s="109">
        <f t="shared" si="2"/>
        <v>2415</v>
      </c>
      <c r="B93" s="99" t="s">
        <v>759</v>
      </c>
      <c r="C93" s="101"/>
      <c r="D93" s="100">
        <f>0</f>
        <v>0</v>
      </c>
      <c r="F93" s="32">
        <f t="shared" si="3"/>
        <v>0</v>
      </c>
    </row>
    <row r="94" spans="1:6" x14ac:dyDescent="0.75">
      <c r="A94" s="109">
        <f t="shared" si="2"/>
        <v>2420</v>
      </c>
      <c r="B94" s="99" t="s">
        <v>760</v>
      </c>
      <c r="C94" s="101"/>
      <c r="D94" s="100">
        <f>0</f>
        <v>0</v>
      </c>
      <c r="F94" s="32">
        <f t="shared" si="3"/>
        <v>0</v>
      </c>
    </row>
    <row r="95" spans="1:6" x14ac:dyDescent="0.75">
      <c r="A95" s="109">
        <f t="shared" si="2"/>
        <v>2425</v>
      </c>
      <c r="B95" s="99" t="s">
        <v>761</v>
      </c>
      <c r="C95" s="101"/>
      <c r="D95" s="100">
        <f>0</f>
        <v>0</v>
      </c>
      <c r="F95" s="32">
        <f t="shared" si="3"/>
        <v>0</v>
      </c>
    </row>
    <row r="96" spans="1:6" x14ac:dyDescent="0.75">
      <c r="A96" s="109">
        <f t="shared" si="2"/>
        <v>2430</v>
      </c>
      <c r="B96" s="99" t="s">
        <v>762</v>
      </c>
      <c r="C96" s="101"/>
      <c r="D96" s="100">
        <f>0</f>
        <v>0</v>
      </c>
      <c r="F96" s="32">
        <f t="shared" si="3"/>
        <v>0</v>
      </c>
    </row>
    <row r="97" spans="1:6" x14ac:dyDescent="0.75">
      <c r="A97" s="109">
        <f t="shared" si="2"/>
        <v>2470</v>
      </c>
      <c r="B97" s="99" t="s">
        <v>958</v>
      </c>
      <c r="C97" s="101"/>
      <c r="D97" s="100">
        <f>50911</f>
        <v>50911</v>
      </c>
      <c r="F97" s="32">
        <f t="shared" si="3"/>
        <v>-50911</v>
      </c>
    </row>
    <row r="98" spans="1:6" x14ac:dyDescent="0.75">
      <c r="A98" s="109">
        <f t="shared" si="2"/>
        <v>2705</v>
      </c>
      <c r="B98" s="99" t="s">
        <v>816</v>
      </c>
      <c r="C98" s="101"/>
      <c r="D98" s="100">
        <f>50000</f>
        <v>50000</v>
      </c>
      <c r="F98" s="32">
        <f t="shared" si="3"/>
        <v>-50000</v>
      </c>
    </row>
    <row r="99" spans="1:6" x14ac:dyDescent="0.75">
      <c r="A99" s="109">
        <f t="shared" si="2"/>
        <v>2710</v>
      </c>
      <c r="B99" s="99" t="s">
        <v>817</v>
      </c>
      <c r="C99" s="101"/>
      <c r="D99" s="100">
        <f>15000</f>
        <v>15000</v>
      </c>
      <c r="F99" s="32">
        <f t="shared" si="3"/>
        <v>-15000</v>
      </c>
    </row>
    <row r="100" spans="1:6" x14ac:dyDescent="0.75">
      <c r="A100" s="109">
        <f t="shared" si="2"/>
        <v>2715</v>
      </c>
      <c r="B100" s="99" t="s">
        <v>818</v>
      </c>
      <c r="C100" s="101"/>
      <c r="D100" s="100">
        <f>25000</f>
        <v>25000</v>
      </c>
      <c r="F100" s="32">
        <f t="shared" si="3"/>
        <v>-25000</v>
      </c>
    </row>
    <row r="101" spans="1:6" x14ac:dyDescent="0.75">
      <c r="A101" s="109">
        <f t="shared" si="2"/>
        <v>2720</v>
      </c>
      <c r="B101" s="99" t="s">
        <v>819</v>
      </c>
      <c r="C101" s="101"/>
      <c r="D101" s="100">
        <f>50000</f>
        <v>50000</v>
      </c>
      <c r="F101" s="32">
        <f t="shared" si="3"/>
        <v>-50000</v>
      </c>
    </row>
    <row r="102" spans="1:6" x14ac:dyDescent="0.75">
      <c r="A102" s="109">
        <f t="shared" si="2"/>
        <v>2725</v>
      </c>
      <c r="B102" s="99" t="s">
        <v>820</v>
      </c>
      <c r="C102" s="101"/>
      <c r="D102" s="100">
        <f>60000</f>
        <v>60000</v>
      </c>
      <c r="F102" s="32">
        <f t="shared" si="3"/>
        <v>-60000</v>
      </c>
    </row>
    <row r="103" spans="1:6" x14ac:dyDescent="0.75">
      <c r="A103" s="109">
        <f t="shared" si="2"/>
        <v>2730</v>
      </c>
      <c r="B103" s="99" t="s">
        <v>821</v>
      </c>
      <c r="C103" s="101"/>
      <c r="D103" s="100">
        <f>108527</f>
        <v>108527</v>
      </c>
      <c r="F103" s="32">
        <f t="shared" si="3"/>
        <v>-108527</v>
      </c>
    </row>
    <row r="104" spans="1:6" x14ac:dyDescent="0.75">
      <c r="A104" s="109">
        <f t="shared" si="2"/>
        <v>2735</v>
      </c>
      <c r="B104" s="99" t="s">
        <v>822</v>
      </c>
      <c r="C104" s="101"/>
      <c r="D104" s="100">
        <f>150000</f>
        <v>150000</v>
      </c>
      <c r="F104" s="32">
        <f t="shared" si="3"/>
        <v>-150000</v>
      </c>
    </row>
    <row r="105" spans="1:6" x14ac:dyDescent="0.75">
      <c r="A105" s="109">
        <f t="shared" si="2"/>
        <v>2740</v>
      </c>
      <c r="B105" s="99" t="s">
        <v>823</v>
      </c>
      <c r="C105" s="101"/>
      <c r="D105" s="100">
        <f>40000</f>
        <v>40000</v>
      </c>
      <c r="F105" s="32">
        <f t="shared" si="3"/>
        <v>-40000</v>
      </c>
    </row>
    <row r="106" spans="1:6" x14ac:dyDescent="0.75">
      <c r="A106" s="109">
        <f t="shared" si="2"/>
        <v>2745</v>
      </c>
      <c r="B106" s="99" t="s">
        <v>940</v>
      </c>
      <c r="C106" s="101"/>
      <c r="D106" s="100">
        <f>158231.68</f>
        <v>158231.67999999999</v>
      </c>
      <c r="F106" s="32">
        <f t="shared" si="3"/>
        <v>-158231.67999999999</v>
      </c>
    </row>
    <row r="107" spans="1:6" x14ac:dyDescent="0.75">
      <c r="A107" s="109">
        <f t="shared" si="2"/>
        <v>2750</v>
      </c>
      <c r="B107" s="99" t="s">
        <v>824</v>
      </c>
      <c r="C107" s="101"/>
      <c r="D107" s="100">
        <f>50000</f>
        <v>50000</v>
      </c>
      <c r="F107" s="32">
        <f t="shared" si="3"/>
        <v>-50000</v>
      </c>
    </row>
    <row r="108" spans="1:6" x14ac:dyDescent="0.75">
      <c r="A108" s="109">
        <f t="shared" si="2"/>
        <v>2755</v>
      </c>
      <c r="B108" s="99" t="s">
        <v>825</v>
      </c>
      <c r="C108" s="101"/>
      <c r="D108" s="100">
        <f>25000</f>
        <v>25000</v>
      </c>
      <c r="F108" s="32">
        <f t="shared" si="3"/>
        <v>-25000</v>
      </c>
    </row>
    <row r="109" spans="1:6" x14ac:dyDescent="0.75">
      <c r="A109" s="109">
        <f t="shared" si="2"/>
        <v>2760</v>
      </c>
      <c r="B109" s="99" t="s">
        <v>826</v>
      </c>
      <c r="C109" s="101"/>
      <c r="D109" s="100">
        <f>170000</f>
        <v>170000</v>
      </c>
      <c r="F109" s="32">
        <f t="shared" si="3"/>
        <v>-170000</v>
      </c>
    </row>
    <row r="110" spans="1:6" x14ac:dyDescent="0.75">
      <c r="A110" s="109">
        <f t="shared" si="2"/>
        <v>2765</v>
      </c>
      <c r="B110" s="99" t="s">
        <v>827</v>
      </c>
      <c r="C110" s="101"/>
      <c r="D110" s="100">
        <f>50000</f>
        <v>50000</v>
      </c>
      <c r="F110" s="32">
        <f t="shared" si="3"/>
        <v>-50000</v>
      </c>
    </row>
    <row r="111" spans="1:6" x14ac:dyDescent="0.75">
      <c r="A111" s="109">
        <f t="shared" si="2"/>
        <v>2770</v>
      </c>
      <c r="B111" s="99" t="s">
        <v>828</v>
      </c>
      <c r="C111" s="101"/>
      <c r="D111" s="100">
        <f>2500</f>
        <v>2500</v>
      </c>
      <c r="F111" s="32">
        <f t="shared" si="3"/>
        <v>-2500</v>
      </c>
    </row>
    <row r="112" spans="1:6" x14ac:dyDescent="0.75">
      <c r="A112" s="109">
        <f t="shared" si="2"/>
        <v>2775</v>
      </c>
      <c r="B112" s="99" t="s">
        <v>829</v>
      </c>
      <c r="C112" s="101"/>
      <c r="D112" s="100">
        <f>50000</f>
        <v>50000</v>
      </c>
      <c r="F112" s="32">
        <f t="shared" si="3"/>
        <v>-50000</v>
      </c>
    </row>
    <row r="113" spans="1:6" x14ac:dyDescent="0.75">
      <c r="A113" s="109">
        <f t="shared" si="2"/>
        <v>2780</v>
      </c>
      <c r="B113" s="99" t="s">
        <v>830</v>
      </c>
      <c r="C113" s="101"/>
      <c r="D113" s="100">
        <f>25000</f>
        <v>25000</v>
      </c>
      <c r="F113" s="32">
        <f t="shared" si="3"/>
        <v>-25000</v>
      </c>
    </row>
    <row r="114" spans="1:6" x14ac:dyDescent="0.75">
      <c r="A114" s="109">
        <f t="shared" si="2"/>
        <v>2785</v>
      </c>
      <c r="B114" s="99" t="s">
        <v>947</v>
      </c>
      <c r="C114" s="101"/>
      <c r="D114" s="100">
        <f>0</f>
        <v>0</v>
      </c>
      <c r="F114" s="32">
        <f t="shared" si="3"/>
        <v>0</v>
      </c>
    </row>
    <row r="115" spans="1:6" x14ac:dyDescent="0.75">
      <c r="A115" s="109">
        <f t="shared" si="2"/>
        <v>2790</v>
      </c>
      <c r="B115" s="99" t="s">
        <v>943</v>
      </c>
      <c r="C115" s="100">
        <f>269798</f>
        <v>269798</v>
      </c>
      <c r="D115" s="101"/>
      <c r="F115" s="32">
        <f t="shared" si="3"/>
        <v>269798</v>
      </c>
    </row>
    <row r="116" spans="1:6" x14ac:dyDescent="0.75">
      <c r="A116" s="109">
        <f t="shared" si="2"/>
        <v>3000</v>
      </c>
      <c r="B116" s="99" t="s">
        <v>307</v>
      </c>
      <c r="C116" s="101"/>
      <c r="D116" s="100">
        <f>46290.14</f>
        <v>46290.14</v>
      </c>
      <c r="F116" s="32">
        <f t="shared" si="3"/>
        <v>-46290.14</v>
      </c>
    </row>
    <row r="117" spans="1:6" x14ac:dyDescent="0.75">
      <c r="A117" s="109">
        <f t="shared" si="2"/>
        <v>3050</v>
      </c>
      <c r="B117" s="99" t="s">
        <v>964</v>
      </c>
      <c r="C117" s="101"/>
      <c r="D117" s="100">
        <f>23.8</f>
        <v>23.8</v>
      </c>
      <c r="F117" s="32">
        <f t="shared" si="3"/>
        <v>-23.8</v>
      </c>
    </row>
    <row r="118" spans="1:6" x14ac:dyDescent="0.75">
      <c r="A118" s="109">
        <f t="shared" si="2"/>
        <v>3100</v>
      </c>
      <c r="B118" s="99" t="s">
        <v>308</v>
      </c>
      <c r="C118" s="101"/>
      <c r="D118" s="100">
        <f>8183804.12</f>
        <v>8183804.1200000001</v>
      </c>
      <c r="F118" s="32">
        <f t="shared" si="3"/>
        <v>-8183804.1200000001</v>
      </c>
    </row>
    <row r="119" spans="1:6" x14ac:dyDescent="0.75">
      <c r="A119" s="109">
        <f t="shared" si="2"/>
        <v>3200</v>
      </c>
      <c r="B119" s="99" t="s">
        <v>309</v>
      </c>
      <c r="C119" s="101"/>
      <c r="D119" s="100">
        <f>0</f>
        <v>0</v>
      </c>
      <c r="F119" s="32">
        <f t="shared" si="3"/>
        <v>0</v>
      </c>
    </row>
    <row r="120" spans="1:6" x14ac:dyDescent="0.75">
      <c r="A120" s="109">
        <f t="shared" si="2"/>
        <v>3300</v>
      </c>
      <c r="B120" s="99" t="s">
        <v>763</v>
      </c>
      <c r="C120" s="101"/>
      <c r="D120" s="100">
        <f>0</f>
        <v>0</v>
      </c>
      <c r="F120" s="32">
        <f t="shared" si="3"/>
        <v>0</v>
      </c>
    </row>
    <row r="121" spans="1:6" x14ac:dyDescent="0.75">
      <c r="A121" s="109">
        <f t="shared" si="2"/>
        <v>3400</v>
      </c>
      <c r="B121" s="99" t="s">
        <v>764</v>
      </c>
      <c r="C121" s="101"/>
      <c r="D121" s="100">
        <f>0</f>
        <v>0</v>
      </c>
      <c r="F121" s="32">
        <f t="shared" si="3"/>
        <v>0</v>
      </c>
    </row>
    <row r="122" spans="1:6" x14ac:dyDescent="0.75">
      <c r="A122" s="109">
        <f t="shared" si="2"/>
        <v>3500</v>
      </c>
      <c r="B122" s="99" t="s">
        <v>306</v>
      </c>
      <c r="C122" s="101"/>
      <c r="D122" s="100">
        <f>0</f>
        <v>0</v>
      </c>
      <c r="F122" s="32">
        <f t="shared" si="3"/>
        <v>0</v>
      </c>
    </row>
    <row r="123" spans="1:6" x14ac:dyDescent="0.75">
      <c r="A123" s="109">
        <f t="shared" si="2"/>
        <v>3600</v>
      </c>
      <c r="B123" s="99" t="s">
        <v>938</v>
      </c>
      <c r="C123" s="100">
        <f>84000</f>
        <v>84000</v>
      </c>
      <c r="D123" s="101"/>
      <c r="F123" s="32">
        <f t="shared" si="3"/>
        <v>84000</v>
      </c>
    </row>
    <row r="124" spans="1:6" x14ac:dyDescent="0.75">
      <c r="A124" s="109">
        <f t="shared" si="2"/>
        <v>3800</v>
      </c>
      <c r="B124" s="99" t="s">
        <v>765</v>
      </c>
      <c r="C124" s="101"/>
      <c r="D124" s="100">
        <f>0</f>
        <v>0</v>
      </c>
      <c r="F124" s="32">
        <f t="shared" si="3"/>
        <v>0</v>
      </c>
    </row>
    <row r="125" spans="1:6" x14ac:dyDescent="0.75">
      <c r="A125" s="109">
        <f t="shared" si="2"/>
        <v>3900</v>
      </c>
      <c r="B125" s="99" t="s">
        <v>311</v>
      </c>
      <c r="C125" s="100">
        <f>9762333.85</f>
        <v>9762333.8499999996</v>
      </c>
      <c r="D125" s="101"/>
      <c r="F125" s="32">
        <f t="shared" si="3"/>
        <v>9762333.8499999996</v>
      </c>
    </row>
    <row r="126" spans="1:6" x14ac:dyDescent="0.75">
      <c r="A126" s="109">
        <f t="shared" si="2"/>
        <v>4100</v>
      </c>
      <c r="B126" s="99" t="s">
        <v>313</v>
      </c>
      <c r="C126" s="101"/>
      <c r="D126" s="100">
        <f>346026.45</f>
        <v>346026.45</v>
      </c>
      <c r="F126" s="32">
        <f t="shared" si="3"/>
        <v>-346026.45</v>
      </c>
    </row>
    <row r="127" spans="1:6" x14ac:dyDescent="0.75">
      <c r="A127" s="109">
        <f t="shared" si="2"/>
        <v>4500</v>
      </c>
      <c r="B127" s="99" t="s">
        <v>766</v>
      </c>
      <c r="C127" s="101"/>
      <c r="D127" s="100">
        <f>8526.14</f>
        <v>8526.14</v>
      </c>
      <c r="F127" s="32">
        <f t="shared" si="3"/>
        <v>-8526.14</v>
      </c>
    </row>
    <row r="128" spans="1:6" x14ac:dyDescent="0.75">
      <c r="A128" s="109">
        <f t="shared" si="2"/>
        <v>5010</v>
      </c>
      <c r="B128" s="99" t="s">
        <v>833</v>
      </c>
      <c r="C128" s="100">
        <f>20700</f>
        <v>20700</v>
      </c>
      <c r="D128" s="101"/>
      <c r="F128" s="32">
        <f t="shared" si="3"/>
        <v>20700</v>
      </c>
    </row>
    <row r="129" spans="1:6" x14ac:dyDescent="0.75">
      <c r="A129" s="109">
        <f t="shared" si="2"/>
        <v>5020</v>
      </c>
      <c r="B129" s="99" t="s">
        <v>796</v>
      </c>
      <c r="C129" s="100">
        <f>25000</f>
        <v>25000</v>
      </c>
      <c r="D129" s="101"/>
      <c r="F129" s="32">
        <f t="shared" si="3"/>
        <v>25000</v>
      </c>
    </row>
    <row r="130" spans="1:6" x14ac:dyDescent="0.75">
      <c r="A130" s="109">
        <f t="shared" si="2"/>
        <v>5030</v>
      </c>
      <c r="B130" s="99" t="s">
        <v>860</v>
      </c>
      <c r="C130" s="100">
        <f>24764.54</f>
        <v>24764.54</v>
      </c>
      <c r="D130" s="101"/>
      <c r="F130" s="32">
        <f t="shared" si="3"/>
        <v>24764.54</v>
      </c>
    </row>
    <row r="131" spans="1:6" x14ac:dyDescent="0.75">
      <c r="A131" s="109">
        <f t="shared" si="2"/>
        <v>5050</v>
      </c>
      <c r="B131" s="99" t="s">
        <v>797</v>
      </c>
      <c r="C131" s="100">
        <f>32605.11</f>
        <v>32605.11</v>
      </c>
      <c r="D131" s="101"/>
      <c r="F131" s="32">
        <f t="shared" si="3"/>
        <v>32605.11</v>
      </c>
    </row>
    <row r="132" spans="1:6" x14ac:dyDescent="0.75">
      <c r="A132" s="109">
        <f t="shared" si="2"/>
        <v>6010</v>
      </c>
      <c r="B132" s="99" t="s">
        <v>798</v>
      </c>
      <c r="C132" s="100">
        <f>0</f>
        <v>0</v>
      </c>
      <c r="D132" s="101"/>
      <c r="F132" s="32">
        <f t="shared" si="3"/>
        <v>0</v>
      </c>
    </row>
    <row r="133" spans="1:6" x14ac:dyDescent="0.75">
      <c r="A133" s="109">
        <f t="shared" si="2"/>
        <v>6025</v>
      </c>
      <c r="B133" s="99" t="s">
        <v>767</v>
      </c>
      <c r="C133" s="100">
        <f>572</f>
        <v>572</v>
      </c>
      <c r="D133" s="101"/>
      <c r="F133" s="32">
        <f t="shared" si="3"/>
        <v>572</v>
      </c>
    </row>
    <row r="134" spans="1:6" x14ac:dyDescent="0.75">
      <c r="A134" s="109">
        <f t="shared" ref="A134:A172" si="4">VALUE(LEFT(B134,4))</f>
        <v>6030</v>
      </c>
      <c r="B134" s="99" t="s">
        <v>768</v>
      </c>
      <c r="C134" s="100">
        <f>955.64</f>
        <v>955.64</v>
      </c>
      <c r="D134" s="101"/>
      <c r="F134" s="32">
        <f t="shared" si="3"/>
        <v>955.64</v>
      </c>
    </row>
    <row r="135" spans="1:6" x14ac:dyDescent="0.75">
      <c r="A135" s="109">
        <f t="shared" si="4"/>
        <v>6060</v>
      </c>
      <c r="B135" s="99" t="s">
        <v>852</v>
      </c>
      <c r="C135" s="100">
        <f>700</f>
        <v>700</v>
      </c>
      <c r="D135" s="101"/>
      <c r="F135" s="32">
        <f t="shared" ref="F135:F173" si="5">C135-D135</f>
        <v>700</v>
      </c>
    </row>
    <row r="136" spans="1:6" x14ac:dyDescent="0.75">
      <c r="A136" s="109">
        <f t="shared" si="4"/>
        <v>6075</v>
      </c>
      <c r="B136" s="99" t="s">
        <v>803</v>
      </c>
      <c r="C136" s="100">
        <f>36172.87</f>
        <v>36172.870000000003</v>
      </c>
      <c r="D136" s="101"/>
      <c r="F136" s="32">
        <f t="shared" si="5"/>
        <v>36172.870000000003</v>
      </c>
    </row>
    <row r="137" spans="1:6" x14ac:dyDescent="0.75">
      <c r="A137" s="109">
        <f t="shared" si="4"/>
        <v>6085</v>
      </c>
      <c r="B137" s="99" t="s">
        <v>769</v>
      </c>
      <c r="C137" s="100">
        <f>1749.92</f>
        <v>1749.92</v>
      </c>
      <c r="D137" s="101"/>
      <c r="F137" s="32">
        <f t="shared" si="5"/>
        <v>1749.92</v>
      </c>
    </row>
    <row r="138" spans="1:6" x14ac:dyDescent="0.75">
      <c r="A138" s="109">
        <f t="shared" si="4"/>
        <v>6100</v>
      </c>
      <c r="B138" s="99" t="s">
        <v>804</v>
      </c>
      <c r="C138" s="100">
        <f>540.24</f>
        <v>540.24</v>
      </c>
      <c r="D138" s="101"/>
      <c r="F138" s="32">
        <f t="shared" si="5"/>
        <v>540.24</v>
      </c>
    </row>
    <row r="139" spans="1:6" x14ac:dyDescent="0.75">
      <c r="A139" s="109">
        <f t="shared" si="4"/>
        <v>6105</v>
      </c>
      <c r="B139" s="99" t="s">
        <v>838</v>
      </c>
      <c r="C139" s="100">
        <f>1570.14</f>
        <v>1570.14</v>
      </c>
      <c r="D139" s="101"/>
      <c r="F139" s="32">
        <f t="shared" si="5"/>
        <v>1570.14</v>
      </c>
    </row>
    <row r="140" spans="1:6" x14ac:dyDescent="0.75">
      <c r="A140" s="109">
        <f t="shared" si="4"/>
        <v>6115</v>
      </c>
      <c r="B140" s="99" t="s">
        <v>839</v>
      </c>
      <c r="C140" s="100">
        <f>0</f>
        <v>0</v>
      </c>
      <c r="D140" s="101"/>
      <c r="F140" s="32">
        <f t="shared" si="5"/>
        <v>0</v>
      </c>
    </row>
    <row r="141" spans="1:6" x14ac:dyDescent="0.75">
      <c r="A141" s="109">
        <f t="shared" si="4"/>
        <v>6120</v>
      </c>
      <c r="B141" s="99" t="s">
        <v>770</v>
      </c>
      <c r="C141" s="100">
        <f>1098.92</f>
        <v>1098.92</v>
      </c>
      <c r="D141" s="101"/>
      <c r="F141" s="32">
        <f t="shared" si="5"/>
        <v>1098.92</v>
      </c>
    </row>
    <row r="142" spans="1:6" x14ac:dyDescent="0.75">
      <c r="A142" s="109">
        <f t="shared" si="4"/>
        <v>6135</v>
      </c>
      <c r="B142" s="99" t="s">
        <v>853</v>
      </c>
      <c r="C142" s="100">
        <f>6177.04</f>
        <v>6177.04</v>
      </c>
      <c r="D142" s="101"/>
      <c r="F142" s="32">
        <f t="shared" si="5"/>
        <v>6177.04</v>
      </c>
    </row>
    <row r="143" spans="1:6" x14ac:dyDescent="0.75">
      <c r="A143" s="109">
        <f t="shared" si="4"/>
        <v>6150</v>
      </c>
      <c r="B143" s="99" t="s">
        <v>771</v>
      </c>
      <c r="C143" s="100">
        <f>6163</f>
        <v>6163</v>
      </c>
      <c r="D143" s="101"/>
      <c r="F143" s="32">
        <f t="shared" si="5"/>
        <v>6163</v>
      </c>
    </row>
    <row r="144" spans="1:6" x14ac:dyDescent="0.75">
      <c r="A144" s="109">
        <f t="shared" si="4"/>
        <v>6155</v>
      </c>
      <c r="B144" s="99" t="s">
        <v>772</v>
      </c>
      <c r="C144" s="100">
        <f>7859.98</f>
        <v>7859.98</v>
      </c>
      <c r="D144" s="101"/>
      <c r="F144" s="32">
        <f t="shared" si="5"/>
        <v>7859.98</v>
      </c>
    </row>
    <row r="145" spans="1:6" x14ac:dyDescent="0.75">
      <c r="A145" s="109">
        <f t="shared" si="4"/>
        <v>6210</v>
      </c>
      <c r="B145" s="99" t="s">
        <v>773</v>
      </c>
      <c r="C145" s="100">
        <f>802.67</f>
        <v>802.67</v>
      </c>
      <c r="D145" s="101"/>
      <c r="F145" s="32">
        <f t="shared" si="5"/>
        <v>802.67</v>
      </c>
    </row>
    <row r="146" spans="1:6" x14ac:dyDescent="0.75">
      <c r="A146" s="109">
        <f t="shared" si="4"/>
        <v>6215</v>
      </c>
      <c r="B146" s="99" t="s">
        <v>774</v>
      </c>
      <c r="C146" s="100">
        <f>1303.83</f>
        <v>1303.83</v>
      </c>
      <c r="D146" s="101"/>
      <c r="F146" s="32">
        <f t="shared" si="5"/>
        <v>1303.83</v>
      </c>
    </row>
    <row r="147" spans="1:6" x14ac:dyDescent="0.75">
      <c r="A147" s="109">
        <f t="shared" si="4"/>
        <v>6220</v>
      </c>
      <c r="B147" s="99" t="s">
        <v>775</v>
      </c>
      <c r="C147" s="100">
        <f>2664.53</f>
        <v>2664.53</v>
      </c>
      <c r="D147" s="101"/>
      <c r="F147" s="32">
        <f t="shared" si="5"/>
        <v>2664.53</v>
      </c>
    </row>
    <row r="148" spans="1:6" x14ac:dyDescent="0.75">
      <c r="A148" s="109">
        <f t="shared" si="4"/>
        <v>6245</v>
      </c>
      <c r="B148" s="99" t="s">
        <v>776</v>
      </c>
      <c r="C148" s="100">
        <f>841.24</f>
        <v>841.24</v>
      </c>
      <c r="D148" s="101"/>
      <c r="F148" s="32">
        <f t="shared" si="5"/>
        <v>841.24</v>
      </c>
    </row>
    <row r="149" spans="1:6" x14ac:dyDescent="0.75">
      <c r="A149" s="109">
        <f t="shared" si="4"/>
        <v>6270</v>
      </c>
      <c r="B149" s="99" t="s">
        <v>778</v>
      </c>
      <c r="C149" s="100">
        <f>109550</f>
        <v>109550</v>
      </c>
      <c r="D149" s="101"/>
      <c r="F149" s="32">
        <f t="shared" si="5"/>
        <v>109550</v>
      </c>
    </row>
    <row r="150" spans="1:6" x14ac:dyDescent="0.75">
      <c r="A150" s="109">
        <f t="shared" si="4"/>
        <v>6275</v>
      </c>
      <c r="B150" s="99" t="s">
        <v>790</v>
      </c>
      <c r="C150" s="100">
        <f>93693.46</f>
        <v>93693.46</v>
      </c>
      <c r="D150" s="101"/>
      <c r="F150" s="32">
        <f t="shared" si="5"/>
        <v>93693.46</v>
      </c>
    </row>
    <row r="151" spans="1:6" x14ac:dyDescent="0.75">
      <c r="A151" s="109">
        <f t="shared" si="4"/>
        <v>6280</v>
      </c>
      <c r="B151" s="99" t="s">
        <v>779</v>
      </c>
      <c r="C151" s="100">
        <f>25985.27</f>
        <v>25985.27</v>
      </c>
      <c r="D151" s="101"/>
      <c r="F151" s="32">
        <f t="shared" si="5"/>
        <v>25985.27</v>
      </c>
    </row>
    <row r="152" spans="1:6" x14ac:dyDescent="0.75">
      <c r="A152" s="109">
        <f t="shared" si="4"/>
        <v>6295</v>
      </c>
      <c r="B152" s="99" t="s">
        <v>795</v>
      </c>
      <c r="C152" s="100">
        <f>1573.5</f>
        <v>1573.5</v>
      </c>
      <c r="D152" s="101"/>
      <c r="F152" s="32">
        <f t="shared" si="5"/>
        <v>1573.5</v>
      </c>
    </row>
    <row r="153" spans="1:6" x14ac:dyDescent="0.75">
      <c r="A153" s="109">
        <f t="shared" si="4"/>
        <v>6300</v>
      </c>
      <c r="B153" s="99" t="s">
        <v>840</v>
      </c>
      <c r="C153" s="100">
        <f>1134.96</f>
        <v>1134.96</v>
      </c>
      <c r="D153" s="101"/>
      <c r="F153" s="32">
        <f t="shared" si="5"/>
        <v>1134.96</v>
      </c>
    </row>
    <row r="154" spans="1:6" x14ac:dyDescent="0.75">
      <c r="A154" s="109">
        <f t="shared" si="4"/>
        <v>6315</v>
      </c>
      <c r="B154" s="99" t="s">
        <v>791</v>
      </c>
      <c r="C154" s="100">
        <f>15349.48</f>
        <v>15349.48</v>
      </c>
      <c r="D154" s="101"/>
      <c r="F154" s="32">
        <f t="shared" si="5"/>
        <v>15349.48</v>
      </c>
    </row>
    <row r="155" spans="1:6" x14ac:dyDescent="0.75">
      <c r="A155" s="109">
        <f t="shared" si="4"/>
        <v>6330</v>
      </c>
      <c r="B155" s="99" t="s">
        <v>967</v>
      </c>
      <c r="C155" s="100">
        <f>858.92</f>
        <v>858.92</v>
      </c>
      <c r="D155" s="101"/>
      <c r="F155" s="32">
        <f t="shared" si="5"/>
        <v>858.92</v>
      </c>
    </row>
    <row r="156" spans="1:6" x14ac:dyDescent="0.75">
      <c r="A156" s="109">
        <f t="shared" si="4"/>
        <v>6335</v>
      </c>
      <c r="B156" s="99" t="s">
        <v>855</v>
      </c>
      <c r="C156" s="100">
        <f>223.5</f>
        <v>223.5</v>
      </c>
      <c r="D156" s="101"/>
      <c r="F156" s="32">
        <f t="shared" si="5"/>
        <v>223.5</v>
      </c>
    </row>
    <row r="157" spans="1:6" x14ac:dyDescent="0.75">
      <c r="A157" s="109">
        <f t="shared" si="4"/>
        <v>6350</v>
      </c>
      <c r="B157" s="99" t="s">
        <v>780</v>
      </c>
      <c r="C157" s="100">
        <f>585.91</f>
        <v>585.91</v>
      </c>
      <c r="D157" s="101"/>
      <c r="F157" s="32">
        <f t="shared" si="5"/>
        <v>585.91</v>
      </c>
    </row>
    <row r="158" spans="1:6" x14ac:dyDescent="0.75">
      <c r="A158" s="109">
        <f t="shared" si="4"/>
        <v>6400</v>
      </c>
      <c r="B158" s="99" t="s">
        <v>781</v>
      </c>
      <c r="C158" s="100">
        <f>84873</f>
        <v>84873</v>
      </c>
      <c r="D158" s="101"/>
      <c r="F158" s="32">
        <f t="shared" si="5"/>
        <v>84873</v>
      </c>
    </row>
    <row r="159" spans="1:6" x14ac:dyDescent="0.75">
      <c r="A159" s="109">
        <f t="shared" si="4"/>
        <v>6420</v>
      </c>
      <c r="B159" s="99" t="s">
        <v>965</v>
      </c>
      <c r="C159" s="101"/>
      <c r="D159" s="100">
        <f>7773</f>
        <v>7773</v>
      </c>
      <c r="F159" s="32">
        <f t="shared" si="5"/>
        <v>-7773</v>
      </c>
    </row>
    <row r="160" spans="1:6" x14ac:dyDescent="0.75">
      <c r="A160" s="109">
        <f t="shared" si="4"/>
        <v>6430</v>
      </c>
      <c r="B160" s="99" t="s">
        <v>782</v>
      </c>
      <c r="C160" s="100">
        <f>79494.26</f>
        <v>79494.259999999995</v>
      </c>
      <c r="D160" s="101"/>
      <c r="F160" s="32">
        <f t="shared" si="5"/>
        <v>79494.259999999995</v>
      </c>
    </row>
    <row r="161" spans="1:6" x14ac:dyDescent="0.75">
      <c r="A161" s="109">
        <f t="shared" si="4"/>
        <v>6435</v>
      </c>
      <c r="B161" s="99" t="s">
        <v>783</v>
      </c>
      <c r="C161" s="100">
        <f>12998</f>
        <v>12998</v>
      </c>
      <c r="D161" s="101"/>
      <c r="F161" s="32">
        <f t="shared" si="5"/>
        <v>12998</v>
      </c>
    </row>
    <row r="162" spans="1:6" x14ac:dyDescent="0.75">
      <c r="A162" s="109">
        <f t="shared" si="4"/>
        <v>6440</v>
      </c>
      <c r="B162" s="99" t="s">
        <v>948</v>
      </c>
      <c r="C162" s="100">
        <f>181607.46</f>
        <v>181607.46</v>
      </c>
      <c r="D162" s="101"/>
      <c r="F162" s="32">
        <f t="shared" si="5"/>
        <v>181607.46</v>
      </c>
    </row>
    <row r="163" spans="1:6" x14ac:dyDescent="0.75">
      <c r="A163" s="109">
        <f t="shared" si="4"/>
        <v>6445</v>
      </c>
      <c r="B163" s="99" t="s">
        <v>784</v>
      </c>
      <c r="C163" s="100">
        <f>15761.19</f>
        <v>15761.19</v>
      </c>
      <c r="D163" s="101"/>
      <c r="F163" s="32">
        <f t="shared" si="5"/>
        <v>15761.19</v>
      </c>
    </row>
    <row r="164" spans="1:6" x14ac:dyDescent="0.75">
      <c r="A164" s="109">
        <f t="shared" si="4"/>
        <v>6510</v>
      </c>
      <c r="B164" s="99" t="s">
        <v>785</v>
      </c>
      <c r="C164" s="100">
        <f>8364.38</f>
        <v>8364.3799999999992</v>
      </c>
      <c r="D164" s="101"/>
      <c r="F164" s="32">
        <f t="shared" si="5"/>
        <v>8364.3799999999992</v>
      </c>
    </row>
    <row r="165" spans="1:6" x14ac:dyDescent="0.75">
      <c r="A165" s="109">
        <f t="shared" si="4"/>
        <v>6525</v>
      </c>
      <c r="B165" s="99" t="s">
        <v>794</v>
      </c>
      <c r="C165" s="100">
        <f>4519.4</f>
        <v>4519.3999999999996</v>
      </c>
      <c r="D165" s="101"/>
      <c r="F165" s="32">
        <f t="shared" si="5"/>
        <v>4519.3999999999996</v>
      </c>
    </row>
    <row r="166" spans="1:6" x14ac:dyDescent="0.75">
      <c r="A166" s="109">
        <f t="shared" si="4"/>
        <v>6550</v>
      </c>
      <c r="B166" s="99" t="s">
        <v>786</v>
      </c>
      <c r="C166" s="100">
        <f>7092.6</f>
        <v>7092.6</v>
      </c>
      <c r="D166" s="101"/>
      <c r="F166" s="32">
        <f t="shared" si="5"/>
        <v>7092.6</v>
      </c>
    </row>
    <row r="167" spans="1:6" x14ac:dyDescent="0.75">
      <c r="A167" s="109">
        <f t="shared" si="4"/>
        <v>6555</v>
      </c>
      <c r="B167" s="99" t="s">
        <v>857</v>
      </c>
      <c r="C167" s="100">
        <f>1783.04</f>
        <v>1783.04</v>
      </c>
      <c r="D167" s="101"/>
      <c r="F167" s="32">
        <f t="shared" si="5"/>
        <v>1783.04</v>
      </c>
    </row>
    <row r="168" spans="1:6" x14ac:dyDescent="0.75">
      <c r="A168" s="109">
        <f t="shared" si="4"/>
        <v>7510</v>
      </c>
      <c r="B168" s="99" t="s">
        <v>787</v>
      </c>
      <c r="C168" s="100">
        <f>2879.28</f>
        <v>2879.28</v>
      </c>
      <c r="D168" s="101"/>
      <c r="F168" s="32">
        <f t="shared" si="5"/>
        <v>2879.28</v>
      </c>
    </row>
    <row r="169" spans="1:6" x14ac:dyDescent="0.75">
      <c r="A169" s="109">
        <f t="shared" si="4"/>
        <v>7520</v>
      </c>
      <c r="B169" s="99" t="s">
        <v>805</v>
      </c>
      <c r="C169" s="100">
        <f>7439.03</f>
        <v>7439.03</v>
      </c>
      <c r="D169" s="101"/>
      <c r="F169" s="32">
        <f t="shared" si="5"/>
        <v>7439.03</v>
      </c>
    </row>
    <row r="170" spans="1:6" x14ac:dyDescent="0.75">
      <c r="A170" s="109">
        <f t="shared" si="4"/>
        <v>7530</v>
      </c>
      <c r="B170" s="99" t="s">
        <v>788</v>
      </c>
      <c r="C170" s="100">
        <f>18487.28</f>
        <v>18487.28</v>
      </c>
      <c r="D170" s="101"/>
      <c r="F170" s="32">
        <f t="shared" si="5"/>
        <v>18487.28</v>
      </c>
    </row>
    <row r="171" spans="1:6" x14ac:dyDescent="0.75">
      <c r="A171" s="109">
        <f t="shared" si="4"/>
        <v>7540</v>
      </c>
      <c r="B171" s="99" t="s">
        <v>846</v>
      </c>
      <c r="C171" s="100">
        <f>43432.03</f>
        <v>43432.03</v>
      </c>
      <c r="D171" s="101"/>
      <c r="F171" s="32">
        <f t="shared" si="5"/>
        <v>43432.03</v>
      </c>
    </row>
    <row r="172" spans="1:6" x14ac:dyDescent="0.75">
      <c r="A172" s="109">
        <f t="shared" si="4"/>
        <v>7590</v>
      </c>
      <c r="B172" s="99" t="s">
        <v>944</v>
      </c>
      <c r="C172" s="100">
        <f>75041</f>
        <v>75041</v>
      </c>
      <c r="D172" s="101"/>
      <c r="F172" s="32">
        <f t="shared" si="5"/>
        <v>75041</v>
      </c>
    </row>
    <row r="173" spans="1:6" x14ac:dyDescent="0.75">
      <c r="A173" s="109">
        <f>VALUE(LEFT(B173,4))</f>
        <v>7100</v>
      </c>
      <c r="B173" s="99" t="s">
        <v>375</v>
      </c>
      <c r="C173" s="101"/>
      <c r="D173" s="100">
        <f>117.7</f>
        <v>117.7</v>
      </c>
      <c r="F173" s="32">
        <f t="shared" si="5"/>
        <v>-117.7</v>
      </c>
    </row>
    <row r="174" spans="1:6" x14ac:dyDescent="0.75">
      <c r="B174" s="99" t="s">
        <v>2</v>
      </c>
      <c r="C174" s="102">
        <f t="shared" ref="C174:D174" si="6">SUM(C6:C173)</f>
        <v>12300599.859999998</v>
      </c>
      <c r="D174" s="102">
        <f t="shared" si="6"/>
        <v>12300599.859999999</v>
      </c>
      <c r="F174" s="32">
        <f>SUM(F6:F173)</f>
        <v>1.2805401183868526E-10</v>
      </c>
    </row>
    <row r="175" spans="1:6" x14ac:dyDescent="0.75">
      <c r="B175" s="99"/>
      <c r="C175" s="101"/>
      <c r="D175" s="101"/>
    </row>
    <row r="178" spans="2:4" x14ac:dyDescent="0.75">
      <c r="B178" s="202" t="s">
        <v>1057</v>
      </c>
      <c r="C178" s="197"/>
      <c r="D178" s="197"/>
    </row>
  </sheetData>
  <mergeCells count="4">
    <mergeCell ref="B1:D1"/>
    <mergeCell ref="B2:D2"/>
    <mergeCell ref="B3:D3"/>
    <mergeCell ref="B178:D178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53249" r:id="rId4" name="FILT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53249" r:id="rId4" name="FILTER"/>
      </mc:Fallback>
    </mc:AlternateContent>
    <mc:AlternateContent xmlns:mc="http://schemas.openxmlformats.org/markup-compatibility/2006">
      <mc:Choice Requires="x14">
        <control shapeId="53250" r:id="rId6" name="HEAD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53250" r:id="rId6" name="HEADER"/>
      </mc:Fallback>
    </mc:AlternateContent>
  </control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43469-541B-44FE-8843-463C434608C5}">
  <sheetPr codeName="Sheet14">
    <tabColor theme="7" tint="0.59999389629810485"/>
  </sheetPr>
  <dimension ref="A1:F183"/>
  <sheetViews>
    <sheetView zoomScaleNormal="100" workbookViewId="0">
      <pane xSplit="2" ySplit="5" topLeftCell="C6" activePane="bottomRight" state="frozenSplit"/>
      <selection pane="topRight" activeCell="C1" sqref="C1"/>
      <selection pane="bottomLeft" activeCell="A3" sqref="A3"/>
      <selection pane="bottomRight" activeCell="J18" sqref="J18"/>
    </sheetView>
  </sheetViews>
  <sheetFormatPr defaultColWidth="9.1328125" defaultRowHeight="14.75" x14ac:dyDescent="0.75"/>
  <cols>
    <col min="1" max="1" width="9.1328125" style="109"/>
    <col min="2" max="2" width="52.40625" style="109" customWidth="1"/>
    <col min="3" max="4" width="13.7265625" style="109" customWidth="1"/>
    <col min="5" max="5" width="9.1328125" style="109"/>
    <col min="6" max="6" width="19.1328125" style="32" customWidth="1"/>
    <col min="7" max="16384" width="9.1328125" style="109"/>
  </cols>
  <sheetData>
    <row r="1" spans="1:6" ht="18" x14ac:dyDescent="0.8">
      <c r="B1" s="200" t="s">
        <v>696</v>
      </c>
      <c r="C1" s="197"/>
      <c r="D1" s="197"/>
    </row>
    <row r="2" spans="1:6" ht="18" x14ac:dyDescent="0.8">
      <c r="B2" s="200" t="s">
        <v>697</v>
      </c>
      <c r="C2" s="197"/>
      <c r="D2" s="197"/>
    </row>
    <row r="3" spans="1:6" x14ac:dyDescent="0.75">
      <c r="B3" s="201" t="s">
        <v>968</v>
      </c>
      <c r="C3" s="197"/>
      <c r="D3" s="197"/>
    </row>
    <row r="5" spans="1:6" x14ac:dyDescent="0.75">
      <c r="B5" s="52"/>
      <c r="C5" s="98" t="s">
        <v>0</v>
      </c>
      <c r="D5" s="98" t="s">
        <v>1</v>
      </c>
      <c r="F5" s="98" t="s">
        <v>170</v>
      </c>
    </row>
    <row r="6" spans="1:6" x14ac:dyDescent="0.75">
      <c r="A6" s="109">
        <f t="shared" ref="A6:A69" si="0">VALUE(LEFT(B6,4))</f>
        <v>1005</v>
      </c>
      <c r="B6" s="99" t="s">
        <v>698</v>
      </c>
      <c r="C6" s="100">
        <f>0</f>
        <v>0</v>
      </c>
      <c r="D6" s="101"/>
      <c r="F6" s="32">
        <f>C6-D6</f>
        <v>0</v>
      </c>
    </row>
    <row r="7" spans="1:6" x14ac:dyDescent="0.75">
      <c r="A7" s="109">
        <f t="shared" si="0"/>
        <v>1010</v>
      </c>
      <c r="B7" s="99" t="s">
        <v>193</v>
      </c>
      <c r="C7" s="100">
        <f>8372.06</f>
        <v>8372.06</v>
      </c>
      <c r="D7" s="101"/>
      <c r="F7" s="32">
        <f t="shared" ref="F7:F70" si="1">C7-D7</f>
        <v>8372.06</v>
      </c>
    </row>
    <row r="8" spans="1:6" x14ac:dyDescent="0.75">
      <c r="A8" s="109">
        <f t="shared" si="0"/>
        <v>1020</v>
      </c>
      <c r="B8" s="99" t="s">
        <v>194</v>
      </c>
      <c r="C8" s="100">
        <f>350788.48</f>
        <v>350788.48</v>
      </c>
      <c r="D8" s="101"/>
      <c r="F8" s="32">
        <f t="shared" si="1"/>
        <v>350788.48</v>
      </c>
    </row>
    <row r="9" spans="1:6" x14ac:dyDescent="0.75">
      <c r="A9" s="109">
        <f t="shared" si="0"/>
        <v>1200</v>
      </c>
      <c r="B9" s="99" t="s">
        <v>699</v>
      </c>
      <c r="C9" s="100">
        <f>245143.78</f>
        <v>245143.78</v>
      </c>
      <c r="D9" s="101"/>
      <c r="F9" s="32">
        <f t="shared" si="1"/>
        <v>245143.78</v>
      </c>
    </row>
    <row r="10" spans="1:6" x14ac:dyDescent="0.75">
      <c r="A10" s="109">
        <f t="shared" si="0"/>
        <v>1210</v>
      </c>
      <c r="B10" s="99" t="s">
        <v>700</v>
      </c>
      <c r="C10" s="100">
        <f>0</f>
        <v>0</v>
      </c>
      <c r="D10" s="101"/>
      <c r="F10" s="32">
        <f t="shared" si="1"/>
        <v>0</v>
      </c>
    </row>
    <row r="11" spans="1:6" x14ac:dyDescent="0.75">
      <c r="A11" s="109">
        <f t="shared" si="0"/>
        <v>1250</v>
      </c>
      <c r="B11" s="99" t="s">
        <v>701</v>
      </c>
      <c r="C11" s="100">
        <f>0</f>
        <v>0</v>
      </c>
      <c r="D11" s="101"/>
      <c r="F11" s="32">
        <f t="shared" si="1"/>
        <v>0</v>
      </c>
    </row>
    <row r="12" spans="1:6" x14ac:dyDescent="0.75">
      <c r="A12" s="109">
        <f t="shared" si="0"/>
        <v>1280</v>
      </c>
      <c r="B12" s="99" t="s">
        <v>702</v>
      </c>
      <c r="C12" s="100">
        <f>0</f>
        <v>0</v>
      </c>
      <c r="D12" s="101"/>
      <c r="F12" s="32">
        <f t="shared" si="1"/>
        <v>0</v>
      </c>
    </row>
    <row r="13" spans="1:6" x14ac:dyDescent="0.75">
      <c r="A13" s="109">
        <f t="shared" si="0"/>
        <v>1290</v>
      </c>
      <c r="B13" s="99" t="s">
        <v>703</v>
      </c>
      <c r="C13" s="100">
        <f>0</f>
        <v>0</v>
      </c>
      <c r="D13" s="101"/>
      <c r="F13" s="32">
        <f t="shared" si="1"/>
        <v>0</v>
      </c>
    </row>
    <row r="14" spans="1:6" x14ac:dyDescent="0.75">
      <c r="A14" s="109">
        <f t="shared" si="0"/>
        <v>1310</v>
      </c>
      <c r="B14" s="99" t="s">
        <v>200</v>
      </c>
      <c r="C14" s="100">
        <f>70901.44</f>
        <v>70901.440000000002</v>
      </c>
      <c r="D14" s="101"/>
      <c r="F14" s="32">
        <f t="shared" si="1"/>
        <v>70901.440000000002</v>
      </c>
    </row>
    <row r="15" spans="1:6" x14ac:dyDescent="0.75">
      <c r="A15" s="109">
        <f t="shared" si="0"/>
        <v>1320</v>
      </c>
      <c r="B15" s="99" t="s">
        <v>201</v>
      </c>
      <c r="C15" s="100">
        <f>0</f>
        <v>0</v>
      </c>
      <c r="D15" s="101"/>
      <c r="F15" s="32">
        <f t="shared" si="1"/>
        <v>0</v>
      </c>
    </row>
    <row r="16" spans="1:6" x14ac:dyDescent="0.75">
      <c r="A16" s="109">
        <f t="shared" si="0"/>
        <v>1330</v>
      </c>
      <c r="B16" s="99" t="s">
        <v>704</v>
      </c>
      <c r="C16" s="100">
        <f>0</f>
        <v>0</v>
      </c>
      <c r="D16" s="101"/>
      <c r="F16" s="32">
        <f t="shared" si="1"/>
        <v>0</v>
      </c>
    </row>
    <row r="17" spans="1:6" x14ac:dyDescent="0.75">
      <c r="A17" s="109">
        <f t="shared" si="0"/>
        <v>1340</v>
      </c>
      <c r="B17" s="99" t="s">
        <v>705</v>
      </c>
      <c r="C17" s="100">
        <f>11380.4</f>
        <v>11380.4</v>
      </c>
      <c r="D17" s="101"/>
      <c r="F17" s="32">
        <f t="shared" si="1"/>
        <v>11380.4</v>
      </c>
    </row>
    <row r="18" spans="1:6" x14ac:dyDescent="0.75">
      <c r="A18" s="109">
        <f t="shared" si="0"/>
        <v>1410</v>
      </c>
      <c r="B18" s="99" t="s">
        <v>204</v>
      </c>
      <c r="C18" s="100">
        <f>21250</f>
        <v>21250</v>
      </c>
      <c r="D18" s="101"/>
      <c r="F18" s="32">
        <f t="shared" si="1"/>
        <v>21250</v>
      </c>
    </row>
    <row r="19" spans="1:6" x14ac:dyDescent="0.75">
      <c r="A19" s="109">
        <f t="shared" si="0"/>
        <v>1430</v>
      </c>
      <c r="B19" s="99" t="s">
        <v>706</v>
      </c>
      <c r="C19" s="100">
        <f>0</f>
        <v>0</v>
      </c>
      <c r="D19" s="101"/>
      <c r="F19" s="32">
        <f t="shared" si="1"/>
        <v>0</v>
      </c>
    </row>
    <row r="20" spans="1:6" x14ac:dyDescent="0.75">
      <c r="A20" s="109">
        <f t="shared" si="0"/>
        <v>1710</v>
      </c>
      <c r="B20" s="99" t="s">
        <v>807</v>
      </c>
      <c r="C20" s="100">
        <f>97384.17</f>
        <v>97384.17</v>
      </c>
      <c r="D20" s="101"/>
      <c r="F20" s="32">
        <f t="shared" si="1"/>
        <v>97384.17</v>
      </c>
    </row>
    <row r="21" spans="1:6" x14ac:dyDescent="0.75">
      <c r="A21" s="109">
        <f t="shared" si="0"/>
        <v>1715</v>
      </c>
      <c r="B21" s="99" t="s">
        <v>707</v>
      </c>
      <c r="C21" s="100">
        <f>0</f>
        <v>0</v>
      </c>
      <c r="D21" s="101"/>
      <c r="F21" s="32">
        <f t="shared" si="1"/>
        <v>0</v>
      </c>
    </row>
    <row r="22" spans="1:6" x14ac:dyDescent="0.75">
      <c r="A22" s="109">
        <f t="shared" si="0"/>
        <v>1720</v>
      </c>
      <c r="B22" s="99" t="s">
        <v>708</v>
      </c>
      <c r="C22" s="100">
        <f>3937.6</f>
        <v>3937.6</v>
      </c>
      <c r="D22" s="101"/>
      <c r="F22" s="32">
        <f t="shared" si="1"/>
        <v>3937.6</v>
      </c>
    </row>
    <row r="23" spans="1:6" x14ac:dyDescent="0.75">
      <c r="A23" s="109">
        <f t="shared" si="0"/>
        <v>1725</v>
      </c>
      <c r="B23" s="99" t="s">
        <v>849</v>
      </c>
      <c r="C23" s="100">
        <f>2446.33</f>
        <v>2446.33</v>
      </c>
      <c r="D23" s="101"/>
      <c r="F23" s="32">
        <f t="shared" si="1"/>
        <v>2446.33</v>
      </c>
    </row>
    <row r="24" spans="1:6" x14ac:dyDescent="0.75">
      <c r="A24" s="109">
        <f t="shared" si="0"/>
        <v>1735</v>
      </c>
      <c r="B24" s="99" t="s">
        <v>709</v>
      </c>
      <c r="C24" s="100">
        <f>12340.5</f>
        <v>12340.5</v>
      </c>
      <c r="D24" s="101"/>
      <c r="F24" s="32">
        <f t="shared" si="1"/>
        <v>12340.5</v>
      </c>
    </row>
    <row r="25" spans="1:6" x14ac:dyDescent="0.75">
      <c r="A25" s="109">
        <f t="shared" si="0"/>
        <v>1740</v>
      </c>
      <c r="B25" s="99" t="s">
        <v>710</v>
      </c>
      <c r="C25" s="100">
        <f>0</f>
        <v>0</v>
      </c>
      <c r="D25" s="101"/>
      <c r="F25" s="32">
        <f t="shared" si="1"/>
        <v>0</v>
      </c>
    </row>
    <row r="26" spans="1:6" x14ac:dyDescent="0.75">
      <c r="A26" s="109">
        <f t="shared" si="0"/>
        <v>1745</v>
      </c>
      <c r="B26" s="99" t="s">
        <v>711</v>
      </c>
      <c r="C26" s="100">
        <f>315246.63</f>
        <v>315246.63</v>
      </c>
      <c r="D26" s="101"/>
      <c r="F26" s="32">
        <f t="shared" si="1"/>
        <v>315246.63</v>
      </c>
    </row>
    <row r="27" spans="1:6" x14ac:dyDescent="0.75">
      <c r="A27" s="109">
        <f t="shared" si="0"/>
        <v>1750</v>
      </c>
      <c r="B27" s="99" t="s">
        <v>808</v>
      </c>
      <c r="C27" s="100">
        <f>10394.01</f>
        <v>10394.01</v>
      </c>
      <c r="D27" s="101"/>
      <c r="F27" s="32">
        <f t="shared" si="1"/>
        <v>10394.01</v>
      </c>
    </row>
    <row r="28" spans="1:6" x14ac:dyDescent="0.75">
      <c r="A28" s="109">
        <f t="shared" si="0"/>
        <v>1755</v>
      </c>
      <c r="B28" s="99" t="s">
        <v>712</v>
      </c>
      <c r="C28" s="100">
        <f>12839.91</f>
        <v>12839.91</v>
      </c>
      <c r="D28" s="101"/>
      <c r="F28" s="32">
        <f t="shared" si="1"/>
        <v>12839.91</v>
      </c>
    </row>
    <row r="29" spans="1:6" x14ac:dyDescent="0.75">
      <c r="A29" s="109">
        <f t="shared" si="0"/>
        <v>1760</v>
      </c>
      <c r="B29" s="99" t="s">
        <v>713</v>
      </c>
      <c r="C29" s="100">
        <f>20105.95</f>
        <v>20105.95</v>
      </c>
      <c r="D29" s="101"/>
      <c r="F29" s="32">
        <f t="shared" si="1"/>
        <v>20105.95</v>
      </c>
    </row>
    <row r="30" spans="1:6" x14ac:dyDescent="0.75">
      <c r="A30" s="109">
        <f t="shared" si="0"/>
        <v>1765</v>
      </c>
      <c r="B30" s="99" t="s">
        <v>714</v>
      </c>
      <c r="C30" s="100">
        <f>1015.31</f>
        <v>1015.31</v>
      </c>
      <c r="D30" s="101"/>
      <c r="F30" s="32">
        <f t="shared" si="1"/>
        <v>1015.31</v>
      </c>
    </row>
    <row r="31" spans="1:6" x14ac:dyDescent="0.75">
      <c r="A31" s="109">
        <f t="shared" si="0"/>
        <v>1781</v>
      </c>
      <c r="B31" s="99" t="s">
        <v>809</v>
      </c>
      <c r="C31" s="101"/>
      <c r="D31" s="100">
        <f>57632.56</f>
        <v>57632.56</v>
      </c>
      <c r="F31" s="32">
        <f t="shared" si="1"/>
        <v>-57632.56</v>
      </c>
    </row>
    <row r="32" spans="1:6" x14ac:dyDescent="0.75">
      <c r="A32" s="109">
        <f t="shared" si="0"/>
        <v>1782</v>
      </c>
      <c r="B32" s="99" t="s">
        <v>715</v>
      </c>
      <c r="C32" s="100">
        <f>0</f>
        <v>0</v>
      </c>
      <c r="D32" s="101"/>
      <c r="F32" s="32">
        <f t="shared" si="1"/>
        <v>0</v>
      </c>
    </row>
    <row r="33" spans="1:6" x14ac:dyDescent="0.75">
      <c r="A33" s="109">
        <f t="shared" si="0"/>
        <v>1783</v>
      </c>
      <c r="B33" s="99" t="s">
        <v>716</v>
      </c>
      <c r="C33" s="101"/>
      <c r="D33" s="100">
        <f>1968.78</f>
        <v>1968.78</v>
      </c>
      <c r="F33" s="32">
        <f t="shared" si="1"/>
        <v>-1968.78</v>
      </c>
    </row>
    <row r="34" spans="1:6" x14ac:dyDescent="0.75">
      <c r="A34" s="109">
        <f t="shared" si="0"/>
        <v>1784</v>
      </c>
      <c r="B34" s="99" t="s">
        <v>850</v>
      </c>
      <c r="C34" s="101"/>
      <c r="D34" s="100">
        <f>803.74</f>
        <v>803.74</v>
      </c>
      <c r="F34" s="32">
        <f t="shared" si="1"/>
        <v>-803.74</v>
      </c>
    </row>
    <row r="35" spans="1:6" x14ac:dyDescent="0.75">
      <c r="A35" s="109">
        <f t="shared" si="0"/>
        <v>1785</v>
      </c>
      <c r="B35" s="99" t="s">
        <v>717</v>
      </c>
      <c r="C35" s="101"/>
      <c r="D35" s="100">
        <f>4706.69</f>
        <v>4706.6899999999996</v>
      </c>
      <c r="F35" s="32">
        <f t="shared" si="1"/>
        <v>-4706.6899999999996</v>
      </c>
    </row>
    <row r="36" spans="1:6" x14ac:dyDescent="0.75">
      <c r="A36" s="109">
        <f t="shared" si="0"/>
        <v>1786</v>
      </c>
      <c r="B36" s="99" t="s">
        <v>718</v>
      </c>
      <c r="C36" s="100">
        <f>0</f>
        <v>0</v>
      </c>
      <c r="D36" s="101"/>
      <c r="F36" s="32">
        <f t="shared" si="1"/>
        <v>0</v>
      </c>
    </row>
    <row r="37" spans="1:6" x14ac:dyDescent="0.75">
      <c r="A37" s="109">
        <f t="shared" si="0"/>
        <v>1787</v>
      </c>
      <c r="B37" s="99" t="s">
        <v>719</v>
      </c>
      <c r="C37" s="101"/>
      <c r="D37" s="100">
        <f>216481.36</f>
        <v>216481.36</v>
      </c>
      <c r="F37" s="32">
        <f t="shared" si="1"/>
        <v>-216481.36</v>
      </c>
    </row>
    <row r="38" spans="1:6" x14ac:dyDescent="0.75">
      <c r="A38" s="109">
        <f t="shared" si="0"/>
        <v>1788</v>
      </c>
      <c r="B38" s="99" t="s">
        <v>810</v>
      </c>
      <c r="C38" s="101"/>
      <c r="D38" s="100">
        <f>10394.01</f>
        <v>10394.01</v>
      </c>
      <c r="F38" s="32">
        <f t="shared" si="1"/>
        <v>-10394.01</v>
      </c>
    </row>
    <row r="39" spans="1:6" x14ac:dyDescent="0.75">
      <c r="A39" s="109">
        <f t="shared" si="0"/>
        <v>1789</v>
      </c>
      <c r="B39" s="99" t="s">
        <v>720</v>
      </c>
      <c r="C39" s="101"/>
      <c r="D39" s="100">
        <f>787.91</f>
        <v>787.91</v>
      </c>
      <c r="F39" s="32">
        <f t="shared" si="1"/>
        <v>-787.91</v>
      </c>
    </row>
    <row r="40" spans="1:6" x14ac:dyDescent="0.75">
      <c r="A40" s="109">
        <f t="shared" si="0"/>
        <v>1790</v>
      </c>
      <c r="B40" s="99" t="s">
        <v>721</v>
      </c>
      <c r="C40" s="101"/>
      <c r="D40" s="100">
        <f>1015.31</f>
        <v>1015.31</v>
      </c>
      <c r="F40" s="32">
        <f t="shared" si="1"/>
        <v>-1015.31</v>
      </c>
    </row>
    <row r="41" spans="1:6" x14ac:dyDescent="0.75">
      <c r="A41" s="109">
        <f t="shared" si="0"/>
        <v>1791</v>
      </c>
      <c r="B41" s="99" t="s">
        <v>722</v>
      </c>
      <c r="C41" s="101"/>
      <c r="D41" s="100">
        <f>20105.95</f>
        <v>20105.95</v>
      </c>
      <c r="F41" s="32">
        <f t="shared" si="1"/>
        <v>-20105.95</v>
      </c>
    </row>
    <row r="42" spans="1:6" x14ac:dyDescent="0.75">
      <c r="A42" s="109">
        <f t="shared" si="0"/>
        <v>1810</v>
      </c>
      <c r="B42" s="99" t="s">
        <v>957</v>
      </c>
      <c r="C42" s="100">
        <f>411287</f>
        <v>411287</v>
      </c>
      <c r="D42" s="101"/>
      <c r="F42" s="32">
        <f t="shared" si="1"/>
        <v>411287</v>
      </c>
    </row>
    <row r="43" spans="1:6" x14ac:dyDescent="0.75">
      <c r="A43" s="109">
        <f t="shared" si="0"/>
        <v>1820</v>
      </c>
      <c r="B43" s="99" t="s">
        <v>229</v>
      </c>
      <c r="C43" s="100">
        <f>0</f>
        <v>0</v>
      </c>
      <c r="D43" s="101"/>
      <c r="F43" s="32">
        <f t="shared" si="1"/>
        <v>0</v>
      </c>
    </row>
    <row r="44" spans="1:6" x14ac:dyDescent="0.75">
      <c r="A44" s="109">
        <f t="shared" si="0"/>
        <v>1830</v>
      </c>
      <c r="B44" s="99" t="s">
        <v>723</v>
      </c>
      <c r="C44" s="100">
        <f>0</f>
        <v>0</v>
      </c>
      <c r="D44" s="101"/>
      <c r="F44" s="32">
        <f t="shared" si="1"/>
        <v>0</v>
      </c>
    </row>
    <row r="45" spans="1:6" x14ac:dyDescent="0.75">
      <c r="A45" s="109">
        <f t="shared" si="0"/>
        <v>1840</v>
      </c>
      <c r="B45" s="99" t="s">
        <v>811</v>
      </c>
      <c r="C45" s="100">
        <f>0</f>
        <v>0</v>
      </c>
      <c r="D45" s="101"/>
      <c r="F45" s="32">
        <f t="shared" si="1"/>
        <v>0</v>
      </c>
    </row>
    <row r="46" spans="1:6" x14ac:dyDescent="0.75">
      <c r="A46" s="109">
        <f t="shared" si="0"/>
        <v>1900</v>
      </c>
      <c r="B46" s="99" t="s">
        <v>233</v>
      </c>
      <c r="C46" s="100">
        <f>0</f>
        <v>0</v>
      </c>
      <c r="D46" s="101"/>
      <c r="F46" s="32">
        <f t="shared" si="1"/>
        <v>0</v>
      </c>
    </row>
    <row r="47" spans="1:6" x14ac:dyDescent="0.75">
      <c r="A47" s="109">
        <f t="shared" si="0"/>
        <v>1902</v>
      </c>
      <c r="B47" s="99" t="s">
        <v>812</v>
      </c>
      <c r="C47" s="100">
        <f>0</f>
        <v>0</v>
      </c>
      <c r="D47" s="101"/>
      <c r="F47" s="32">
        <f t="shared" si="1"/>
        <v>0</v>
      </c>
    </row>
    <row r="48" spans="1:6" x14ac:dyDescent="0.75">
      <c r="A48" s="109">
        <f t="shared" si="0"/>
        <v>1904</v>
      </c>
      <c r="B48" s="99" t="s">
        <v>724</v>
      </c>
      <c r="C48" s="100">
        <f>0</f>
        <v>0</v>
      </c>
      <c r="D48" s="101"/>
      <c r="F48" s="32">
        <f t="shared" si="1"/>
        <v>0</v>
      </c>
    </row>
    <row r="49" spans="1:6" x14ac:dyDescent="0.75">
      <c r="A49" s="109">
        <f t="shared" si="0"/>
        <v>1906</v>
      </c>
      <c r="B49" s="99" t="s">
        <v>725</v>
      </c>
      <c r="C49" s="100">
        <f>0</f>
        <v>0</v>
      </c>
      <c r="D49" s="101"/>
      <c r="F49" s="32">
        <f t="shared" si="1"/>
        <v>0</v>
      </c>
    </row>
    <row r="50" spans="1:6" x14ac:dyDescent="0.75">
      <c r="A50" s="109">
        <f t="shared" si="0"/>
        <v>1908</v>
      </c>
      <c r="B50" s="99" t="s">
        <v>241</v>
      </c>
      <c r="C50" s="100">
        <f>0</f>
        <v>0</v>
      </c>
      <c r="D50" s="101"/>
      <c r="F50" s="32">
        <f t="shared" si="1"/>
        <v>0</v>
      </c>
    </row>
    <row r="51" spans="1:6" x14ac:dyDescent="0.75">
      <c r="A51" s="109">
        <f t="shared" si="0"/>
        <v>1910</v>
      </c>
      <c r="B51" s="99" t="s">
        <v>726</v>
      </c>
      <c r="C51" s="100">
        <f>0</f>
        <v>0</v>
      </c>
      <c r="D51" s="101"/>
      <c r="F51" s="32">
        <f t="shared" si="1"/>
        <v>0</v>
      </c>
    </row>
    <row r="52" spans="1:6" x14ac:dyDescent="0.75">
      <c r="A52" s="109">
        <f t="shared" si="0"/>
        <v>1912</v>
      </c>
      <c r="B52" s="99" t="s">
        <v>727</v>
      </c>
      <c r="C52" s="100">
        <f>0</f>
        <v>0</v>
      </c>
      <c r="D52" s="101"/>
      <c r="F52" s="32">
        <f t="shared" si="1"/>
        <v>0</v>
      </c>
    </row>
    <row r="53" spans="1:6" x14ac:dyDescent="0.75">
      <c r="A53" s="109">
        <f t="shared" si="0"/>
        <v>1914</v>
      </c>
      <c r="B53" s="99" t="s">
        <v>247</v>
      </c>
      <c r="C53" s="100">
        <f>0</f>
        <v>0</v>
      </c>
      <c r="D53" s="101"/>
      <c r="F53" s="32">
        <f t="shared" si="1"/>
        <v>0</v>
      </c>
    </row>
    <row r="54" spans="1:6" x14ac:dyDescent="0.75">
      <c r="A54" s="109">
        <f t="shared" si="0"/>
        <v>1916</v>
      </c>
      <c r="B54" s="99" t="s">
        <v>728</v>
      </c>
      <c r="C54" s="100">
        <f>0</f>
        <v>0</v>
      </c>
      <c r="D54" s="101"/>
      <c r="F54" s="32">
        <f t="shared" si="1"/>
        <v>0</v>
      </c>
    </row>
    <row r="55" spans="1:6" x14ac:dyDescent="0.75">
      <c r="A55" s="109">
        <f t="shared" si="0"/>
        <v>1918</v>
      </c>
      <c r="B55" s="99" t="s">
        <v>729</v>
      </c>
      <c r="C55" s="100">
        <f>0</f>
        <v>0</v>
      </c>
      <c r="D55" s="101"/>
      <c r="F55" s="32">
        <f t="shared" si="1"/>
        <v>0</v>
      </c>
    </row>
    <row r="56" spans="1:6" x14ac:dyDescent="0.75">
      <c r="A56" s="109">
        <f t="shared" si="0"/>
        <v>1920</v>
      </c>
      <c r="B56" s="99" t="s">
        <v>730</v>
      </c>
      <c r="C56" s="100">
        <f>0</f>
        <v>0</v>
      </c>
      <c r="D56" s="101"/>
      <c r="F56" s="32">
        <f t="shared" si="1"/>
        <v>0</v>
      </c>
    </row>
    <row r="57" spans="1:6" x14ac:dyDescent="0.75">
      <c r="A57" s="109">
        <f t="shared" si="0"/>
        <v>1922</v>
      </c>
      <c r="B57" s="99" t="s">
        <v>731</v>
      </c>
      <c r="C57" s="100">
        <f>0</f>
        <v>0</v>
      </c>
      <c r="D57" s="101"/>
      <c r="F57" s="32">
        <f t="shared" si="1"/>
        <v>0</v>
      </c>
    </row>
    <row r="58" spans="1:6" x14ac:dyDescent="0.75">
      <c r="A58" s="109">
        <f t="shared" si="0"/>
        <v>1924</v>
      </c>
      <c r="B58" s="99" t="s">
        <v>732</v>
      </c>
      <c r="C58" s="100">
        <f>0</f>
        <v>0</v>
      </c>
      <c r="D58" s="101"/>
      <c r="F58" s="32">
        <f t="shared" si="1"/>
        <v>0</v>
      </c>
    </row>
    <row r="59" spans="1:6" x14ac:dyDescent="0.75">
      <c r="A59" s="109">
        <f t="shared" si="0"/>
        <v>1926</v>
      </c>
      <c r="B59" s="99" t="s">
        <v>733</v>
      </c>
      <c r="C59" s="100">
        <f>0</f>
        <v>0</v>
      </c>
      <c r="D59" s="101"/>
      <c r="F59" s="32">
        <f t="shared" si="1"/>
        <v>0</v>
      </c>
    </row>
    <row r="60" spans="1:6" x14ac:dyDescent="0.75">
      <c r="A60" s="109">
        <f t="shared" si="0"/>
        <v>1928</v>
      </c>
      <c r="B60" s="99" t="s">
        <v>734</v>
      </c>
      <c r="C60" s="100">
        <f>43132.88</f>
        <v>43132.88</v>
      </c>
      <c r="D60" s="101"/>
      <c r="F60" s="32">
        <f t="shared" si="1"/>
        <v>43132.88</v>
      </c>
    </row>
    <row r="61" spans="1:6" x14ac:dyDescent="0.75">
      <c r="A61" s="109">
        <f t="shared" si="0"/>
        <v>1930</v>
      </c>
      <c r="B61" s="99" t="s">
        <v>735</v>
      </c>
      <c r="C61" s="100">
        <f>0</f>
        <v>0</v>
      </c>
      <c r="D61" s="101"/>
      <c r="F61" s="32">
        <f t="shared" si="1"/>
        <v>0</v>
      </c>
    </row>
    <row r="62" spans="1:6" x14ac:dyDescent="0.75">
      <c r="A62" s="109">
        <f t="shared" si="0"/>
        <v>1950</v>
      </c>
      <c r="B62" s="99" t="s">
        <v>930</v>
      </c>
      <c r="C62" s="101"/>
      <c r="D62" s="100">
        <f>43132.89</f>
        <v>43132.89</v>
      </c>
      <c r="F62" s="32">
        <f t="shared" si="1"/>
        <v>-43132.89</v>
      </c>
    </row>
    <row r="63" spans="1:6" x14ac:dyDescent="0.75">
      <c r="A63" s="109">
        <f t="shared" si="0"/>
        <v>1932</v>
      </c>
      <c r="B63" s="99" t="s">
        <v>736</v>
      </c>
      <c r="C63" s="100">
        <f>0</f>
        <v>0</v>
      </c>
      <c r="D63" s="101"/>
      <c r="F63" s="32">
        <f t="shared" si="1"/>
        <v>0</v>
      </c>
    </row>
    <row r="64" spans="1:6" x14ac:dyDescent="0.75">
      <c r="A64" s="109">
        <f t="shared" si="0"/>
        <v>1960</v>
      </c>
      <c r="B64" s="99" t="s">
        <v>737</v>
      </c>
      <c r="C64" s="100">
        <f>0</f>
        <v>0</v>
      </c>
      <c r="D64" s="101"/>
      <c r="F64" s="32">
        <f t="shared" si="1"/>
        <v>0</v>
      </c>
    </row>
    <row r="65" spans="1:6" x14ac:dyDescent="0.75">
      <c r="A65" s="109">
        <f t="shared" si="0"/>
        <v>1980</v>
      </c>
      <c r="B65" s="99" t="s">
        <v>738</v>
      </c>
      <c r="C65" s="100">
        <f>0</f>
        <v>0</v>
      </c>
      <c r="D65" s="101"/>
      <c r="F65" s="32">
        <f t="shared" si="1"/>
        <v>0</v>
      </c>
    </row>
    <row r="66" spans="1:6" x14ac:dyDescent="0.75">
      <c r="A66" s="109">
        <f t="shared" si="0"/>
        <v>2000</v>
      </c>
      <c r="B66" s="99" t="s">
        <v>251</v>
      </c>
      <c r="C66" s="101"/>
      <c r="D66" s="100">
        <f>39160.24</f>
        <v>39160.239999999998</v>
      </c>
      <c r="F66" s="32">
        <f t="shared" si="1"/>
        <v>-39160.239999999998</v>
      </c>
    </row>
    <row r="67" spans="1:6" x14ac:dyDescent="0.75">
      <c r="A67" s="109">
        <f t="shared" si="0"/>
        <v>2101</v>
      </c>
      <c r="B67" s="99" t="s">
        <v>739</v>
      </c>
      <c r="C67" s="101"/>
      <c r="D67" s="100">
        <f>0</f>
        <v>0</v>
      </c>
      <c r="F67" s="32">
        <f t="shared" si="1"/>
        <v>0</v>
      </c>
    </row>
    <row r="68" spans="1:6" x14ac:dyDescent="0.75">
      <c r="A68" s="109">
        <f t="shared" si="0"/>
        <v>2102</v>
      </c>
      <c r="B68" s="99" t="s">
        <v>740</v>
      </c>
      <c r="C68" s="101"/>
      <c r="D68" s="100">
        <f>11766.22</f>
        <v>11766.22</v>
      </c>
      <c r="F68" s="32">
        <f t="shared" si="1"/>
        <v>-11766.22</v>
      </c>
    </row>
    <row r="69" spans="1:6" x14ac:dyDescent="0.75">
      <c r="A69" s="109">
        <f t="shared" si="0"/>
        <v>2103</v>
      </c>
      <c r="B69" s="99" t="s">
        <v>813</v>
      </c>
      <c r="C69" s="101"/>
      <c r="D69" s="100">
        <f>10687.12</f>
        <v>10687.12</v>
      </c>
      <c r="F69" s="32">
        <f t="shared" si="1"/>
        <v>-10687.12</v>
      </c>
    </row>
    <row r="70" spans="1:6" x14ac:dyDescent="0.75">
      <c r="A70" s="109">
        <f t="shared" ref="A70:A133" si="2">VALUE(LEFT(B70,4))</f>
        <v>2104</v>
      </c>
      <c r="B70" s="99" t="s">
        <v>741</v>
      </c>
      <c r="C70" s="101"/>
      <c r="D70" s="100">
        <f>5657.97</f>
        <v>5657.97</v>
      </c>
      <c r="F70" s="32">
        <f t="shared" si="1"/>
        <v>-5657.97</v>
      </c>
    </row>
    <row r="71" spans="1:6" x14ac:dyDescent="0.75">
      <c r="A71" s="109">
        <f t="shared" si="2"/>
        <v>2105</v>
      </c>
      <c r="B71" s="99" t="s">
        <v>814</v>
      </c>
      <c r="C71" s="101"/>
      <c r="D71" s="100">
        <f>0</f>
        <v>0</v>
      </c>
      <c r="F71" s="32">
        <f t="shared" ref="F71:F134" si="3">C71-D71</f>
        <v>0</v>
      </c>
    </row>
    <row r="72" spans="1:6" x14ac:dyDescent="0.75">
      <c r="A72" s="109">
        <f t="shared" si="2"/>
        <v>2010</v>
      </c>
      <c r="B72" s="99" t="s">
        <v>277</v>
      </c>
      <c r="C72" s="101"/>
      <c r="D72" s="100">
        <f>13489.05</f>
        <v>13489.05</v>
      </c>
      <c r="F72" s="32">
        <f t="shared" si="3"/>
        <v>-13489.05</v>
      </c>
    </row>
    <row r="73" spans="1:6" x14ac:dyDescent="0.75">
      <c r="A73" s="109">
        <f t="shared" si="2"/>
        <v>2020</v>
      </c>
      <c r="B73" s="99" t="s">
        <v>742</v>
      </c>
      <c r="C73" s="101"/>
      <c r="D73" s="100">
        <f>0</f>
        <v>0</v>
      </c>
      <c r="F73" s="32">
        <f t="shared" si="3"/>
        <v>0</v>
      </c>
    </row>
    <row r="74" spans="1:6" x14ac:dyDescent="0.75">
      <c r="A74" s="109">
        <f t="shared" si="2"/>
        <v>2106</v>
      </c>
      <c r="B74" s="99" t="s">
        <v>743</v>
      </c>
      <c r="C74" s="101"/>
      <c r="D74" s="100">
        <f>6432.81</f>
        <v>6432.81</v>
      </c>
      <c r="F74" s="32">
        <f t="shared" si="3"/>
        <v>-6432.81</v>
      </c>
    </row>
    <row r="75" spans="1:6" x14ac:dyDescent="0.75">
      <c r="A75" s="109">
        <f t="shared" si="2"/>
        <v>2210</v>
      </c>
      <c r="B75" s="99" t="s">
        <v>744</v>
      </c>
      <c r="C75" s="101"/>
      <c r="D75" s="100">
        <f>696534.7</f>
        <v>696534.7</v>
      </c>
      <c r="F75" s="32">
        <f t="shared" si="3"/>
        <v>-696534.7</v>
      </c>
    </row>
    <row r="76" spans="1:6" x14ac:dyDescent="0.75">
      <c r="A76" s="109">
        <f t="shared" si="2"/>
        <v>2220</v>
      </c>
      <c r="B76" s="99" t="s">
        <v>1041</v>
      </c>
      <c r="C76" s="101"/>
      <c r="D76" s="100">
        <f>27720</f>
        <v>27720</v>
      </c>
      <c r="F76" s="32">
        <f t="shared" si="3"/>
        <v>-27720</v>
      </c>
    </row>
    <row r="77" spans="1:6" x14ac:dyDescent="0.75">
      <c r="A77" s="109">
        <f t="shared" si="2"/>
        <v>2231</v>
      </c>
      <c r="B77" s="99" t="s">
        <v>745</v>
      </c>
      <c r="C77" s="101"/>
      <c r="D77" s="100">
        <f>0</f>
        <v>0</v>
      </c>
      <c r="F77" s="32">
        <f t="shared" si="3"/>
        <v>0</v>
      </c>
    </row>
    <row r="78" spans="1:6" x14ac:dyDescent="0.75">
      <c r="A78" s="109">
        <f t="shared" si="2"/>
        <v>2232</v>
      </c>
      <c r="B78" s="99" t="s">
        <v>746</v>
      </c>
      <c r="C78" s="101"/>
      <c r="D78" s="100">
        <f>0</f>
        <v>0</v>
      </c>
      <c r="F78" s="32">
        <f t="shared" si="3"/>
        <v>0</v>
      </c>
    </row>
    <row r="79" spans="1:6" x14ac:dyDescent="0.75">
      <c r="A79" s="109">
        <f t="shared" si="2"/>
        <v>2233</v>
      </c>
      <c r="B79" s="99" t="s">
        <v>747</v>
      </c>
      <c r="C79" s="101"/>
      <c r="D79" s="100">
        <f>0</f>
        <v>0</v>
      </c>
      <c r="F79" s="32">
        <f t="shared" si="3"/>
        <v>0</v>
      </c>
    </row>
    <row r="80" spans="1:6" x14ac:dyDescent="0.75">
      <c r="A80" s="109">
        <f t="shared" si="2"/>
        <v>2235</v>
      </c>
      <c r="B80" s="99" t="s">
        <v>748</v>
      </c>
      <c r="C80" s="101"/>
      <c r="D80" s="100">
        <f>0</f>
        <v>0</v>
      </c>
      <c r="F80" s="32">
        <f t="shared" si="3"/>
        <v>0</v>
      </c>
    </row>
    <row r="81" spans="1:6" x14ac:dyDescent="0.75">
      <c r="A81" s="109">
        <f t="shared" si="2"/>
        <v>2236</v>
      </c>
      <c r="B81" s="99" t="s">
        <v>749</v>
      </c>
      <c r="C81" s="101"/>
      <c r="D81" s="100">
        <f>0</f>
        <v>0</v>
      </c>
      <c r="F81" s="32">
        <f t="shared" si="3"/>
        <v>0</v>
      </c>
    </row>
    <row r="82" spans="1:6" x14ac:dyDescent="0.75">
      <c r="A82" s="109">
        <f t="shared" si="2"/>
        <v>2250</v>
      </c>
      <c r="B82" s="99" t="s">
        <v>750</v>
      </c>
      <c r="C82" s="101"/>
      <c r="D82" s="100">
        <f>0</f>
        <v>0</v>
      </c>
      <c r="F82" s="32">
        <f t="shared" si="3"/>
        <v>0</v>
      </c>
    </row>
    <row r="83" spans="1:6" x14ac:dyDescent="0.75">
      <c r="A83" s="109">
        <f t="shared" si="2"/>
        <v>2270</v>
      </c>
      <c r="B83" s="99" t="s">
        <v>751</v>
      </c>
      <c r="C83" s="101"/>
      <c r="D83" s="100">
        <f>0</f>
        <v>0</v>
      </c>
      <c r="F83" s="32">
        <f t="shared" si="3"/>
        <v>0</v>
      </c>
    </row>
    <row r="84" spans="1:6" x14ac:dyDescent="0.75">
      <c r="A84" s="109">
        <f t="shared" si="2"/>
        <v>2280</v>
      </c>
      <c r="B84" s="99" t="s">
        <v>752</v>
      </c>
      <c r="C84" s="101"/>
      <c r="D84" s="100">
        <f>0</f>
        <v>0</v>
      </c>
      <c r="F84" s="32">
        <f t="shared" si="3"/>
        <v>0</v>
      </c>
    </row>
    <row r="85" spans="1:6" x14ac:dyDescent="0.75">
      <c r="A85" s="109">
        <f t="shared" si="2"/>
        <v>2285</v>
      </c>
      <c r="B85" s="99" t="s">
        <v>753</v>
      </c>
      <c r="C85" s="101"/>
      <c r="D85" s="100">
        <f>0</f>
        <v>0</v>
      </c>
      <c r="F85" s="32">
        <f t="shared" si="3"/>
        <v>0</v>
      </c>
    </row>
    <row r="86" spans="1:6" x14ac:dyDescent="0.75">
      <c r="A86" s="109">
        <f t="shared" si="2"/>
        <v>2290</v>
      </c>
      <c r="B86" s="99" t="s">
        <v>754</v>
      </c>
      <c r="C86" s="101"/>
      <c r="D86" s="100">
        <f>40000</f>
        <v>40000</v>
      </c>
      <c r="F86" s="32">
        <f t="shared" si="3"/>
        <v>-40000</v>
      </c>
    </row>
    <row r="87" spans="1:6" x14ac:dyDescent="0.75">
      <c r="A87" s="109">
        <f t="shared" si="2"/>
        <v>2305</v>
      </c>
      <c r="B87" s="99" t="s">
        <v>755</v>
      </c>
      <c r="C87" s="101"/>
      <c r="D87" s="100">
        <f>1221957.72</f>
        <v>1221957.72</v>
      </c>
      <c r="F87" s="32">
        <f t="shared" si="3"/>
        <v>-1221957.72</v>
      </c>
    </row>
    <row r="88" spans="1:6" x14ac:dyDescent="0.75">
      <c r="A88" s="109">
        <f t="shared" si="2"/>
        <v>2310</v>
      </c>
      <c r="B88" s="99" t="s">
        <v>756</v>
      </c>
      <c r="C88" s="101"/>
      <c r="D88" s="100">
        <f>35000</f>
        <v>35000</v>
      </c>
      <c r="F88" s="32">
        <f t="shared" si="3"/>
        <v>-35000</v>
      </c>
    </row>
    <row r="89" spans="1:6" x14ac:dyDescent="0.75">
      <c r="A89" s="109">
        <f t="shared" si="2"/>
        <v>2320</v>
      </c>
      <c r="B89" s="99" t="s">
        <v>859</v>
      </c>
      <c r="C89" s="101"/>
      <c r="D89" s="100">
        <f>0</f>
        <v>0</v>
      </c>
      <c r="F89" s="32">
        <f t="shared" si="3"/>
        <v>0</v>
      </c>
    </row>
    <row r="90" spans="1:6" x14ac:dyDescent="0.75">
      <c r="A90" s="109">
        <f t="shared" si="2"/>
        <v>2400</v>
      </c>
      <c r="B90" s="99" t="s">
        <v>757</v>
      </c>
      <c r="C90" s="101"/>
      <c r="D90" s="100">
        <f>112099.55</f>
        <v>112099.55</v>
      </c>
      <c r="F90" s="32">
        <f t="shared" si="3"/>
        <v>-112099.55</v>
      </c>
    </row>
    <row r="91" spans="1:6" x14ac:dyDescent="0.75">
      <c r="A91" s="109">
        <f t="shared" si="2"/>
        <v>2405</v>
      </c>
      <c r="B91" s="99" t="s">
        <v>815</v>
      </c>
      <c r="C91" s="101"/>
      <c r="D91" s="100">
        <f>41717.84</f>
        <v>41717.839999999997</v>
      </c>
      <c r="F91" s="32">
        <f t="shared" si="3"/>
        <v>-41717.839999999997</v>
      </c>
    </row>
    <row r="92" spans="1:6" x14ac:dyDescent="0.75">
      <c r="A92" s="109">
        <f t="shared" si="2"/>
        <v>2410</v>
      </c>
      <c r="B92" s="99" t="s">
        <v>758</v>
      </c>
      <c r="C92" s="101"/>
      <c r="D92" s="100">
        <f>0</f>
        <v>0</v>
      </c>
      <c r="F92" s="32">
        <f t="shared" si="3"/>
        <v>0</v>
      </c>
    </row>
    <row r="93" spans="1:6" x14ac:dyDescent="0.75">
      <c r="A93" s="109">
        <f t="shared" si="2"/>
        <v>2415</v>
      </c>
      <c r="B93" s="99" t="s">
        <v>759</v>
      </c>
      <c r="C93" s="101"/>
      <c r="D93" s="100">
        <f>0</f>
        <v>0</v>
      </c>
      <c r="F93" s="32">
        <f t="shared" si="3"/>
        <v>0</v>
      </c>
    </row>
    <row r="94" spans="1:6" x14ac:dyDescent="0.75">
      <c r="A94" s="109">
        <f t="shared" si="2"/>
        <v>2420</v>
      </c>
      <c r="B94" s="99" t="s">
        <v>760</v>
      </c>
      <c r="C94" s="101"/>
      <c r="D94" s="100">
        <f>0</f>
        <v>0</v>
      </c>
      <c r="F94" s="32">
        <f t="shared" si="3"/>
        <v>0</v>
      </c>
    </row>
    <row r="95" spans="1:6" x14ac:dyDescent="0.75">
      <c r="A95" s="109">
        <f t="shared" si="2"/>
        <v>2425</v>
      </c>
      <c r="B95" s="99" t="s">
        <v>761</v>
      </c>
      <c r="C95" s="101"/>
      <c r="D95" s="100">
        <f>0</f>
        <v>0</v>
      </c>
      <c r="F95" s="32">
        <f t="shared" si="3"/>
        <v>0</v>
      </c>
    </row>
    <row r="96" spans="1:6" x14ac:dyDescent="0.75">
      <c r="A96" s="109">
        <f t="shared" si="2"/>
        <v>2430</v>
      </c>
      <c r="B96" s="99" t="s">
        <v>762</v>
      </c>
      <c r="C96" s="101"/>
      <c r="D96" s="100">
        <f>0</f>
        <v>0</v>
      </c>
      <c r="F96" s="32">
        <f t="shared" si="3"/>
        <v>0</v>
      </c>
    </row>
    <row r="97" spans="1:6" x14ac:dyDescent="0.75">
      <c r="A97" s="109">
        <f t="shared" si="2"/>
        <v>2470</v>
      </c>
      <c r="B97" s="99" t="s">
        <v>958</v>
      </c>
      <c r="C97" s="101"/>
      <c r="D97" s="100">
        <f>411287</f>
        <v>411287</v>
      </c>
      <c r="F97" s="32">
        <f t="shared" si="3"/>
        <v>-411287</v>
      </c>
    </row>
    <row r="98" spans="1:6" x14ac:dyDescent="0.75">
      <c r="A98" s="109">
        <f t="shared" si="2"/>
        <v>2705</v>
      </c>
      <c r="B98" s="99" t="s">
        <v>816</v>
      </c>
      <c r="C98" s="101"/>
      <c r="D98" s="100">
        <f>50000</f>
        <v>50000</v>
      </c>
      <c r="F98" s="32">
        <f t="shared" si="3"/>
        <v>-50000</v>
      </c>
    </row>
    <row r="99" spans="1:6" x14ac:dyDescent="0.75">
      <c r="A99" s="109">
        <f t="shared" si="2"/>
        <v>2710</v>
      </c>
      <c r="B99" s="99" t="s">
        <v>817</v>
      </c>
      <c r="C99" s="101"/>
      <c r="D99" s="100">
        <f>15000</f>
        <v>15000</v>
      </c>
      <c r="F99" s="32">
        <f t="shared" si="3"/>
        <v>-15000</v>
      </c>
    </row>
    <row r="100" spans="1:6" x14ac:dyDescent="0.75">
      <c r="A100" s="109">
        <f t="shared" si="2"/>
        <v>2715</v>
      </c>
      <c r="B100" s="99" t="s">
        <v>818</v>
      </c>
      <c r="C100" s="101"/>
      <c r="D100" s="100">
        <f>25000</f>
        <v>25000</v>
      </c>
      <c r="F100" s="32">
        <f t="shared" si="3"/>
        <v>-25000</v>
      </c>
    </row>
    <row r="101" spans="1:6" x14ac:dyDescent="0.75">
      <c r="A101" s="109">
        <f t="shared" si="2"/>
        <v>2720</v>
      </c>
      <c r="B101" s="99" t="s">
        <v>819</v>
      </c>
      <c r="C101" s="101"/>
      <c r="D101" s="100">
        <f>50000</f>
        <v>50000</v>
      </c>
      <c r="F101" s="32">
        <f t="shared" si="3"/>
        <v>-50000</v>
      </c>
    </row>
    <row r="102" spans="1:6" x14ac:dyDescent="0.75">
      <c r="A102" s="109">
        <f t="shared" si="2"/>
        <v>2725</v>
      </c>
      <c r="B102" s="99" t="s">
        <v>820</v>
      </c>
      <c r="C102" s="101"/>
      <c r="D102" s="100">
        <f>60000</f>
        <v>60000</v>
      </c>
      <c r="F102" s="32">
        <f t="shared" si="3"/>
        <v>-60000</v>
      </c>
    </row>
    <row r="103" spans="1:6" x14ac:dyDescent="0.75">
      <c r="A103" s="109">
        <f t="shared" si="2"/>
        <v>2730</v>
      </c>
      <c r="B103" s="99" t="s">
        <v>821</v>
      </c>
      <c r="C103" s="101"/>
      <c r="D103" s="100">
        <f>108527</f>
        <v>108527</v>
      </c>
      <c r="F103" s="32">
        <f t="shared" si="3"/>
        <v>-108527</v>
      </c>
    </row>
    <row r="104" spans="1:6" x14ac:dyDescent="0.75">
      <c r="A104" s="109">
        <f t="shared" si="2"/>
        <v>2735</v>
      </c>
      <c r="B104" s="99" t="s">
        <v>822</v>
      </c>
      <c r="C104" s="101"/>
      <c r="D104" s="100">
        <f>150000</f>
        <v>150000</v>
      </c>
      <c r="F104" s="32">
        <f t="shared" si="3"/>
        <v>-150000</v>
      </c>
    </row>
    <row r="105" spans="1:6" x14ac:dyDescent="0.75">
      <c r="A105" s="109">
        <f t="shared" si="2"/>
        <v>2740</v>
      </c>
      <c r="B105" s="99" t="s">
        <v>823</v>
      </c>
      <c r="C105" s="101"/>
      <c r="D105" s="100">
        <f>40000</f>
        <v>40000</v>
      </c>
      <c r="F105" s="32">
        <f t="shared" si="3"/>
        <v>-40000</v>
      </c>
    </row>
    <row r="106" spans="1:6" x14ac:dyDescent="0.75">
      <c r="A106" s="109">
        <f t="shared" si="2"/>
        <v>2745</v>
      </c>
      <c r="B106" s="99" t="s">
        <v>940</v>
      </c>
      <c r="C106" s="101"/>
      <c r="D106" s="100">
        <f>180186.32</f>
        <v>180186.32</v>
      </c>
      <c r="F106" s="32">
        <f t="shared" si="3"/>
        <v>-180186.32</v>
      </c>
    </row>
    <row r="107" spans="1:6" x14ac:dyDescent="0.75">
      <c r="A107" s="109">
        <f t="shared" si="2"/>
        <v>2750</v>
      </c>
      <c r="B107" s="99" t="s">
        <v>824</v>
      </c>
      <c r="C107" s="101"/>
      <c r="D107" s="100">
        <f>50000</f>
        <v>50000</v>
      </c>
      <c r="F107" s="32">
        <f t="shared" si="3"/>
        <v>-50000</v>
      </c>
    </row>
    <row r="108" spans="1:6" x14ac:dyDescent="0.75">
      <c r="A108" s="109">
        <f t="shared" si="2"/>
        <v>2755</v>
      </c>
      <c r="B108" s="99" t="s">
        <v>825</v>
      </c>
      <c r="C108" s="101"/>
      <c r="D108" s="100">
        <f>25000</f>
        <v>25000</v>
      </c>
      <c r="F108" s="32">
        <f t="shared" si="3"/>
        <v>-25000</v>
      </c>
    </row>
    <row r="109" spans="1:6" x14ac:dyDescent="0.75">
      <c r="A109" s="109">
        <f t="shared" si="2"/>
        <v>2760</v>
      </c>
      <c r="B109" s="99" t="s">
        <v>826</v>
      </c>
      <c r="C109" s="101"/>
      <c r="D109" s="100">
        <f>170000</f>
        <v>170000</v>
      </c>
      <c r="F109" s="32">
        <f t="shared" si="3"/>
        <v>-170000</v>
      </c>
    </row>
    <row r="110" spans="1:6" x14ac:dyDescent="0.75">
      <c r="A110" s="109">
        <f t="shared" si="2"/>
        <v>2765</v>
      </c>
      <c r="B110" s="99" t="s">
        <v>827</v>
      </c>
      <c r="C110" s="101"/>
      <c r="D110" s="100">
        <f>50000</f>
        <v>50000</v>
      </c>
      <c r="F110" s="32">
        <f t="shared" si="3"/>
        <v>-50000</v>
      </c>
    </row>
    <row r="111" spans="1:6" x14ac:dyDescent="0.75">
      <c r="A111" s="109">
        <f t="shared" si="2"/>
        <v>2770</v>
      </c>
      <c r="B111" s="99" t="s">
        <v>828</v>
      </c>
      <c r="C111" s="101"/>
      <c r="D111" s="100">
        <f>2500</f>
        <v>2500</v>
      </c>
      <c r="F111" s="32">
        <f t="shared" si="3"/>
        <v>-2500</v>
      </c>
    </row>
    <row r="112" spans="1:6" x14ac:dyDescent="0.75">
      <c r="A112" s="109">
        <f t="shared" si="2"/>
        <v>2775</v>
      </c>
      <c r="B112" s="99" t="s">
        <v>829</v>
      </c>
      <c r="C112" s="101"/>
      <c r="D112" s="100">
        <f>50000</f>
        <v>50000</v>
      </c>
      <c r="F112" s="32">
        <f t="shared" si="3"/>
        <v>-50000</v>
      </c>
    </row>
    <row r="113" spans="1:6" x14ac:dyDescent="0.75">
      <c r="A113" s="109">
        <f t="shared" si="2"/>
        <v>2780</v>
      </c>
      <c r="B113" s="99" t="s">
        <v>830</v>
      </c>
      <c r="C113" s="101"/>
      <c r="D113" s="100">
        <f>25000</f>
        <v>25000</v>
      </c>
      <c r="F113" s="32">
        <f t="shared" si="3"/>
        <v>-25000</v>
      </c>
    </row>
    <row r="114" spans="1:6" x14ac:dyDescent="0.75">
      <c r="A114" s="109">
        <f t="shared" si="2"/>
        <v>2785</v>
      </c>
      <c r="B114" s="99" t="s">
        <v>947</v>
      </c>
      <c r="C114" s="101"/>
      <c r="D114" s="100">
        <f>0</f>
        <v>0</v>
      </c>
      <c r="F114" s="32">
        <f t="shared" si="3"/>
        <v>0</v>
      </c>
    </row>
    <row r="115" spans="1:6" x14ac:dyDescent="0.75">
      <c r="A115" s="109">
        <f t="shared" si="2"/>
        <v>2790</v>
      </c>
      <c r="B115" s="99" t="s">
        <v>943</v>
      </c>
      <c r="C115" s="100">
        <f>231865</f>
        <v>231865</v>
      </c>
      <c r="D115" s="101"/>
      <c r="F115" s="32">
        <f t="shared" si="3"/>
        <v>231865</v>
      </c>
    </row>
    <row r="116" spans="1:6" x14ac:dyDescent="0.75">
      <c r="A116" s="109">
        <f t="shared" si="2"/>
        <v>3000</v>
      </c>
      <c r="B116" s="99" t="s">
        <v>307</v>
      </c>
      <c r="C116" s="101"/>
      <c r="D116" s="100">
        <f>46290.14</f>
        <v>46290.14</v>
      </c>
      <c r="F116" s="32">
        <f t="shared" si="3"/>
        <v>-46290.14</v>
      </c>
    </row>
    <row r="117" spans="1:6" x14ac:dyDescent="0.75">
      <c r="A117" s="109">
        <f t="shared" si="2"/>
        <v>3050</v>
      </c>
      <c r="B117" s="99" t="s">
        <v>964</v>
      </c>
      <c r="C117" s="101"/>
      <c r="D117" s="100">
        <f>38.8</f>
        <v>38.799999999999997</v>
      </c>
      <c r="F117" s="32">
        <f t="shared" si="3"/>
        <v>-38.799999999999997</v>
      </c>
    </row>
    <row r="118" spans="1:6" x14ac:dyDescent="0.75">
      <c r="A118" s="109">
        <f t="shared" si="2"/>
        <v>3100</v>
      </c>
      <c r="B118" s="99" t="s">
        <v>308</v>
      </c>
      <c r="C118" s="101"/>
      <c r="D118" s="100">
        <f>8601528.48</f>
        <v>8601528.4800000004</v>
      </c>
      <c r="F118" s="32">
        <f t="shared" si="3"/>
        <v>-8601528.4800000004</v>
      </c>
    </row>
    <row r="119" spans="1:6" x14ac:dyDescent="0.75">
      <c r="A119" s="109">
        <f t="shared" si="2"/>
        <v>3200</v>
      </c>
      <c r="B119" s="99" t="s">
        <v>309</v>
      </c>
      <c r="C119" s="101"/>
      <c r="D119" s="100">
        <f>0</f>
        <v>0</v>
      </c>
      <c r="F119" s="32">
        <f t="shared" si="3"/>
        <v>0</v>
      </c>
    </row>
    <row r="120" spans="1:6" x14ac:dyDescent="0.75">
      <c r="A120" s="109">
        <f t="shared" si="2"/>
        <v>3300</v>
      </c>
      <c r="B120" s="99" t="s">
        <v>763</v>
      </c>
      <c r="C120" s="101"/>
      <c r="D120" s="100">
        <f>0</f>
        <v>0</v>
      </c>
      <c r="F120" s="32">
        <f t="shared" si="3"/>
        <v>0</v>
      </c>
    </row>
    <row r="121" spans="1:6" x14ac:dyDescent="0.75">
      <c r="A121" s="109">
        <f t="shared" si="2"/>
        <v>3400</v>
      </c>
      <c r="B121" s="99" t="s">
        <v>764</v>
      </c>
      <c r="C121" s="101"/>
      <c r="D121" s="100">
        <f>0</f>
        <v>0</v>
      </c>
      <c r="F121" s="32">
        <f t="shared" si="3"/>
        <v>0</v>
      </c>
    </row>
    <row r="122" spans="1:6" x14ac:dyDescent="0.75">
      <c r="A122" s="109">
        <f t="shared" si="2"/>
        <v>3500</v>
      </c>
      <c r="B122" s="99" t="s">
        <v>306</v>
      </c>
      <c r="C122" s="101"/>
      <c r="D122" s="100">
        <f>0</f>
        <v>0</v>
      </c>
      <c r="F122" s="32">
        <f t="shared" si="3"/>
        <v>0</v>
      </c>
    </row>
    <row r="123" spans="1:6" x14ac:dyDescent="0.75">
      <c r="A123" s="109">
        <f t="shared" si="2"/>
        <v>3600</v>
      </c>
      <c r="B123" s="99" t="s">
        <v>938</v>
      </c>
      <c r="C123" s="100">
        <f>84000</f>
        <v>84000</v>
      </c>
      <c r="D123" s="101"/>
      <c r="F123" s="32">
        <f t="shared" si="3"/>
        <v>84000</v>
      </c>
    </row>
    <row r="124" spans="1:6" x14ac:dyDescent="0.75">
      <c r="A124" s="109">
        <f t="shared" si="2"/>
        <v>3800</v>
      </c>
      <c r="B124" s="99" t="s">
        <v>765</v>
      </c>
      <c r="C124" s="101"/>
      <c r="D124" s="100">
        <f>0</f>
        <v>0</v>
      </c>
      <c r="F124" s="32">
        <f t="shared" si="3"/>
        <v>0</v>
      </c>
    </row>
    <row r="125" spans="1:6" x14ac:dyDescent="0.75">
      <c r="A125" s="109">
        <f t="shared" si="2"/>
        <v>3900</v>
      </c>
      <c r="B125" s="99" t="s">
        <v>311</v>
      </c>
      <c r="C125" s="100">
        <f>9779200.52</f>
        <v>9779200.5199999996</v>
      </c>
      <c r="D125" s="101"/>
      <c r="F125" s="32">
        <f t="shared" si="3"/>
        <v>9779200.5199999996</v>
      </c>
    </row>
    <row r="126" spans="1:6" x14ac:dyDescent="0.75">
      <c r="A126" s="109">
        <f t="shared" si="2"/>
        <v>4100</v>
      </c>
      <c r="B126" s="99" t="s">
        <v>313</v>
      </c>
      <c r="C126" s="101"/>
      <c r="D126" s="100">
        <f>475540.1</f>
        <v>475540.1</v>
      </c>
      <c r="F126" s="32">
        <f t="shared" si="3"/>
        <v>-475540.1</v>
      </c>
    </row>
    <row r="127" spans="1:6" x14ac:dyDescent="0.75">
      <c r="A127" s="109">
        <f t="shared" si="2"/>
        <v>4500</v>
      </c>
      <c r="B127" s="99" t="s">
        <v>766</v>
      </c>
      <c r="C127" s="101"/>
      <c r="D127" s="100">
        <f>11280.01</f>
        <v>11280.01</v>
      </c>
      <c r="F127" s="32">
        <f t="shared" si="3"/>
        <v>-11280.01</v>
      </c>
    </row>
    <row r="128" spans="1:6" x14ac:dyDescent="0.75">
      <c r="A128" s="109">
        <f t="shared" si="2"/>
        <v>5010</v>
      </c>
      <c r="B128" s="99" t="s">
        <v>833</v>
      </c>
      <c r="C128" s="100">
        <f>36081.25</f>
        <v>36081.25</v>
      </c>
      <c r="D128" s="101"/>
      <c r="F128" s="32">
        <f t="shared" si="3"/>
        <v>36081.25</v>
      </c>
    </row>
    <row r="129" spans="1:6" x14ac:dyDescent="0.75">
      <c r="A129" s="109">
        <f t="shared" si="2"/>
        <v>5020</v>
      </c>
      <c r="B129" s="99" t="s">
        <v>796</v>
      </c>
      <c r="C129" s="100">
        <f>25000</f>
        <v>25000</v>
      </c>
      <c r="D129" s="101"/>
      <c r="F129" s="32">
        <f t="shared" si="3"/>
        <v>25000</v>
      </c>
    </row>
    <row r="130" spans="1:6" x14ac:dyDescent="0.75">
      <c r="A130" s="109">
        <f t="shared" si="2"/>
        <v>5030</v>
      </c>
      <c r="B130" s="99" t="s">
        <v>860</v>
      </c>
      <c r="C130" s="100">
        <f>41573.05</f>
        <v>41573.050000000003</v>
      </c>
      <c r="D130" s="101"/>
      <c r="F130" s="32">
        <f t="shared" si="3"/>
        <v>41573.050000000003</v>
      </c>
    </row>
    <row r="131" spans="1:6" x14ac:dyDescent="0.75">
      <c r="A131" s="109">
        <f t="shared" si="2"/>
        <v>5050</v>
      </c>
      <c r="B131" s="99" t="s">
        <v>797</v>
      </c>
      <c r="C131" s="100">
        <f>48689.5</f>
        <v>48689.5</v>
      </c>
      <c r="D131" s="101"/>
      <c r="F131" s="32">
        <f t="shared" si="3"/>
        <v>48689.5</v>
      </c>
    </row>
    <row r="132" spans="1:6" x14ac:dyDescent="0.75">
      <c r="A132" s="109">
        <f t="shared" si="2"/>
        <v>6010</v>
      </c>
      <c r="B132" s="99" t="s">
        <v>798</v>
      </c>
      <c r="C132" s="100">
        <f>0</f>
        <v>0</v>
      </c>
      <c r="D132" s="101"/>
      <c r="F132" s="32">
        <f t="shared" si="3"/>
        <v>0</v>
      </c>
    </row>
    <row r="133" spans="1:6" x14ac:dyDescent="0.75">
      <c r="A133" s="109">
        <f t="shared" si="2"/>
        <v>6025</v>
      </c>
      <c r="B133" s="99" t="s">
        <v>767</v>
      </c>
      <c r="C133" s="100">
        <f>797.75</f>
        <v>797.75</v>
      </c>
      <c r="D133" s="101"/>
      <c r="F133" s="32">
        <f t="shared" si="3"/>
        <v>797.75</v>
      </c>
    </row>
    <row r="134" spans="1:6" x14ac:dyDescent="0.75">
      <c r="A134" s="109">
        <f t="shared" ref="A134:A177" si="4">VALUE(LEFT(B134,4))</f>
        <v>6030</v>
      </c>
      <c r="B134" s="99" t="s">
        <v>768</v>
      </c>
      <c r="C134" s="100">
        <f>1347.94</f>
        <v>1347.94</v>
      </c>
      <c r="D134" s="101"/>
      <c r="F134" s="32">
        <f t="shared" si="3"/>
        <v>1347.94</v>
      </c>
    </row>
    <row r="135" spans="1:6" x14ac:dyDescent="0.75">
      <c r="A135" s="109">
        <f t="shared" si="4"/>
        <v>6060</v>
      </c>
      <c r="B135" s="99" t="s">
        <v>852</v>
      </c>
      <c r="C135" s="100">
        <f>1050</f>
        <v>1050</v>
      </c>
      <c r="D135" s="101"/>
      <c r="F135" s="32">
        <f t="shared" ref="F135:F178" si="5">C135-D135</f>
        <v>1050</v>
      </c>
    </row>
    <row r="136" spans="1:6" x14ac:dyDescent="0.75">
      <c r="A136" s="109">
        <f t="shared" si="4"/>
        <v>6065</v>
      </c>
      <c r="B136" s="99" t="s">
        <v>861</v>
      </c>
      <c r="C136" s="100">
        <f>2500</f>
        <v>2500</v>
      </c>
      <c r="D136" s="101"/>
      <c r="F136" s="32">
        <f t="shared" si="5"/>
        <v>2500</v>
      </c>
    </row>
    <row r="137" spans="1:6" x14ac:dyDescent="0.75">
      <c r="A137" s="109">
        <f t="shared" si="4"/>
        <v>6075</v>
      </c>
      <c r="B137" s="99" t="s">
        <v>803</v>
      </c>
      <c r="C137" s="100">
        <f>54984.92</f>
        <v>54984.92</v>
      </c>
      <c r="D137" s="101"/>
      <c r="F137" s="32">
        <f t="shared" si="5"/>
        <v>54984.92</v>
      </c>
    </row>
    <row r="138" spans="1:6" x14ac:dyDescent="0.75">
      <c r="A138" s="109">
        <f t="shared" si="4"/>
        <v>6085</v>
      </c>
      <c r="B138" s="99" t="s">
        <v>769</v>
      </c>
      <c r="C138" s="100">
        <f>2833.1</f>
        <v>2833.1</v>
      </c>
      <c r="D138" s="101"/>
      <c r="F138" s="32">
        <f t="shared" si="5"/>
        <v>2833.1</v>
      </c>
    </row>
    <row r="139" spans="1:6" x14ac:dyDescent="0.75">
      <c r="A139" s="109">
        <f t="shared" si="4"/>
        <v>6100</v>
      </c>
      <c r="B139" s="99" t="s">
        <v>804</v>
      </c>
      <c r="C139" s="100">
        <f>540.24</f>
        <v>540.24</v>
      </c>
      <c r="D139" s="101"/>
      <c r="F139" s="32">
        <f t="shared" si="5"/>
        <v>540.24</v>
      </c>
    </row>
    <row r="140" spans="1:6" x14ac:dyDescent="0.75">
      <c r="A140" s="109">
        <f t="shared" si="4"/>
        <v>6105</v>
      </c>
      <c r="B140" s="99" t="s">
        <v>838</v>
      </c>
      <c r="C140" s="100">
        <f>3442.38</f>
        <v>3442.38</v>
      </c>
      <c r="D140" s="101"/>
      <c r="F140" s="32">
        <f t="shared" si="5"/>
        <v>3442.38</v>
      </c>
    </row>
    <row r="141" spans="1:6" x14ac:dyDescent="0.75">
      <c r="A141" s="109">
        <f t="shared" si="4"/>
        <v>6115</v>
      </c>
      <c r="B141" s="99" t="s">
        <v>839</v>
      </c>
      <c r="C141" s="100">
        <f>0</f>
        <v>0</v>
      </c>
      <c r="D141" s="101"/>
      <c r="F141" s="32">
        <f t="shared" si="5"/>
        <v>0</v>
      </c>
    </row>
    <row r="142" spans="1:6" x14ac:dyDescent="0.75">
      <c r="A142" s="109">
        <f t="shared" si="4"/>
        <v>6120</v>
      </c>
      <c r="B142" s="99" t="s">
        <v>770</v>
      </c>
      <c r="C142" s="100">
        <f>1098.92</f>
        <v>1098.92</v>
      </c>
      <c r="D142" s="101"/>
      <c r="F142" s="32">
        <f t="shared" si="5"/>
        <v>1098.92</v>
      </c>
    </row>
    <row r="143" spans="1:6" x14ac:dyDescent="0.75">
      <c r="A143" s="109">
        <f t="shared" si="4"/>
        <v>6135</v>
      </c>
      <c r="B143" s="99" t="s">
        <v>853</v>
      </c>
      <c r="C143" s="100">
        <f>15591.88</f>
        <v>15591.88</v>
      </c>
      <c r="D143" s="101"/>
      <c r="F143" s="32">
        <f t="shared" si="5"/>
        <v>15591.88</v>
      </c>
    </row>
    <row r="144" spans="1:6" x14ac:dyDescent="0.75">
      <c r="A144" s="109">
        <f t="shared" si="4"/>
        <v>6150</v>
      </c>
      <c r="B144" s="99" t="s">
        <v>771</v>
      </c>
      <c r="C144" s="100">
        <f>6163</f>
        <v>6163</v>
      </c>
      <c r="D144" s="101"/>
      <c r="F144" s="32">
        <f t="shared" si="5"/>
        <v>6163</v>
      </c>
    </row>
    <row r="145" spans="1:6" x14ac:dyDescent="0.75">
      <c r="A145" s="109">
        <f t="shared" si="4"/>
        <v>6155</v>
      </c>
      <c r="B145" s="99" t="s">
        <v>772</v>
      </c>
      <c r="C145" s="100">
        <f>11191.95</f>
        <v>11191.95</v>
      </c>
      <c r="D145" s="101"/>
      <c r="F145" s="32">
        <f t="shared" si="5"/>
        <v>11191.95</v>
      </c>
    </row>
    <row r="146" spans="1:6" x14ac:dyDescent="0.75">
      <c r="A146" s="109">
        <f t="shared" si="4"/>
        <v>6210</v>
      </c>
      <c r="B146" s="99" t="s">
        <v>773</v>
      </c>
      <c r="C146" s="100">
        <f>802.67</f>
        <v>802.67</v>
      </c>
      <c r="D146" s="101"/>
      <c r="F146" s="32">
        <f t="shared" si="5"/>
        <v>802.67</v>
      </c>
    </row>
    <row r="147" spans="1:6" x14ac:dyDescent="0.75">
      <c r="A147" s="109">
        <f t="shared" si="4"/>
        <v>6215</v>
      </c>
      <c r="B147" s="99" t="s">
        <v>774</v>
      </c>
      <c r="C147" s="100">
        <f>1303.83</f>
        <v>1303.83</v>
      </c>
      <c r="D147" s="101"/>
      <c r="F147" s="32">
        <f t="shared" si="5"/>
        <v>1303.83</v>
      </c>
    </row>
    <row r="148" spans="1:6" x14ac:dyDescent="0.75">
      <c r="A148" s="109">
        <f t="shared" si="4"/>
        <v>6220</v>
      </c>
      <c r="B148" s="99" t="s">
        <v>775</v>
      </c>
      <c r="C148" s="100">
        <f>5894.99</f>
        <v>5894.99</v>
      </c>
      <c r="D148" s="101"/>
      <c r="F148" s="32">
        <f t="shared" si="5"/>
        <v>5894.99</v>
      </c>
    </row>
    <row r="149" spans="1:6" x14ac:dyDescent="0.75">
      <c r="A149" s="109">
        <f t="shared" si="4"/>
        <v>6245</v>
      </c>
      <c r="B149" s="99" t="s">
        <v>776</v>
      </c>
      <c r="C149" s="100">
        <f>1382.79</f>
        <v>1382.79</v>
      </c>
      <c r="D149" s="101"/>
      <c r="F149" s="32">
        <f t="shared" si="5"/>
        <v>1382.79</v>
      </c>
    </row>
    <row r="150" spans="1:6" x14ac:dyDescent="0.75">
      <c r="A150" s="109">
        <f t="shared" si="4"/>
        <v>6255</v>
      </c>
      <c r="B150" s="99" t="s">
        <v>777</v>
      </c>
      <c r="C150" s="100">
        <f>24.88</f>
        <v>24.88</v>
      </c>
      <c r="D150" s="101"/>
      <c r="F150" s="32">
        <f t="shared" si="5"/>
        <v>24.88</v>
      </c>
    </row>
    <row r="151" spans="1:6" x14ac:dyDescent="0.75">
      <c r="A151" s="109">
        <f t="shared" si="4"/>
        <v>6260</v>
      </c>
      <c r="B151" s="99" t="s">
        <v>789</v>
      </c>
      <c r="C151" s="100">
        <f>640.27</f>
        <v>640.27</v>
      </c>
      <c r="D151" s="101"/>
      <c r="F151" s="32">
        <f t="shared" si="5"/>
        <v>640.27</v>
      </c>
    </row>
    <row r="152" spans="1:6" x14ac:dyDescent="0.75">
      <c r="A152" s="109">
        <f t="shared" si="4"/>
        <v>6270</v>
      </c>
      <c r="B152" s="99" t="s">
        <v>778</v>
      </c>
      <c r="C152" s="100">
        <f>221798.7</f>
        <v>221798.7</v>
      </c>
      <c r="D152" s="101"/>
      <c r="F152" s="32">
        <f t="shared" si="5"/>
        <v>221798.7</v>
      </c>
    </row>
    <row r="153" spans="1:6" x14ac:dyDescent="0.75">
      <c r="A153" s="109">
        <f t="shared" si="4"/>
        <v>6275</v>
      </c>
      <c r="B153" s="99" t="s">
        <v>790</v>
      </c>
      <c r="C153" s="100">
        <f>104693.46</f>
        <v>104693.46</v>
      </c>
      <c r="D153" s="101"/>
      <c r="F153" s="32">
        <f t="shared" si="5"/>
        <v>104693.46</v>
      </c>
    </row>
    <row r="154" spans="1:6" x14ac:dyDescent="0.75">
      <c r="A154" s="109">
        <f t="shared" si="4"/>
        <v>6280</v>
      </c>
      <c r="B154" s="99" t="s">
        <v>779</v>
      </c>
      <c r="C154" s="100">
        <f>32797.67</f>
        <v>32797.67</v>
      </c>
      <c r="D154" s="101"/>
      <c r="F154" s="32">
        <f t="shared" si="5"/>
        <v>32797.67</v>
      </c>
    </row>
    <row r="155" spans="1:6" x14ac:dyDescent="0.75">
      <c r="A155" s="109">
        <f t="shared" si="4"/>
        <v>6295</v>
      </c>
      <c r="B155" s="99" t="s">
        <v>795</v>
      </c>
      <c r="C155" s="100">
        <f>1573.5</f>
        <v>1573.5</v>
      </c>
      <c r="D155" s="101"/>
      <c r="F155" s="32">
        <f t="shared" si="5"/>
        <v>1573.5</v>
      </c>
    </row>
    <row r="156" spans="1:6" x14ac:dyDescent="0.75">
      <c r="A156" s="109">
        <f t="shared" si="4"/>
        <v>6300</v>
      </c>
      <c r="B156" s="99" t="s">
        <v>840</v>
      </c>
      <c r="C156" s="100">
        <f>6907</f>
        <v>6907</v>
      </c>
      <c r="D156" s="101"/>
      <c r="F156" s="32">
        <f t="shared" si="5"/>
        <v>6907</v>
      </c>
    </row>
    <row r="157" spans="1:6" x14ac:dyDescent="0.75">
      <c r="A157" s="109">
        <f t="shared" si="4"/>
        <v>6315</v>
      </c>
      <c r="B157" s="99" t="s">
        <v>791</v>
      </c>
      <c r="C157" s="100">
        <f>36132.99</f>
        <v>36132.99</v>
      </c>
      <c r="D157" s="101"/>
      <c r="F157" s="32">
        <f t="shared" si="5"/>
        <v>36132.99</v>
      </c>
    </row>
    <row r="158" spans="1:6" x14ac:dyDescent="0.75">
      <c r="A158" s="109">
        <f t="shared" si="4"/>
        <v>6330</v>
      </c>
      <c r="B158" s="99" t="s">
        <v>967</v>
      </c>
      <c r="C158" s="100">
        <f>858.92</f>
        <v>858.92</v>
      </c>
      <c r="D158" s="101"/>
      <c r="F158" s="32">
        <f t="shared" si="5"/>
        <v>858.92</v>
      </c>
    </row>
    <row r="159" spans="1:6" x14ac:dyDescent="0.75">
      <c r="A159" s="109">
        <f t="shared" si="4"/>
        <v>6335</v>
      </c>
      <c r="B159" s="99" t="s">
        <v>855</v>
      </c>
      <c r="C159" s="100">
        <f>223.5</f>
        <v>223.5</v>
      </c>
      <c r="D159" s="101"/>
      <c r="F159" s="32">
        <f t="shared" si="5"/>
        <v>223.5</v>
      </c>
    </row>
    <row r="160" spans="1:6" x14ac:dyDescent="0.75">
      <c r="A160" s="109">
        <f t="shared" si="4"/>
        <v>6340</v>
      </c>
      <c r="B160" s="99" t="s">
        <v>969</v>
      </c>
      <c r="C160" s="100">
        <f>2867.87</f>
        <v>2867.87</v>
      </c>
      <c r="D160" s="101"/>
      <c r="F160" s="32">
        <f t="shared" si="5"/>
        <v>2867.87</v>
      </c>
    </row>
    <row r="161" spans="1:6" x14ac:dyDescent="0.75">
      <c r="A161" s="109">
        <f t="shared" si="4"/>
        <v>6345</v>
      </c>
      <c r="B161" s="99" t="s">
        <v>792</v>
      </c>
      <c r="C161" s="100">
        <f>2117.5</f>
        <v>2117.5</v>
      </c>
      <c r="D161" s="101"/>
      <c r="F161" s="32">
        <f t="shared" si="5"/>
        <v>2117.5</v>
      </c>
    </row>
    <row r="162" spans="1:6" x14ac:dyDescent="0.75">
      <c r="A162" s="109">
        <f t="shared" si="4"/>
        <v>6350</v>
      </c>
      <c r="B162" s="99" t="s">
        <v>780</v>
      </c>
      <c r="C162" s="100">
        <f>918.86</f>
        <v>918.86</v>
      </c>
      <c r="D162" s="101"/>
      <c r="F162" s="32">
        <f t="shared" si="5"/>
        <v>918.86</v>
      </c>
    </row>
    <row r="163" spans="1:6" x14ac:dyDescent="0.75">
      <c r="A163" s="109">
        <f t="shared" si="4"/>
        <v>6400</v>
      </c>
      <c r="B163" s="99" t="s">
        <v>781</v>
      </c>
      <c r="C163" s="100">
        <f>165041.79</f>
        <v>165041.79</v>
      </c>
      <c r="D163" s="101"/>
      <c r="F163" s="32">
        <f t="shared" si="5"/>
        <v>165041.79</v>
      </c>
    </row>
    <row r="164" spans="1:6" x14ac:dyDescent="0.75">
      <c r="A164" s="109">
        <f t="shared" si="4"/>
        <v>6420</v>
      </c>
      <c r="B164" s="99" t="s">
        <v>965</v>
      </c>
      <c r="C164" s="101"/>
      <c r="D164" s="100">
        <f>23154.25</f>
        <v>23154.25</v>
      </c>
      <c r="F164" s="32">
        <f t="shared" si="5"/>
        <v>-23154.25</v>
      </c>
    </row>
    <row r="165" spans="1:6" x14ac:dyDescent="0.75">
      <c r="A165" s="109">
        <f t="shared" si="4"/>
        <v>6430</v>
      </c>
      <c r="B165" s="99" t="s">
        <v>782</v>
      </c>
      <c r="C165" s="100">
        <f>151478.58</f>
        <v>151478.57999999999</v>
      </c>
      <c r="D165" s="101"/>
      <c r="F165" s="32">
        <f t="shared" si="5"/>
        <v>151478.57999999999</v>
      </c>
    </row>
    <row r="166" spans="1:6" x14ac:dyDescent="0.75">
      <c r="A166" s="109">
        <f t="shared" si="4"/>
        <v>6435</v>
      </c>
      <c r="B166" s="99" t="s">
        <v>783</v>
      </c>
      <c r="C166" s="100">
        <f>14862.5</f>
        <v>14862.5</v>
      </c>
      <c r="D166" s="101"/>
      <c r="F166" s="32">
        <f t="shared" si="5"/>
        <v>14862.5</v>
      </c>
    </row>
    <row r="167" spans="1:6" x14ac:dyDescent="0.75">
      <c r="A167" s="109">
        <f t="shared" si="4"/>
        <v>6440</v>
      </c>
      <c r="B167" s="99" t="s">
        <v>948</v>
      </c>
      <c r="C167" s="100">
        <f>224346.82</f>
        <v>224346.82</v>
      </c>
      <c r="D167" s="101"/>
      <c r="F167" s="32">
        <f t="shared" si="5"/>
        <v>224346.82</v>
      </c>
    </row>
    <row r="168" spans="1:6" x14ac:dyDescent="0.75">
      <c r="A168" s="109">
        <f t="shared" si="4"/>
        <v>6445</v>
      </c>
      <c r="B168" s="99" t="s">
        <v>784</v>
      </c>
      <c r="C168" s="100">
        <f>24601.06</f>
        <v>24601.06</v>
      </c>
      <c r="D168" s="101"/>
      <c r="F168" s="32">
        <f t="shared" si="5"/>
        <v>24601.06</v>
      </c>
    </row>
    <row r="169" spans="1:6" x14ac:dyDescent="0.75">
      <c r="A169" s="109">
        <f t="shared" si="4"/>
        <v>6510</v>
      </c>
      <c r="B169" s="99" t="s">
        <v>785</v>
      </c>
      <c r="C169" s="100">
        <f>13848.44</f>
        <v>13848.44</v>
      </c>
      <c r="D169" s="101"/>
      <c r="F169" s="32">
        <f t="shared" si="5"/>
        <v>13848.44</v>
      </c>
    </row>
    <row r="170" spans="1:6" x14ac:dyDescent="0.75">
      <c r="A170" s="109">
        <f t="shared" si="4"/>
        <v>6525</v>
      </c>
      <c r="B170" s="99" t="s">
        <v>794</v>
      </c>
      <c r="C170" s="100">
        <f>5707.86</f>
        <v>5707.86</v>
      </c>
      <c r="D170" s="101"/>
      <c r="F170" s="32">
        <f t="shared" si="5"/>
        <v>5707.86</v>
      </c>
    </row>
    <row r="171" spans="1:6" x14ac:dyDescent="0.75">
      <c r="A171" s="109">
        <f t="shared" si="4"/>
        <v>6550</v>
      </c>
      <c r="B171" s="99" t="s">
        <v>786</v>
      </c>
      <c r="C171" s="100">
        <f>10033.47</f>
        <v>10033.469999999999</v>
      </c>
      <c r="D171" s="101"/>
      <c r="F171" s="32">
        <f t="shared" si="5"/>
        <v>10033.469999999999</v>
      </c>
    </row>
    <row r="172" spans="1:6" x14ac:dyDescent="0.75">
      <c r="A172" s="109">
        <f t="shared" si="4"/>
        <v>6555</v>
      </c>
      <c r="B172" s="99" t="s">
        <v>857</v>
      </c>
      <c r="C172" s="100">
        <f>1901.09</f>
        <v>1901.09</v>
      </c>
      <c r="D172" s="101"/>
      <c r="F172" s="32">
        <f t="shared" si="5"/>
        <v>1901.09</v>
      </c>
    </row>
    <row r="173" spans="1:6" x14ac:dyDescent="0.75">
      <c r="A173" s="109">
        <f t="shared" si="4"/>
        <v>7510</v>
      </c>
      <c r="B173" s="99" t="s">
        <v>787</v>
      </c>
      <c r="C173" s="100">
        <f>4052.95</f>
        <v>4052.95</v>
      </c>
      <c r="D173" s="101"/>
      <c r="F173" s="32">
        <f t="shared" si="5"/>
        <v>4052.95</v>
      </c>
    </row>
    <row r="174" spans="1:6" x14ac:dyDescent="0.75">
      <c r="A174" s="109">
        <f t="shared" si="4"/>
        <v>7520</v>
      </c>
      <c r="B174" s="99" t="s">
        <v>805</v>
      </c>
      <c r="C174" s="100">
        <f>10842.49</f>
        <v>10842.49</v>
      </c>
      <c r="D174" s="101"/>
      <c r="F174" s="32">
        <f t="shared" si="5"/>
        <v>10842.49</v>
      </c>
    </row>
    <row r="175" spans="1:6" x14ac:dyDescent="0.75">
      <c r="A175" s="109">
        <f t="shared" si="4"/>
        <v>7530</v>
      </c>
      <c r="B175" s="99" t="s">
        <v>788</v>
      </c>
      <c r="C175" s="100">
        <f>27832.5</f>
        <v>27832.5</v>
      </c>
      <c r="D175" s="101"/>
      <c r="F175" s="32">
        <f t="shared" si="5"/>
        <v>27832.5</v>
      </c>
    </row>
    <row r="176" spans="1:6" x14ac:dyDescent="0.75">
      <c r="A176" s="109">
        <f t="shared" si="4"/>
        <v>7540</v>
      </c>
      <c r="B176" s="99" t="s">
        <v>846</v>
      </c>
      <c r="C176" s="100">
        <f>65386.67</f>
        <v>65386.67</v>
      </c>
      <c r="D176" s="101"/>
      <c r="F176" s="32">
        <f t="shared" si="5"/>
        <v>65386.67</v>
      </c>
    </row>
    <row r="177" spans="1:6" x14ac:dyDescent="0.75">
      <c r="A177" s="109">
        <f t="shared" si="4"/>
        <v>7590</v>
      </c>
      <c r="B177" s="99" t="s">
        <v>944</v>
      </c>
      <c r="C177" s="100">
        <f>112974</f>
        <v>112974</v>
      </c>
      <c r="D177" s="101"/>
      <c r="F177" s="32">
        <f t="shared" si="5"/>
        <v>112974</v>
      </c>
    </row>
    <row r="178" spans="1:6" x14ac:dyDescent="0.75">
      <c r="A178" s="109">
        <f>VALUE(LEFT(B178,4))</f>
        <v>7100</v>
      </c>
      <c r="B178" s="99" t="s">
        <v>375</v>
      </c>
      <c r="C178" s="101"/>
      <c r="D178" s="100">
        <f>182.95</f>
        <v>182.95</v>
      </c>
      <c r="F178" s="32">
        <f t="shared" si="5"/>
        <v>-182.95</v>
      </c>
    </row>
    <row r="179" spans="1:6" x14ac:dyDescent="0.75">
      <c r="B179" s="99" t="s">
        <v>2</v>
      </c>
      <c r="C179" s="102">
        <f t="shared" ref="C179:D179" si="6">SUM(C6:C178)</f>
        <v>13239767.469999997</v>
      </c>
      <c r="D179" s="102">
        <f t="shared" si="6"/>
        <v>13239767.469999999</v>
      </c>
      <c r="F179" s="32">
        <f>SUM(F6:F178)</f>
        <v>-1.8946479940495919E-9</v>
      </c>
    </row>
    <row r="180" spans="1:6" x14ac:dyDescent="0.75">
      <c r="B180" s="99"/>
      <c r="C180" s="101"/>
      <c r="D180" s="101"/>
    </row>
    <row r="183" spans="1:6" x14ac:dyDescent="0.75">
      <c r="B183" s="202" t="s">
        <v>1058</v>
      </c>
      <c r="C183" s="197"/>
      <c r="D183" s="197"/>
    </row>
  </sheetData>
  <mergeCells count="4">
    <mergeCell ref="B1:D1"/>
    <mergeCell ref="B2:D2"/>
    <mergeCell ref="B3:D3"/>
    <mergeCell ref="B183:D183"/>
  </mergeCells>
  <pageMargins left="0.7" right="0.7" top="0.75" bottom="0.75" header="0.1" footer="0.3"/>
  <pageSetup orientation="portrait" r:id="rId1"/>
  <headerFooter>
    <oddHeader>&amp;L&amp;"Arial,Bold"&amp;8 3:42 PM
&amp;"Arial,Bold"&amp;8 02/18/20
&amp;"Arial,Bold"&amp;8 Accrual Basis&amp;C&amp;"Arial,Bold"&amp;12 Vitro Diagnostics, Inc.
&amp;"Arial,Bold"&amp;14 Trial Balance
&amp;"Arial,Bold"&amp;10 As of October 31,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54273" r:id="rId4" name="FILTER">
          <controlPr defaultSize="0" autoLine="0" r:id="rId5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54273" r:id="rId4" name="FILTER"/>
      </mc:Fallback>
    </mc:AlternateContent>
    <mc:AlternateContent xmlns:mc="http://schemas.openxmlformats.org/markup-compatibility/2006">
      <mc:Choice Requires="x14">
        <control shapeId="54274" r:id="rId6" name="HEADER">
          <controlPr defaultSize="0" autoLine="0" r:id="rId7">
            <anchor moveWithCells="1">
              <from>
                <xdr:col>0</xdr:col>
                <xdr:colOff>0</xdr:colOff>
                <xdr:row>3</xdr:row>
                <xdr:rowOff>9525</xdr:rowOff>
              </from>
              <to>
                <xdr:col>1</xdr:col>
                <xdr:colOff>276225</xdr:colOff>
                <xdr:row>4</xdr:row>
                <xdr:rowOff>50800</xdr:rowOff>
              </to>
            </anchor>
          </controlPr>
        </control>
      </mc:Choice>
      <mc:Fallback>
        <control shapeId="54274" r:id="rId6" name="HEADER"/>
      </mc:Fallback>
    </mc:AlternateContent>
  </control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C5B5D-5F46-4827-ADEA-164829ED90DF}">
  <dimension ref="A1:AK64"/>
  <sheetViews>
    <sheetView workbookViewId="0">
      <selection sqref="A1:AK64"/>
    </sheetView>
  </sheetViews>
  <sheetFormatPr defaultColWidth="8.7265625" defaultRowHeight="13" x14ac:dyDescent="0.6"/>
  <cols>
    <col min="1" max="16384" width="8.7265625" style="11"/>
  </cols>
  <sheetData>
    <row r="1" spans="1:37" x14ac:dyDescent="0.6">
      <c r="A1" s="203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</row>
    <row r="2" spans="1:37" x14ac:dyDescent="0.6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</row>
    <row r="3" spans="1:37" x14ac:dyDescent="0.6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</row>
    <row r="4" spans="1:37" x14ac:dyDescent="0.6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</row>
    <row r="5" spans="1:37" x14ac:dyDescent="0.6">
      <c r="A5" s="203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</row>
    <row r="6" spans="1:37" x14ac:dyDescent="0.6">
      <c r="A6" s="203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</row>
    <row r="7" spans="1:37" x14ac:dyDescent="0.6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</row>
    <row r="8" spans="1:37" x14ac:dyDescent="0.6">
      <c r="A8" s="203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</row>
    <row r="9" spans="1:37" x14ac:dyDescent="0.6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</row>
    <row r="10" spans="1:37" x14ac:dyDescent="0.6">
      <c r="A10" s="203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</row>
    <row r="11" spans="1:37" x14ac:dyDescent="0.6">
      <c r="A11" s="203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</row>
    <row r="12" spans="1:37" x14ac:dyDescent="0.6">
      <c r="A12" s="203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</row>
    <row r="13" spans="1:37" x14ac:dyDescent="0.6">
      <c r="A13" s="203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</row>
    <row r="14" spans="1:37" x14ac:dyDescent="0.6">
      <c r="A14" s="203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</row>
    <row r="15" spans="1:37" x14ac:dyDescent="0.6">
      <c r="A15" s="20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</row>
    <row r="16" spans="1:37" x14ac:dyDescent="0.6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</row>
    <row r="17" spans="1:37" x14ac:dyDescent="0.6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</row>
    <row r="18" spans="1:37" x14ac:dyDescent="0.6">
      <c r="A18" s="203"/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</row>
    <row r="19" spans="1:37" x14ac:dyDescent="0.6">
      <c r="A19" s="203"/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</row>
    <row r="20" spans="1:37" x14ac:dyDescent="0.6">
      <c r="A20" s="203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</row>
    <row r="21" spans="1:37" x14ac:dyDescent="0.6">
      <c r="A21" s="203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</row>
    <row r="22" spans="1:37" x14ac:dyDescent="0.6">
      <c r="A22" s="203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</row>
    <row r="23" spans="1:37" x14ac:dyDescent="0.6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</row>
    <row r="24" spans="1:37" x14ac:dyDescent="0.6">
      <c r="A24" s="203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</row>
    <row r="25" spans="1:37" x14ac:dyDescent="0.6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</row>
    <row r="26" spans="1:37" x14ac:dyDescent="0.6">
      <c r="A26" s="203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</row>
    <row r="27" spans="1:37" x14ac:dyDescent="0.6">
      <c r="A27" s="203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</row>
    <row r="28" spans="1:37" x14ac:dyDescent="0.6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</row>
    <row r="29" spans="1:37" x14ac:dyDescent="0.6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</row>
    <row r="30" spans="1:37" x14ac:dyDescent="0.6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</row>
    <row r="31" spans="1:37" x14ac:dyDescent="0.6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</row>
    <row r="32" spans="1:37" x14ac:dyDescent="0.6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</row>
    <row r="33" spans="1:37" x14ac:dyDescent="0.6">
      <c r="A33" s="203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</row>
    <row r="34" spans="1:37" x14ac:dyDescent="0.6">
      <c r="A34" s="203"/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</row>
    <row r="35" spans="1:37" x14ac:dyDescent="0.6">
      <c r="A35" s="203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</row>
    <row r="36" spans="1:37" x14ac:dyDescent="0.6">
      <c r="A36" s="203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</row>
    <row r="37" spans="1:37" x14ac:dyDescent="0.6">
      <c r="A37" s="203"/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</row>
    <row r="38" spans="1:37" x14ac:dyDescent="0.6">
      <c r="A38" s="203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</row>
    <row r="39" spans="1:37" x14ac:dyDescent="0.6">
      <c r="A39" s="203"/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</row>
    <row r="40" spans="1:37" x14ac:dyDescent="0.6">
      <c r="A40" s="203"/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</row>
    <row r="41" spans="1:37" x14ac:dyDescent="0.6">
      <c r="A41" s="203"/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</row>
    <row r="42" spans="1:37" x14ac:dyDescent="0.6">
      <c r="A42" s="203"/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</row>
    <row r="43" spans="1:37" x14ac:dyDescent="0.6">
      <c r="A43" s="203"/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</row>
    <row r="44" spans="1:37" x14ac:dyDescent="0.6">
      <c r="A44" s="203"/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</row>
    <row r="45" spans="1:37" x14ac:dyDescent="0.6">
      <c r="A45" s="203"/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</row>
    <row r="46" spans="1:37" x14ac:dyDescent="0.6">
      <c r="A46" s="203"/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</row>
    <row r="47" spans="1:37" x14ac:dyDescent="0.6">
      <c r="A47" s="203"/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</row>
    <row r="48" spans="1:37" x14ac:dyDescent="0.6">
      <c r="A48" s="203"/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</row>
    <row r="49" spans="1:37" x14ac:dyDescent="0.6">
      <c r="A49" s="203"/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</row>
    <row r="50" spans="1:37" x14ac:dyDescent="0.6">
      <c r="A50" s="203"/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</row>
    <row r="51" spans="1:37" x14ac:dyDescent="0.6">
      <c r="A51" s="203"/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</row>
    <row r="52" spans="1:37" x14ac:dyDescent="0.6">
      <c r="A52" s="203"/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</row>
    <row r="53" spans="1:37" x14ac:dyDescent="0.6">
      <c r="A53" s="203"/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</row>
    <row r="54" spans="1:37" x14ac:dyDescent="0.6">
      <c r="A54" s="203"/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</row>
    <row r="55" spans="1:37" x14ac:dyDescent="0.6">
      <c r="A55" s="203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</row>
    <row r="56" spans="1:37" x14ac:dyDescent="0.6">
      <c r="A56" s="203"/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</row>
    <row r="57" spans="1:37" x14ac:dyDescent="0.6">
      <c r="A57" s="203"/>
      <c r="B57" s="203"/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</row>
    <row r="58" spans="1:37" x14ac:dyDescent="0.6">
      <c r="A58" s="203"/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</row>
    <row r="59" spans="1:37" x14ac:dyDescent="0.6">
      <c r="A59" s="203"/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</row>
    <row r="60" spans="1:37" x14ac:dyDescent="0.6">
      <c r="A60" s="203"/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</row>
    <row r="61" spans="1:37" x14ac:dyDescent="0.6">
      <c r="A61" s="203"/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</row>
    <row r="62" spans="1:37" x14ac:dyDescent="0.6">
      <c r="A62" s="203"/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</row>
    <row r="63" spans="1:37" x14ac:dyDescent="0.6">
      <c r="A63" s="203"/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</row>
    <row r="64" spans="1:37" x14ac:dyDescent="0.6">
      <c r="A64" s="203"/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EA11-DBFC-4380-9842-42797870C517}">
  <sheetPr>
    <tabColor rgb="FF92D050"/>
    <pageSetUpPr fitToPage="1"/>
  </sheetPr>
  <dimension ref="A1:U78"/>
  <sheetViews>
    <sheetView showGridLines="0" workbookViewId="0">
      <pane xSplit="3" ySplit="6" topLeftCell="D59" activePane="bottomRight" state="frozen"/>
      <selection activeCell="A80" sqref="A80"/>
      <selection pane="topRight" activeCell="A80" sqref="A80"/>
      <selection pane="bottomLeft" activeCell="A80" sqref="A80"/>
      <selection pane="bottomRight" sqref="A1:I64"/>
    </sheetView>
  </sheetViews>
  <sheetFormatPr defaultColWidth="9.1328125" defaultRowHeight="15.75" x14ac:dyDescent="0.75"/>
  <cols>
    <col min="1" max="1" width="14.7265625" style="125" customWidth="1"/>
    <col min="2" max="2" width="67.26953125" style="125" customWidth="1"/>
    <col min="3" max="3" width="3.86328125" style="177" customWidth="1"/>
    <col min="4" max="6" width="22" style="125" hidden="1" customWidth="1"/>
    <col min="7" max="7" width="22" style="125" customWidth="1"/>
    <col min="8" max="8" width="2.86328125" style="177" customWidth="1"/>
    <col min="9" max="9" width="18.86328125" style="125" customWidth="1"/>
    <col min="10" max="10" width="4" style="125" customWidth="1"/>
    <col min="11" max="11" width="16.1328125" style="124" customWidth="1"/>
    <col min="12" max="16384" width="9.1328125" style="125"/>
  </cols>
  <sheetData>
    <row r="1" spans="2:21" x14ac:dyDescent="0.75">
      <c r="B1" s="192" t="s">
        <v>386</v>
      </c>
      <c r="C1" s="192"/>
      <c r="D1" s="192"/>
      <c r="E1" s="192"/>
      <c r="F1" s="192"/>
      <c r="G1" s="192"/>
      <c r="H1" s="192"/>
      <c r="I1" s="192"/>
      <c r="J1" s="124"/>
    </row>
    <row r="2" spans="2:21" x14ac:dyDescent="0.75">
      <c r="B2" s="192" t="s">
        <v>1017</v>
      </c>
      <c r="C2" s="192"/>
      <c r="D2" s="192"/>
      <c r="E2" s="192"/>
      <c r="F2" s="192"/>
      <c r="G2" s="192"/>
      <c r="H2" s="192"/>
      <c r="I2" s="192"/>
      <c r="J2" s="124"/>
    </row>
    <row r="3" spans="2:21" x14ac:dyDescent="0.75">
      <c r="B3" s="127"/>
      <c r="I3" s="155"/>
      <c r="J3" s="124"/>
    </row>
    <row r="4" spans="2:21" x14ac:dyDescent="0.75">
      <c r="D4" s="155" t="s">
        <v>402</v>
      </c>
      <c r="E4" s="155" t="s">
        <v>403</v>
      </c>
      <c r="F4" s="155" t="s">
        <v>404</v>
      </c>
      <c r="G4" s="155" t="s">
        <v>405</v>
      </c>
      <c r="I4" s="155" t="s">
        <v>405</v>
      </c>
      <c r="J4" s="124"/>
    </row>
    <row r="5" spans="2:21" x14ac:dyDescent="0.75">
      <c r="D5" s="156">
        <v>43861</v>
      </c>
      <c r="E5" s="156">
        <f>DATE(YEAR(D5),MONTH(D5)+4,1)-1</f>
        <v>43951</v>
      </c>
      <c r="F5" s="156">
        <f t="shared" ref="F5:G5" si="0">DATE(YEAR(E5),MONTH(E5)+4,1)-1</f>
        <v>44043</v>
      </c>
      <c r="G5" s="156">
        <f t="shared" si="0"/>
        <v>44135</v>
      </c>
      <c r="H5" s="180"/>
      <c r="I5" s="156">
        <f>DATE(YEAR(G5)-1,MONTH(G5),DAY(G5))</f>
        <v>43769</v>
      </c>
      <c r="J5" s="124"/>
    </row>
    <row r="6" spans="2:21" s="137" customFormat="1" x14ac:dyDescent="0.75">
      <c r="B6" s="127"/>
      <c r="C6" s="177"/>
      <c r="D6" s="125"/>
      <c r="E6" s="125"/>
      <c r="F6" s="125"/>
      <c r="G6" s="125"/>
      <c r="H6" s="177"/>
      <c r="I6" s="125"/>
      <c r="J6" s="124"/>
      <c r="K6" s="124"/>
      <c r="L6" s="125"/>
      <c r="M6" s="125"/>
      <c r="N6" s="125"/>
      <c r="O6" s="125"/>
      <c r="P6" s="125"/>
      <c r="Q6" s="125"/>
      <c r="R6" s="125"/>
      <c r="S6" s="125"/>
      <c r="T6" s="125"/>
      <c r="U6" s="125"/>
    </row>
    <row r="7" spans="2:21" s="137" customFormat="1" x14ac:dyDescent="0.75">
      <c r="B7" s="127" t="s">
        <v>879</v>
      </c>
      <c r="C7" s="177"/>
      <c r="D7" s="125"/>
      <c r="E7" s="125"/>
      <c r="F7" s="125"/>
      <c r="G7" s="125"/>
      <c r="H7" s="177"/>
      <c r="I7" s="125"/>
      <c r="J7" s="124"/>
      <c r="K7" s="124"/>
      <c r="L7" s="125"/>
      <c r="M7" s="125"/>
      <c r="N7" s="125"/>
      <c r="O7" s="125"/>
      <c r="P7" s="125"/>
      <c r="Q7" s="125"/>
      <c r="R7" s="125"/>
      <c r="S7" s="125"/>
      <c r="T7" s="125"/>
      <c r="U7" s="125"/>
    </row>
    <row r="8" spans="2:21" s="137" customFormat="1" x14ac:dyDescent="0.75">
      <c r="B8" s="127"/>
      <c r="C8" s="177"/>
      <c r="D8" s="125"/>
      <c r="E8" s="125"/>
      <c r="F8" s="125"/>
      <c r="G8" s="125"/>
      <c r="H8" s="177"/>
      <c r="I8" s="125"/>
      <c r="J8" s="124"/>
      <c r="K8" s="124"/>
      <c r="L8" s="125"/>
      <c r="M8" s="125"/>
      <c r="N8" s="125"/>
      <c r="O8" s="125"/>
      <c r="P8" s="125"/>
      <c r="Q8" s="125"/>
      <c r="R8" s="125"/>
      <c r="S8" s="125"/>
      <c r="T8" s="125"/>
      <c r="U8" s="125"/>
    </row>
    <row r="9" spans="2:21" s="137" customFormat="1" x14ac:dyDescent="0.75">
      <c r="B9" s="125" t="s">
        <v>880</v>
      </c>
      <c r="C9" s="177" t="s">
        <v>1135</v>
      </c>
      <c r="D9" s="157">
        <f>-ROUND(SUMIF('Q1 TB-20'!$H$6:$H$308,'Cash Flows FY-20 &amp; 19'!$K9,'Q1 TB-20'!$G$6:$G$308),0)</f>
        <v>0</v>
      </c>
      <c r="E9" s="157">
        <f>-ROUND(SUMIF('Q2 TB-20'!$H$6:$H$308,'Cash Flows FY-20 &amp; 19'!$K9,'Q2 TB-20'!$G$6:$G$308),0)</f>
        <v>0</v>
      </c>
      <c r="F9" s="157">
        <f>-ROUND(SUMIF('Q3 TB-20'!$H$6:$H$308,'Cash Flows FY-20 &amp; 19'!$K9,'Q3 TB-20'!$G$6:$G$308),0)</f>
        <v>0</v>
      </c>
      <c r="G9" s="187">
        <f>'CF Worksheet 10-31-20'!E11</f>
        <v>-1562547</v>
      </c>
      <c r="H9" s="184" t="s">
        <v>1135</v>
      </c>
      <c r="I9" s="187">
        <f>'CF Worksheet 10-31-19'!E11</f>
        <v>-609806</v>
      </c>
      <c r="J9" s="124"/>
      <c r="K9" s="124"/>
      <c r="L9" s="125"/>
      <c r="M9" s="125"/>
      <c r="N9" s="125"/>
      <c r="O9" s="125"/>
      <c r="P9" s="125"/>
      <c r="Q9" s="125"/>
      <c r="R9" s="125"/>
      <c r="S9" s="125"/>
      <c r="T9" s="125"/>
      <c r="U9" s="125"/>
    </row>
    <row r="10" spans="2:21" s="137" customFormat="1" x14ac:dyDescent="0.75">
      <c r="B10" s="125" t="s">
        <v>1137</v>
      </c>
      <c r="C10" s="177"/>
      <c r="D10" s="137">
        <f>-ROUND(SUMIF('Q1 TB-20'!$H$6:$H$308,'Cash Flows FY-20 &amp; 19'!$K10,'Q1 TB-20'!$G$6:$G$308),0)</f>
        <v>0</v>
      </c>
      <c r="E10" s="137">
        <f>-ROUND(SUMIF('Q2 TB-20'!$H$6:$H$308,'Cash Flows FY-20 &amp; 19'!$K10,'Q2 TB-20'!$G$6:$G$308),0)</f>
        <v>0</v>
      </c>
      <c r="F10" s="137">
        <f>-ROUND(SUMIF('Q3 TB-20'!$H$6:$H$308,'Cash Flows FY-20 &amp; 19'!$K10,'Q3 TB-20'!$G$6:$G$308),0)</f>
        <v>0</v>
      </c>
      <c r="G10" s="143"/>
      <c r="H10" s="189"/>
      <c r="I10" s="143"/>
      <c r="J10" s="124"/>
      <c r="K10" s="124"/>
      <c r="L10" s="125"/>
      <c r="M10" s="125"/>
      <c r="N10" s="125"/>
      <c r="O10" s="125"/>
      <c r="P10" s="125"/>
      <c r="Q10" s="125"/>
      <c r="R10" s="125"/>
      <c r="S10" s="125"/>
      <c r="T10" s="125"/>
      <c r="U10" s="125"/>
    </row>
    <row r="11" spans="2:21" s="137" customFormat="1" x14ac:dyDescent="0.75">
      <c r="B11" s="125" t="s">
        <v>1019</v>
      </c>
      <c r="C11" s="177"/>
      <c r="D11" s="141">
        <f>D9+D10</f>
        <v>0</v>
      </c>
      <c r="E11" s="141">
        <f t="shared" ref="E11:F11" si="1">E9+E10</f>
        <v>0</v>
      </c>
      <c r="F11" s="141">
        <f t="shared" si="1"/>
        <v>0</v>
      </c>
      <c r="G11" s="143">
        <f>'CF Worksheet 10-31-20'!E14</f>
        <v>75101</v>
      </c>
      <c r="H11" s="189"/>
      <c r="I11" s="143">
        <f>'CF Worksheet 10-31-19'!E14</f>
        <v>43600</v>
      </c>
      <c r="J11" s="124"/>
      <c r="K11" s="124"/>
      <c r="L11" s="125"/>
      <c r="M11" s="125"/>
      <c r="N11" s="125"/>
      <c r="O11" s="125"/>
      <c r="P11" s="125"/>
      <c r="Q11" s="125"/>
      <c r="R11" s="125"/>
      <c r="S11" s="125"/>
      <c r="T11" s="125"/>
      <c r="U11" s="125"/>
    </row>
    <row r="12" spans="2:21" s="137" customFormat="1" x14ac:dyDescent="0.75">
      <c r="B12" s="125" t="s">
        <v>1018</v>
      </c>
      <c r="C12" s="177"/>
      <c r="D12" s="137">
        <f>-ROUND(SUMIF('Q1 TB-20'!$H$6:$H$308,'Cash Flows FY-20 &amp; 19'!$K12,'Q1 TB-20'!$G$6:$G$308),0)</f>
        <v>0</v>
      </c>
      <c r="E12" s="137">
        <f>-ROUND(SUMIF('Q2 TB-20'!$H$6:$H$308,'Cash Flows FY-20 &amp; 19'!$K12,'Q2 TB-20'!$G$6:$G$308),0)</f>
        <v>0</v>
      </c>
      <c r="F12" s="137">
        <f>-ROUND(SUMIF('Q3 TB-20'!$H$6:$H$308,'Cash Flows FY-20 &amp; 19'!$K12,'Q3 TB-20'!$G$6:$G$308),0)</f>
        <v>0</v>
      </c>
      <c r="G12" s="143">
        <f>'CF Worksheet 10-31-20'!E15</f>
        <v>0</v>
      </c>
      <c r="H12" s="189"/>
      <c r="I12" s="143">
        <f>'CF Worksheet 10-31-19'!E15</f>
        <v>9754</v>
      </c>
      <c r="J12" s="124"/>
      <c r="K12" s="124"/>
      <c r="L12" s="125"/>
      <c r="M12" s="125"/>
      <c r="N12" s="125"/>
      <c r="O12" s="125"/>
      <c r="P12" s="125"/>
      <c r="Q12" s="125"/>
      <c r="R12" s="125"/>
      <c r="S12" s="125"/>
      <c r="T12" s="125"/>
      <c r="U12" s="125"/>
    </row>
    <row r="13" spans="2:21" s="137" customFormat="1" x14ac:dyDescent="0.75">
      <c r="B13" s="125" t="s">
        <v>1106</v>
      </c>
      <c r="C13" s="177"/>
      <c r="G13" s="143">
        <f>'CF Worksheet 10-31-20'!E16</f>
        <v>13211</v>
      </c>
      <c r="H13" s="189"/>
      <c r="I13" s="143">
        <f>'CF Worksheet 10-31-19'!E16</f>
        <v>1746</v>
      </c>
      <c r="J13" s="124"/>
      <c r="K13" s="124"/>
      <c r="L13" s="125"/>
      <c r="M13" s="125"/>
      <c r="N13" s="125"/>
      <c r="O13" s="125"/>
      <c r="P13" s="125"/>
      <c r="Q13" s="125"/>
      <c r="R13" s="125"/>
      <c r="S13" s="125"/>
      <c r="T13" s="125"/>
      <c r="U13" s="125"/>
    </row>
    <row r="14" spans="2:21" s="137" customFormat="1" x14ac:dyDescent="0.75">
      <c r="B14" s="125" t="s">
        <v>1109</v>
      </c>
      <c r="C14" s="177"/>
      <c r="G14" s="143">
        <f>'CF Worksheet 10-31-20'!E17</f>
        <v>78649</v>
      </c>
      <c r="H14" s="189"/>
      <c r="I14" s="143">
        <f>'CF Worksheet 10-31-19'!E17</f>
        <v>18016</v>
      </c>
      <c r="J14" s="124"/>
      <c r="K14" s="124"/>
      <c r="L14" s="125"/>
      <c r="M14" s="125"/>
      <c r="N14" s="125"/>
      <c r="O14" s="125"/>
      <c r="P14" s="125"/>
      <c r="Q14" s="125"/>
      <c r="R14" s="125"/>
      <c r="S14" s="125"/>
      <c r="T14" s="125"/>
      <c r="U14" s="125"/>
    </row>
    <row r="15" spans="2:21" s="137" customFormat="1" x14ac:dyDescent="0.75">
      <c r="B15" s="125" t="s">
        <v>1020</v>
      </c>
      <c r="C15" s="177"/>
      <c r="D15" s="141"/>
      <c r="E15" s="141"/>
      <c r="F15" s="141"/>
      <c r="G15" s="143">
        <f>'CF Worksheet 10-31-20'!E18</f>
        <v>150907</v>
      </c>
      <c r="H15" s="189"/>
      <c r="I15" s="143">
        <f>'CF Worksheet 10-31-19'!E18</f>
        <v>144576</v>
      </c>
      <c r="J15" s="124"/>
      <c r="K15" s="124"/>
      <c r="L15" s="125"/>
      <c r="M15" s="125"/>
      <c r="N15" s="125"/>
      <c r="O15" s="125"/>
      <c r="P15" s="125"/>
      <c r="Q15" s="125"/>
      <c r="R15" s="125"/>
      <c r="S15" s="125"/>
      <c r="T15" s="125"/>
      <c r="U15" s="125"/>
    </row>
    <row r="16" spans="2:21" s="137" customFormat="1" x14ac:dyDescent="0.75">
      <c r="B16" s="125" t="s">
        <v>1131</v>
      </c>
      <c r="C16" s="177"/>
      <c r="D16" s="137">
        <f>SUM(D11:D15)</f>
        <v>0</v>
      </c>
      <c r="E16" s="137">
        <f t="shared" ref="E16:F16" si="2">SUM(E11:E15)</f>
        <v>0</v>
      </c>
      <c r="F16" s="137">
        <f t="shared" si="2"/>
        <v>0</v>
      </c>
      <c r="G16" s="143">
        <f>'CF Worksheet 10-31-20'!E19</f>
        <v>267328</v>
      </c>
      <c r="H16" s="189"/>
      <c r="I16" s="143">
        <f>'CF Worksheet 10-31-19'!E19</f>
        <v>69479</v>
      </c>
      <c r="J16" s="124"/>
      <c r="K16" s="124"/>
      <c r="L16" s="125"/>
      <c r="M16" s="125"/>
      <c r="N16" s="125"/>
      <c r="O16" s="125"/>
      <c r="P16" s="125"/>
      <c r="Q16" s="125"/>
      <c r="R16" s="125"/>
      <c r="S16" s="125"/>
      <c r="T16" s="125"/>
      <c r="U16" s="125"/>
    </row>
    <row r="17" spans="2:21" s="137" customFormat="1" x14ac:dyDescent="0.75">
      <c r="B17" s="125" t="s">
        <v>1021</v>
      </c>
      <c r="C17" s="177"/>
      <c r="G17" s="143">
        <f>'CF Worksheet 10-31-20'!E20</f>
        <v>50220</v>
      </c>
      <c r="H17" s="189"/>
      <c r="I17" s="143">
        <f>'CF Worksheet 10-31-19'!E20</f>
        <v>9200</v>
      </c>
      <c r="J17" s="124"/>
      <c r="K17" s="124"/>
      <c r="L17" s="125"/>
      <c r="M17" s="125"/>
      <c r="N17" s="125"/>
      <c r="O17" s="125"/>
      <c r="P17" s="125"/>
      <c r="Q17" s="125"/>
      <c r="R17" s="125"/>
      <c r="S17" s="125"/>
      <c r="T17" s="125"/>
      <c r="U17" s="125"/>
    </row>
    <row r="18" spans="2:21" s="137" customFormat="1" x14ac:dyDescent="0.75">
      <c r="B18" s="125" t="s">
        <v>1022</v>
      </c>
      <c r="C18" s="177"/>
      <c r="G18" s="143"/>
      <c r="H18" s="189"/>
      <c r="I18" s="143"/>
      <c r="J18" s="124"/>
      <c r="K18" s="124"/>
      <c r="L18" s="125"/>
      <c r="M18" s="125"/>
      <c r="N18" s="125"/>
      <c r="O18" s="125"/>
      <c r="P18" s="125"/>
      <c r="Q18" s="125"/>
      <c r="R18" s="125"/>
      <c r="S18" s="125"/>
      <c r="T18" s="125"/>
      <c r="U18" s="125"/>
    </row>
    <row r="19" spans="2:21" s="137" customFormat="1" x14ac:dyDescent="0.75">
      <c r="B19" s="125" t="s">
        <v>1111</v>
      </c>
      <c r="C19" s="177"/>
      <c r="D19" s="137">
        <f>ROUND(SUMIF('Q1 TB-20'!$H$6:$H$308,'Cash Flows FY-20 &amp; 19'!$K19,'Q1 TB-20'!$G$6:$G$308),0)</f>
        <v>0</v>
      </c>
      <c r="E19" s="137">
        <f>ROUND(SUMIF('Q2 TB-20'!$H$6:$H$308,'Cash Flows FY-20 &amp; 19'!$K19,'Q2 TB-20'!$G$6:$G$308),0)</f>
        <v>0</v>
      </c>
      <c r="F19" s="137">
        <f>ROUND(SUMIF('Q3 TB-20'!$H$6:$H$308,'Cash Flows FY-20 &amp; 19'!$K19,'Q3 TB-20'!$G$6:$G$308),0)</f>
        <v>0</v>
      </c>
      <c r="G19" s="143">
        <f>'CF Worksheet 10-31-20'!E23</f>
        <v>-62302</v>
      </c>
      <c r="H19" s="189"/>
      <c r="I19" s="143">
        <f>'CF Worksheet 10-31-19'!E23</f>
        <v>-18767</v>
      </c>
      <c r="J19" s="124"/>
      <c r="K19" s="124"/>
      <c r="L19" s="125"/>
      <c r="M19" s="125"/>
      <c r="N19" s="125"/>
      <c r="O19" s="125"/>
      <c r="P19" s="125"/>
      <c r="Q19" s="125"/>
      <c r="R19" s="125"/>
      <c r="S19" s="125"/>
      <c r="T19" s="125"/>
      <c r="U19" s="125"/>
    </row>
    <row r="20" spans="2:21" s="137" customFormat="1" x14ac:dyDescent="0.75">
      <c r="B20" s="125" t="s">
        <v>1067</v>
      </c>
      <c r="C20" s="177"/>
      <c r="G20" s="143">
        <f>'CF Worksheet 10-31-20'!E24</f>
        <v>71550</v>
      </c>
      <c r="H20" s="189"/>
      <c r="I20" s="143">
        <f>'CF Worksheet 10-31-19'!E24</f>
        <v>-129800</v>
      </c>
      <c r="J20" s="124"/>
      <c r="K20" s="124"/>
      <c r="L20" s="125"/>
      <c r="M20" s="125"/>
      <c r="N20" s="125"/>
      <c r="O20" s="125"/>
      <c r="P20" s="125"/>
      <c r="Q20" s="125"/>
      <c r="R20" s="125"/>
      <c r="S20" s="125"/>
      <c r="T20" s="125"/>
      <c r="U20" s="125"/>
    </row>
    <row r="21" spans="2:21" s="137" customFormat="1" x14ac:dyDescent="0.75">
      <c r="B21" s="125" t="s">
        <v>1023</v>
      </c>
      <c r="C21" s="177"/>
      <c r="D21" s="141"/>
      <c r="E21" s="141"/>
      <c r="F21" s="141"/>
      <c r="G21" s="143">
        <f>'CF Worksheet 10-31-20'!E25</f>
        <v>-35000</v>
      </c>
      <c r="H21" s="189"/>
      <c r="I21" s="143">
        <f>'CF Worksheet 10-31-19'!E25</f>
        <v>0</v>
      </c>
      <c r="J21" s="124"/>
      <c r="K21" s="124"/>
      <c r="L21" s="125"/>
      <c r="M21" s="125"/>
      <c r="N21" s="125"/>
      <c r="O21" s="125"/>
      <c r="P21" s="125"/>
      <c r="Q21" s="125"/>
      <c r="R21" s="125"/>
      <c r="S21" s="125"/>
      <c r="T21" s="125"/>
      <c r="U21" s="125"/>
    </row>
    <row r="22" spans="2:21" x14ac:dyDescent="0.75">
      <c r="B22" s="125" t="s">
        <v>1024</v>
      </c>
      <c r="D22" s="143">
        <f>D16-D19</f>
        <v>0</v>
      </c>
      <c r="E22" s="143">
        <f t="shared" ref="E22:F22" si="3">E16-E19</f>
        <v>0</v>
      </c>
      <c r="F22" s="143">
        <f t="shared" si="3"/>
        <v>0</v>
      </c>
      <c r="G22" s="143">
        <f>'CF Worksheet 10-31-20'!E26</f>
        <v>13000</v>
      </c>
      <c r="H22" s="189"/>
      <c r="I22" s="143">
        <f>'CF Worksheet 10-31-19'!E26</f>
        <v>3000</v>
      </c>
      <c r="J22" s="124"/>
    </row>
    <row r="23" spans="2:21" x14ac:dyDescent="0.75">
      <c r="B23" s="125" t="s">
        <v>1025</v>
      </c>
      <c r="D23" s="143"/>
      <c r="E23" s="143"/>
      <c r="F23" s="143"/>
      <c r="G23" s="143">
        <f>'CF Worksheet 10-31-20'!E27</f>
        <v>14725</v>
      </c>
      <c r="H23" s="189"/>
      <c r="I23" s="143">
        <f>'CF Worksheet 10-31-19'!E27</f>
        <v>-8364</v>
      </c>
      <c r="J23" s="124"/>
    </row>
    <row r="24" spans="2:21" x14ac:dyDescent="0.75">
      <c r="B24" s="125" t="s">
        <v>1061</v>
      </c>
      <c r="D24" s="143"/>
      <c r="E24" s="143"/>
      <c r="F24" s="143"/>
      <c r="G24" s="143">
        <f>'CF Worksheet 10-31-20'!E28</f>
        <v>11756</v>
      </c>
      <c r="H24" s="189"/>
      <c r="I24" s="143">
        <f>'CF Worksheet 10-31-19'!E28</f>
        <v>11456</v>
      </c>
      <c r="J24" s="124"/>
    </row>
    <row r="25" spans="2:21" x14ac:dyDescent="0.75">
      <c r="B25" s="125" t="s">
        <v>1110</v>
      </c>
      <c r="D25" s="143"/>
      <c r="E25" s="143"/>
      <c r="F25" s="143"/>
      <c r="G25" s="143">
        <f>'CF Worksheet 10-31-20'!E29</f>
        <v>-78649</v>
      </c>
      <c r="H25" s="189"/>
      <c r="I25" s="143">
        <f>'CF Worksheet 10-31-19'!E29</f>
        <v>-18016</v>
      </c>
      <c r="J25" s="124"/>
    </row>
    <row r="26" spans="2:21" x14ac:dyDescent="0.75">
      <c r="B26" s="125" t="s">
        <v>1026</v>
      </c>
      <c r="D26" s="143"/>
      <c r="E26" s="143"/>
      <c r="F26" s="143"/>
      <c r="G26" s="143">
        <f>'CF Worksheet 10-31-20'!E30</f>
        <v>87583</v>
      </c>
      <c r="H26" s="189"/>
      <c r="I26" s="143">
        <f>'CF Worksheet 10-31-19'!E30</f>
        <v>53062</v>
      </c>
      <c r="J26" s="124"/>
    </row>
    <row r="27" spans="2:21" x14ac:dyDescent="0.75">
      <c r="B27" s="125" t="s">
        <v>1027</v>
      </c>
      <c r="D27" s="143">
        <f>-ROUND(SUMIF('Q1 TB-20'!$H$6:$H$308,'Cash Flows FY-20 &amp; 19'!$K27,'Q1 TB-20'!$G$6:$G$308),0)</f>
        <v>0</v>
      </c>
      <c r="E27" s="143">
        <f>-ROUND(SUMIF('Q2 TB-20'!$H$6:$H$308,'Cash Flows FY-20 &amp; 19'!$K27,'Q2 TB-20'!$G$6:$G$308),0)</f>
        <v>0</v>
      </c>
      <c r="F27" s="143">
        <f>-ROUND(SUMIF('Q3 TB-20'!$H$6:$H$308,'Cash Flows FY-20 &amp; 19'!$K27,'Q3 TB-20'!$G$6:$G$308),0)</f>
        <v>0</v>
      </c>
      <c r="G27" s="143">
        <f>'CF Worksheet 10-31-20'!E31</f>
        <v>37690</v>
      </c>
      <c r="H27" s="189"/>
      <c r="I27" s="143">
        <f>'CF Worksheet 10-31-19'!E31</f>
        <v>20888</v>
      </c>
      <c r="J27" s="124"/>
    </row>
    <row r="28" spans="2:21" x14ac:dyDescent="0.75">
      <c r="B28" s="125" t="s">
        <v>1069</v>
      </c>
      <c r="D28" s="143"/>
      <c r="E28" s="143"/>
      <c r="F28" s="143"/>
      <c r="G28" s="143">
        <f>'CF Worksheet 10-31-20'!E32</f>
        <v>86829</v>
      </c>
      <c r="H28" s="189"/>
      <c r="I28" s="143">
        <f>'CF Worksheet 10-31-19'!E32</f>
        <v>127848</v>
      </c>
      <c r="J28" s="124"/>
    </row>
    <row r="29" spans="2:21" hidden="1" x14ac:dyDescent="0.75">
      <c r="B29" s="125" t="s">
        <v>1080</v>
      </c>
      <c r="D29" s="143"/>
      <c r="E29" s="143"/>
      <c r="F29" s="143"/>
      <c r="G29" s="143">
        <f>'CF Worksheet 10-31-20'!E34</f>
        <v>0</v>
      </c>
      <c r="H29" s="189"/>
      <c r="I29" s="143">
        <f>'CF Worksheet 10-31-19'!E34</f>
        <v>0</v>
      </c>
      <c r="J29" s="124"/>
    </row>
    <row r="30" spans="2:21" x14ac:dyDescent="0.75">
      <c r="D30" s="143">
        <f>-ROUND(SUMIF('Q1 TB-20'!$H$6:$H$308,'Cash Flows FY-20 &amp; 19'!$K30,'Q1 TB-20'!$G$6:$G$308),0)</f>
        <v>0</v>
      </c>
      <c r="E30" s="143">
        <f>-ROUND(SUMIF('Q2 TB-20'!$H$6:$H$308,'Cash Flows FY-20 &amp; 19'!$K30,'Q2 TB-20'!$G$6:$G$308),0)</f>
        <v>0</v>
      </c>
      <c r="F30" s="143">
        <f>-ROUND(SUMIF('Q3 TB-20'!$H$6:$H$308,'Cash Flows FY-20 &amp; 19'!$K30,'Q3 TB-20'!$G$6:$G$308),0)</f>
        <v>0</v>
      </c>
      <c r="G30" s="141"/>
      <c r="H30" s="189"/>
      <c r="I30" s="141"/>
      <c r="J30" s="124"/>
    </row>
    <row r="31" spans="2:21" x14ac:dyDescent="0.75">
      <c r="B31" s="125" t="s">
        <v>1115</v>
      </c>
      <c r="D31" s="143">
        <f>-ROUND(SUMIF('Q1 TB-20'!$H$6:$H$308,'Cash Flows FY-20 &amp; 19'!$K31,'Q1 TB-20'!$G$6:$G$308),0)</f>
        <v>0</v>
      </c>
      <c r="E31" s="143">
        <f>-ROUND(SUMIF('Q2 TB-20'!$H$6:$H$308,'Cash Flows FY-20 &amp; 19'!$K31,'Q2 TB-20'!$G$6:$G$308),0)</f>
        <v>0</v>
      </c>
      <c r="F31" s="143">
        <f>-ROUND(SUMIF('Q3 TB-20'!$H$6:$H$308,'Cash Flows FY-20 &amp; 19'!$K31,'Q3 TB-20'!$G$6:$G$308),0)</f>
        <v>0</v>
      </c>
      <c r="G31" s="170">
        <f>SUM(G9:G30)</f>
        <v>-779949</v>
      </c>
      <c r="H31" s="189"/>
      <c r="I31" s="170">
        <f>SUM(I9:I30)</f>
        <v>-272128</v>
      </c>
      <c r="J31" s="124"/>
    </row>
    <row r="32" spans="2:21" x14ac:dyDescent="0.75">
      <c r="D32" s="143"/>
      <c r="E32" s="143"/>
      <c r="F32" s="143"/>
      <c r="G32" s="143"/>
      <c r="H32" s="189"/>
      <c r="I32" s="143"/>
      <c r="J32" s="124"/>
    </row>
    <row r="33" spans="2:10" x14ac:dyDescent="0.75">
      <c r="B33" s="127" t="s">
        <v>919</v>
      </c>
      <c r="D33" s="143"/>
      <c r="E33" s="143"/>
      <c r="F33" s="143"/>
      <c r="G33" s="143"/>
      <c r="H33" s="189"/>
      <c r="I33" s="143"/>
      <c r="J33" s="124"/>
    </row>
    <row r="34" spans="2:10" x14ac:dyDescent="0.75">
      <c r="D34" s="143"/>
      <c r="E34" s="143"/>
      <c r="F34" s="143"/>
      <c r="G34" s="143"/>
      <c r="H34" s="189"/>
      <c r="I34" s="143"/>
      <c r="J34" s="124"/>
    </row>
    <row r="35" spans="2:10" x14ac:dyDescent="0.75">
      <c r="B35" s="125" t="s">
        <v>1028</v>
      </c>
      <c r="D35" s="143"/>
      <c r="E35" s="143"/>
      <c r="F35" s="143"/>
      <c r="G35" s="143">
        <f>'CF Worksheet 10-31-20'!E39</f>
        <v>-25270</v>
      </c>
      <c r="H35" s="189"/>
      <c r="I35" s="143">
        <f>'CF Worksheet 10-31-19'!E39</f>
        <v>-6384.070000000007</v>
      </c>
      <c r="J35" s="124"/>
    </row>
    <row r="36" spans="2:10" x14ac:dyDescent="0.75">
      <c r="D36" s="143">
        <f>-ROUND(SUMIF('Q1 TB-20'!$H$6:$H$308,'Cash Flows FY-20 &amp; 19'!$K36,'Q1 TB-20'!$G$6:$G$308),0)</f>
        <v>0</v>
      </c>
      <c r="E36" s="143">
        <f>-ROUND(SUMIF('Q2 TB-20'!$H$6:$H$308,'Cash Flows FY-20 &amp; 19'!$K36,'Q2 TB-20'!$G$6:$G$308),0)</f>
        <v>0</v>
      </c>
      <c r="F36" s="143">
        <f>-ROUND(SUMIF('Q3 TB-20'!$H$6:$H$308,'Cash Flows FY-20 &amp; 19'!$K36,'Q3 TB-20'!$G$6:$G$308),0)</f>
        <v>0</v>
      </c>
      <c r="G36" s="141"/>
      <c r="H36" s="189"/>
      <c r="I36" s="141"/>
      <c r="J36" s="124"/>
    </row>
    <row r="37" spans="2:10" x14ac:dyDescent="0.75">
      <c r="B37" s="125" t="s">
        <v>1116</v>
      </c>
      <c r="D37" s="143">
        <f>-ROUND(SUMIF('Q1 TB-20'!$H$6:$H$308,'Cash Flows FY-20 &amp; 19'!$K37,'Q1 TB-20'!$G$6:$G$308),0)</f>
        <v>0</v>
      </c>
      <c r="E37" s="143">
        <f>-ROUND(SUMIF('Q2 TB-20'!$H$6:$H$308,'Cash Flows FY-20 &amp; 19'!$K37,'Q2 TB-20'!$G$6:$G$308),0)</f>
        <v>0</v>
      </c>
      <c r="F37" s="143">
        <f>-ROUND(SUMIF('Q3 TB-20'!$H$6:$H$308,'Cash Flows FY-20 &amp; 19'!$K37,'Q3 TB-20'!$G$6:$G$308),0)</f>
        <v>0</v>
      </c>
      <c r="G37" s="170">
        <f>SUM(G33:G36)</f>
        <v>-25270</v>
      </c>
      <c r="H37" s="189"/>
      <c r="I37" s="170">
        <f>SUM(I33:I36)</f>
        <v>-6384.070000000007</v>
      </c>
      <c r="J37" s="124"/>
    </row>
    <row r="38" spans="2:10" x14ac:dyDescent="0.75">
      <c r="D38" s="143"/>
      <c r="E38" s="143"/>
      <c r="F38" s="143"/>
      <c r="G38" s="143"/>
      <c r="H38" s="189"/>
      <c r="I38" s="143"/>
      <c r="J38" s="124"/>
    </row>
    <row r="39" spans="2:10" x14ac:dyDescent="0.75">
      <c r="B39" s="127" t="s">
        <v>920</v>
      </c>
      <c r="D39" s="143"/>
      <c r="E39" s="143"/>
      <c r="F39" s="143"/>
      <c r="G39" s="143"/>
      <c r="H39" s="189"/>
      <c r="I39" s="143"/>
      <c r="J39" s="124"/>
    </row>
    <row r="40" spans="2:10" x14ac:dyDescent="0.75">
      <c r="D40" s="143"/>
      <c r="E40" s="143"/>
      <c r="F40" s="143"/>
      <c r="G40" s="143"/>
      <c r="H40" s="189"/>
      <c r="I40" s="143"/>
      <c r="J40" s="124"/>
    </row>
    <row r="41" spans="2:10" x14ac:dyDescent="0.75">
      <c r="B41" s="125" t="s">
        <v>1029</v>
      </c>
      <c r="D41" s="143"/>
      <c r="E41" s="143"/>
      <c r="F41" s="143"/>
      <c r="G41" s="143">
        <f>'CF Worksheet 10-31-20'!E47</f>
        <v>1025000</v>
      </c>
      <c r="H41" s="189"/>
      <c r="I41" s="143">
        <f>'CF Worksheet 10-31-19'!E46</f>
        <v>0</v>
      </c>
      <c r="J41" s="124"/>
    </row>
    <row r="42" spans="2:10" x14ac:dyDescent="0.75">
      <c r="B42" s="125" t="s">
        <v>1112</v>
      </c>
      <c r="D42" s="143"/>
      <c r="E42" s="143"/>
      <c r="F42" s="143"/>
      <c r="G42" s="143">
        <f>'CF Worksheet 10-31-20'!E49</f>
        <v>0</v>
      </c>
      <c r="H42" s="189"/>
      <c r="I42" s="143">
        <f>'CF Worksheet 10-31-19'!E48</f>
        <v>10000</v>
      </c>
      <c r="J42" s="124"/>
    </row>
    <row r="43" spans="2:10" x14ac:dyDescent="0.75">
      <c r="B43" s="125" t="s">
        <v>1113</v>
      </c>
      <c r="D43" s="143"/>
      <c r="E43" s="143"/>
      <c r="F43" s="143"/>
      <c r="G43" s="143">
        <v>0</v>
      </c>
      <c r="H43" s="189"/>
      <c r="I43" s="143">
        <f>'CF Worksheet 10-31-19'!E49</f>
        <v>70000</v>
      </c>
      <c r="J43" s="124"/>
    </row>
    <row r="44" spans="2:10" x14ac:dyDescent="0.75">
      <c r="B44" s="125" t="s">
        <v>1030</v>
      </c>
      <c r="D44" s="141"/>
      <c r="E44" s="141"/>
      <c r="F44" s="141"/>
      <c r="G44" s="143">
        <f>'CF Worksheet 10-31-20'!E48</f>
        <v>0</v>
      </c>
      <c r="H44" s="189"/>
      <c r="I44" s="143">
        <f>'CF Worksheet 10-31-19'!E47</f>
        <v>-54000</v>
      </c>
      <c r="J44" s="124"/>
    </row>
    <row r="45" spans="2:10" x14ac:dyDescent="0.75">
      <c r="B45" s="125" t="s">
        <v>1031</v>
      </c>
      <c r="D45" s="143">
        <f>SUM(D22:D44)</f>
        <v>0</v>
      </c>
      <c r="E45" s="143">
        <f>SUM(E22:E44)</f>
        <v>0</v>
      </c>
      <c r="F45" s="143">
        <f>SUM(F22:F44)</f>
        <v>0</v>
      </c>
      <c r="G45" s="143">
        <f>'CF Worksheet 10-31-20'!E50</f>
        <v>-41193</v>
      </c>
      <c r="H45" s="189"/>
      <c r="I45" s="143">
        <f>'CF Worksheet 10-31-19'!E50</f>
        <v>-21410.929999999993</v>
      </c>
      <c r="J45" s="124"/>
    </row>
    <row r="46" spans="2:10" x14ac:dyDescent="0.75">
      <c r="D46" s="143"/>
      <c r="E46" s="143"/>
      <c r="F46" s="143"/>
      <c r="G46" s="141"/>
      <c r="H46" s="189"/>
      <c r="I46" s="141"/>
      <c r="J46" s="124"/>
    </row>
    <row r="47" spans="2:10" x14ac:dyDescent="0.75">
      <c r="B47" s="125" t="s">
        <v>1117</v>
      </c>
      <c r="D47" s="143"/>
      <c r="E47" s="143"/>
      <c r="F47" s="143"/>
      <c r="G47" s="170">
        <f>SUM(G39:G46)</f>
        <v>983807</v>
      </c>
      <c r="H47" s="189"/>
      <c r="I47" s="170">
        <f>SUM(I39:I46)</f>
        <v>4589.070000000007</v>
      </c>
      <c r="J47" s="124"/>
    </row>
    <row r="48" spans="2:10" x14ac:dyDescent="0.75">
      <c r="D48" s="143">
        <f>ROUND(SUMIF('Q1 TB-20'!$H$6:$H$308,'Cash Flows FY-20 &amp; 19'!$K48,'Q1 TB-20'!$G$6:$G$308),0)</f>
        <v>0</v>
      </c>
      <c r="E48" s="143">
        <f>ROUND(SUMIF('Q2 TB-20'!$H$6:$H$308,'Cash Flows FY-20 &amp; 19'!$K48,'Q2 TB-20'!$G$6:$G$308),0)</f>
        <v>0</v>
      </c>
      <c r="F48" s="143">
        <f>ROUND(SUMIF('Q3 TB-20'!$H$6:$H$308,'Cash Flows FY-20 &amp; 19'!$K48,'Q3 TB-20'!$G$6:$G$308),0)</f>
        <v>0</v>
      </c>
      <c r="G48" s="143"/>
      <c r="H48" s="189"/>
      <c r="I48" s="143"/>
      <c r="J48" s="124"/>
    </row>
    <row r="49" spans="2:10" x14ac:dyDescent="0.75">
      <c r="D49" s="143"/>
      <c r="E49" s="143"/>
      <c r="F49" s="143"/>
      <c r="G49" s="143"/>
      <c r="H49" s="189"/>
      <c r="I49" s="143"/>
      <c r="J49" s="124"/>
    </row>
    <row r="50" spans="2:10" x14ac:dyDescent="0.75">
      <c r="B50" s="125" t="s">
        <v>1032</v>
      </c>
      <c r="D50" s="143"/>
      <c r="E50" s="143"/>
      <c r="F50" s="143"/>
      <c r="G50" s="143">
        <f>G31+G37+G47</f>
        <v>178588</v>
      </c>
      <c r="H50" s="189"/>
      <c r="I50" s="143">
        <f>I31+I37+I47</f>
        <v>-273923</v>
      </c>
      <c r="J50" s="124"/>
    </row>
    <row r="51" spans="2:10" x14ac:dyDescent="0.75">
      <c r="D51" s="143"/>
      <c r="E51" s="143"/>
      <c r="F51" s="143"/>
      <c r="G51" s="143"/>
      <c r="H51" s="189"/>
      <c r="I51" s="143"/>
      <c r="J51" s="124"/>
    </row>
    <row r="52" spans="2:10" x14ac:dyDescent="0.75">
      <c r="B52" s="125" t="s">
        <v>1033</v>
      </c>
      <c r="D52" s="143"/>
      <c r="E52" s="143"/>
      <c r="F52" s="143"/>
      <c r="G52" s="143">
        <f>I54</f>
        <v>118624</v>
      </c>
      <c r="H52" s="189"/>
      <c r="I52" s="143">
        <f>'Balance Sheets'!H8</f>
        <v>392547</v>
      </c>
      <c r="J52" s="124"/>
    </row>
    <row r="53" spans="2:10" x14ac:dyDescent="0.75">
      <c r="D53" s="141"/>
      <c r="E53" s="141"/>
      <c r="F53" s="141"/>
      <c r="G53" s="141"/>
      <c r="H53" s="189"/>
      <c r="I53" s="141"/>
      <c r="J53" s="124"/>
    </row>
    <row r="54" spans="2:10" ht="16.5" thickBot="1" x14ac:dyDescent="0.9">
      <c r="B54" s="125" t="s">
        <v>1034</v>
      </c>
      <c r="C54" s="177" t="s">
        <v>1135</v>
      </c>
      <c r="D54" s="160">
        <f>D45-D48</f>
        <v>0</v>
      </c>
      <c r="E54" s="160">
        <f t="shared" ref="E54:F54" si="4">E45-E48</f>
        <v>0</v>
      </c>
      <c r="F54" s="160">
        <f t="shared" si="4"/>
        <v>0</v>
      </c>
      <c r="G54" s="186">
        <f>SUM(G50:G53)</f>
        <v>297212</v>
      </c>
      <c r="H54" s="190" t="s">
        <v>1135</v>
      </c>
      <c r="I54" s="186">
        <f>SUM(I50:I53)</f>
        <v>118624</v>
      </c>
      <c r="J54" s="124"/>
    </row>
    <row r="55" spans="2:10" ht="16.5" thickTop="1" x14ac:dyDescent="0.75">
      <c r="D55" s="137"/>
      <c r="E55" s="137"/>
      <c r="F55" s="137"/>
      <c r="G55" s="137"/>
      <c r="H55" s="184"/>
      <c r="I55" s="137"/>
      <c r="J55" s="124"/>
    </row>
    <row r="56" spans="2:10" x14ac:dyDescent="0.75">
      <c r="D56" s="137"/>
      <c r="E56" s="137"/>
      <c r="F56" s="137"/>
      <c r="G56" s="137"/>
      <c r="H56" s="184"/>
      <c r="I56" s="137"/>
      <c r="J56" s="124"/>
    </row>
    <row r="57" spans="2:10" ht="16.5" thickBot="1" x14ac:dyDescent="0.9">
      <c r="B57" s="125" t="s">
        <v>1037</v>
      </c>
      <c r="C57" s="177" t="s">
        <v>1135</v>
      </c>
      <c r="D57" s="137"/>
      <c r="E57" s="137"/>
      <c r="F57" s="137"/>
      <c r="G57" s="186">
        <f>'Q4 TB-20'!G248+'Q4 TB-20'!G249</f>
        <v>18656.88</v>
      </c>
      <c r="H57" s="190" t="s">
        <v>1135</v>
      </c>
      <c r="I57" s="186">
        <f>'Q4 TB-19'!G248+'Q4 TB-19'!G249</f>
        <v>12916.98</v>
      </c>
      <c r="J57" s="124"/>
    </row>
    <row r="58" spans="2:10" ht="17.25" thickTop="1" thickBot="1" x14ac:dyDescent="0.9">
      <c r="B58" s="125" t="s">
        <v>1038</v>
      </c>
      <c r="C58" s="177" t="s">
        <v>1135</v>
      </c>
      <c r="D58" s="137"/>
      <c r="E58" s="137"/>
      <c r="F58" s="137"/>
      <c r="G58" s="186">
        <v>0</v>
      </c>
      <c r="H58" s="190" t="s">
        <v>1135</v>
      </c>
      <c r="I58" s="186">
        <v>0</v>
      </c>
      <c r="J58" s="124"/>
    </row>
    <row r="59" spans="2:10" ht="16.5" thickTop="1" x14ac:dyDescent="0.75">
      <c r="D59" s="134"/>
      <c r="E59" s="134"/>
      <c r="F59" s="134"/>
      <c r="G59" s="134"/>
      <c r="H59" s="185"/>
      <c r="I59" s="134"/>
      <c r="J59" s="124"/>
    </row>
    <row r="60" spans="2:10" x14ac:dyDescent="0.75">
      <c r="B60" s="127" t="s">
        <v>1118</v>
      </c>
      <c r="D60" s="134"/>
      <c r="E60" s="134"/>
      <c r="F60" s="134"/>
      <c r="G60" s="134"/>
      <c r="H60" s="185"/>
      <c r="I60" s="134"/>
      <c r="J60" s="124"/>
    </row>
    <row r="61" spans="2:10" ht="16.5" thickBot="1" x14ac:dyDescent="0.9">
      <c r="B61" s="125" t="s">
        <v>1119</v>
      </c>
      <c r="C61" s="177" t="s">
        <v>1135</v>
      </c>
      <c r="D61" s="134"/>
      <c r="E61" s="134"/>
      <c r="F61" s="134"/>
      <c r="G61" s="145">
        <v>0</v>
      </c>
      <c r="H61" s="185" t="s">
        <v>1135</v>
      </c>
      <c r="I61" s="145">
        <v>20000</v>
      </c>
      <c r="J61" s="124"/>
    </row>
    <row r="62" spans="2:10" ht="17.25" thickTop="1" thickBot="1" x14ac:dyDescent="0.9">
      <c r="B62" s="125" t="s">
        <v>1120</v>
      </c>
      <c r="C62" s="177" t="s">
        <v>1135</v>
      </c>
      <c r="D62" s="134"/>
      <c r="E62" s="134"/>
      <c r="F62" s="134"/>
      <c r="G62" s="175">
        <v>0</v>
      </c>
      <c r="H62" s="185" t="s">
        <v>1135</v>
      </c>
      <c r="I62" s="175">
        <v>100000</v>
      </c>
      <c r="J62" s="124"/>
    </row>
    <row r="63" spans="2:10" ht="17.25" thickTop="1" thickBot="1" x14ac:dyDescent="0.9">
      <c r="B63" s="125" t="s">
        <v>1121</v>
      </c>
      <c r="C63" s="177" t="s">
        <v>1135</v>
      </c>
      <c r="D63" s="134"/>
      <c r="E63" s="134"/>
      <c r="F63" s="134"/>
      <c r="G63" s="175">
        <v>411287</v>
      </c>
      <c r="H63" s="185" t="s">
        <v>1135</v>
      </c>
      <c r="I63" s="175">
        <v>80171</v>
      </c>
      <c r="J63" s="124"/>
    </row>
    <row r="64" spans="2:10" ht="17.25" thickTop="1" thickBot="1" x14ac:dyDescent="0.9">
      <c r="B64" s="125" t="s">
        <v>1122</v>
      </c>
      <c r="C64" s="177" t="s">
        <v>1135</v>
      </c>
      <c r="D64" s="134"/>
      <c r="E64" s="134"/>
      <c r="F64" s="134"/>
      <c r="G64" s="175">
        <v>26464</v>
      </c>
      <c r="H64" s="185" t="s">
        <v>1135</v>
      </c>
      <c r="I64" s="174">
        <v>0</v>
      </c>
      <c r="J64" s="124"/>
    </row>
    <row r="65" spans="1:10" ht="16.5" thickTop="1" x14ac:dyDescent="0.75">
      <c r="D65" s="134"/>
      <c r="E65" s="134"/>
      <c r="F65" s="134"/>
      <c r="G65" s="134"/>
      <c r="H65" s="185"/>
      <c r="I65" s="134"/>
      <c r="J65" s="124"/>
    </row>
    <row r="66" spans="1:10" x14ac:dyDescent="0.75">
      <c r="D66" s="134"/>
      <c r="E66" s="134"/>
      <c r="F66" s="134"/>
      <c r="G66" s="134"/>
      <c r="H66" s="185"/>
      <c r="I66" s="134"/>
      <c r="J66" s="124"/>
    </row>
    <row r="67" spans="1:10" x14ac:dyDescent="0.75">
      <c r="B67" s="193" t="s">
        <v>994</v>
      </c>
      <c r="C67" s="193"/>
      <c r="D67" s="193"/>
      <c r="E67" s="193"/>
      <c r="F67" s="193"/>
      <c r="G67" s="193"/>
      <c r="H67" s="193"/>
      <c r="I67" s="193"/>
      <c r="J67" s="124"/>
    </row>
    <row r="68" spans="1:10" x14ac:dyDescent="0.75">
      <c r="B68" s="171"/>
      <c r="D68" s="171"/>
      <c r="E68" s="171"/>
      <c r="F68" s="171"/>
      <c r="G68" s="171"/>
      <c r="I68" s="171"/>
      <c r="J68" s="124"/>
    </row>
    <row r="69" spans="1:10" x14ac:dyDescent="0.75">
      <c r="B69" s="194">
        <v>7</v>
      </c>
      <c r="C69" s="193"/>
      <c r="D69" s="193"/>
      <c r="E69" s="193"/>
      <c r="F69" s="193"/>
      <c r="G69" s="193"/>
      <c r="H69" s="193"/>
      <c r="I69" s="193"/>
      <c r="J69" s="124"/>
    </row>
    <row r="70" spans="1:10" x14ac:dyDescent="0.75">
      <c r="A70" s="124"/>
      <c r="B70" s="124"/>
      <c r="C70" s="188"/>
      <c r="D70" s="124"/>
      <c r="E70" s="124"/>
      <c r="F70" s="124"/>
      <c r="G70" s="124"/>
      <c r="H70" s="188"/>
      <c r="I70" s="124"/>
      <c r="J70" s="124"/>
    </row>
    <row r="71" spans="1:10" x14ac:dyDescent="0.75">
      <c r="A71" s="124"/>
      <c r="B71" s="124" t="s">
        <v>1035</v>
      </c>
      <c r="C71" s="188"/>
      <c r="D71" s="124"/>
      <c r="E71" s="124"/>
      <c r="F71" s="124"/>
      <c r="G71" s="172">
        <f>'Balance Sheets'!D8</f>
        <v>297212</v>
      </c>
      <c r="H71" s="188"/>
      <c r="I71" s="172">
        <f>'Balance Sheets'!F8</f>
        <v>118624</v>
      </c>
      <c r="J71" s="124"/>
    </row>
    <row r="72" spans="1:10" x14ac:dyDescent="0.75">
      <c r="A72" s="124"/>
      <c r="B72" s="124" t="s">
        <v>1036</v>
      </c>
      <c r="C72" s="188"/>
      <c r="D72" s="124"/>
      <c r="E72" s="124"/>
      <c r="F72" s="124"/>
      <c r="G72" s="172">
        <f>G54-G71</f>
        <v>0</v>
      </c>
      <c r="H72" s="191"/>
      <c r="I72" s="172">
        <f>I54-I71</f>
        <v>0</v>
      </c>
      <c r="J72" s="124"/>
    </row>
    <row r="73" spans="1:10" x14ac:dyDescent="0.75">
      <c r="A73" s="124"/>
      <c r="B73" s="124"/>
      <c r="C73" s="188"/>
      <c r="D73" s="124"/>
      <c r="E73" s="124"/>
      <c r="F73" s="124"/>
      <c r="G73" s="124"/>
      <c r="H73" s="188"/>
      <c r="I73" s="124"/>
      <c r="J73" s="124"/>
    </row>
    <row r="74" spans="1:10" x14ac:dyDescent="0.75">
      <c r="D74" s="134"/>
      <c r="E74" s="134"/>
      <c r="F74" s="134"/>
      <c r="G74" s="134"/>
      <c r="H74" s="185"/>
      <c r="I74" s="134"/>
    </row>
    <row r="75" spans="1:10" x14ac:dyDescent="0.75">
      <c r="D75" s="134"/>
      <c r="E75" s="134"/>
      <c r="F75" s="134"/>
      <c r="G75" s="134"/>
      <c r="H75" s="185"/>
      <c r="I75" s="134"/>
    </row>
    <row r="76" spans="1:10" x14ac:dyDescent="0.75">
      <c r="D76" s="134"/>
      <c r="E76" s="134"/>
      <c r="F76" s="134"/>
      <c r="G76" s="134"/>
      <c r="H76" s="185"/>
      <c r="I76" s="134"/>
    </row>
    <row r="77" spans="1:10" x14ac:dyDescent="0.75">
      <c r="D77" s="134"/>
      <c r="E77" s="134"/>
      <c r="F77" s="134"/>
      <c r="G77" s="134"/>
      <c r="H77" s="185"/>
      <c r="I77" s="134"/>
    </row>
    <row r="78" spans="1:10" x14ac:dyDescent="0.75">
      <c r="D78" s="134"/>
      <c r="E78" s="134"/>
      <c r="F78" s="134"/>
      <c r="G78" s="134"/>
      <c r="H78" s="185"/>
      <c r="I78" s="134"/>
    </row>
  </sheetData>
  <mergeCells count="4">
    <mergeCell ref="B1:I1"/>
    <mergeCell ref="B2:I2"/>
    <mergeCell ref="B69:I69"/>
    <mergeCell ref="B67:I6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703E-B880-4BFC-BE7B-9CAA68F6276E}">
  <dimension ref="A1:Q87"/>
  <sheetViews>
    <sheetView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O22" sqref="O22"/>
    </sheetView>
  </sheetViews>
  <sheetFormatPr defaultColWidth="9.1328125" defaultRowHeight="14.5" x14ac:dyDescent="0.7"/>
  <cols>
    <col min="1" max="1" width="48.86328125" style="21" customWidth="1"/>
    <col min="2" max="2" width="3.86328125" style="21" customWidth="1"/>
    <col min="3" max="6" width="22" style="21" customWidth="1"/>
    <col min="7" max="7" width="2.86328125" style="21" customWidth="1"/>
    <col min="8" max="8" width="18.86328125" style="21" customWidth="1"/>
    <col min="9" max="9" width="4" style="21" customWidth="1"/>
    <col min="10" max="10" width="16.1328125" style="25" customWidth="1"/>
    <col min="11" max="11" width="13.7265625" style="21" customWidth="1"/>
    <col min="12" max="12" width="9.1328125" style="21"/>
    <col min="13" max="13" width="13.86328125" style="21" customWidth="1"/>
    <col min="14" max="14" width="10.1328125" style="21" bestFit="1" customWidth="1"/>
    <col min="15" max="15" width="12.86328125" style="28" bestFit="1" customWidth="1"/>
    <col min="16" max="16" width="9.1328125" style="21"/>
    <col min="17" max="17" width="13.40625" style="28" customWidth="1"/>
    <col min="18" max="16384" width="9.1328125" style="21"/>
  </cols>
  <sheetData>
    <row r="1" spans="1:16" ht="17.75" x14ac:dyDescent="0.75">
      <c r="A1" s="22" t="s">
        <v>386</v>
      </c>
    </row>
    <row r="2" spans="1:16" ht="17.75" x14ac:dyDescent="0.75">
      <c r="A2" s="22" t="s">
        <v>401</v>
      </c>
      <c r="L2" s="65" t="s">
        <v>878</v>
      </c>
      <c r="M2" s="65"/>
      <c r="N2" s="65"/>
      <c r="O2" s="66"/>
      <c r="P2" s="66"/>
    </row>
    <row r="3" spans="1:16" ht="17.75" x14ac:dyDescent="0.75">
      <c r="A3" s="22"/>
      <c r="H3" s="26"/>
    </row>
    <row r="4" spans="1:16" x14ac:dyDescent="0.7">
      <c r="C4" s="26" t="s">
        <v>402</v>
      </c>
      <c r="D4" s="26" t="s">
        <v>403</v>
      </c>
      <c r="E4" s="26" t="s">
        <v>404</v>
      </c>
      <c r="F4" s="26" t="s">
        <v>405</v>
      </c>
      <c r="H4" s="26" t="s">
        <v>405</v>
      </c>
    </row>
    <row r="5" spans="1:16" x14ac:dyDescent="0.7">
      <c r="C5" s="27">
        <v>43496</v>
      </c>
      <c r="D5" s="27">
        <f>DATE(YEAR(C5),MONTH(C5)+4,1)-1</f>
        <v>43585</v>
      </c>
      <c r="E5" s="27">
        <f t="shared" ref="E5:F5" si="0">DATE(YEAR(D5),MONTH(D5)+4,1)-1</f>
        <v>43677</v>
      </c>
      <c r="F5" s="27">
        <f t="shared" si="0"/>
        <v>43769</v>
      </c>
      <c r="G5" s="23"/>
      <c r="H5" s="27">
        <f>DATE(YEAR(F5)-1,MONTH(F5),DAY(F5))</f>
        <v>43404</v>
      </c>
      <c r="J5" s="25" t="s">
        <v>393</v>
      </c>
    </row>
    <row r="6" spans="1:16" x14ac:dyDescent="0.7">
      <c r="A6" s="20"/>
    </row>
    <row r="7" spans="1:16" x14ac:dyDescent="0.7">
      <c r="A7" s="21" t="s">
        <v>425</v>
      </c>
      <c r="C7" s="42">
        <f>-ROUND(SUMIF('Q1 TB-19'!$H$6:$H$308,'Stmt of Ops FY-19'!$J7,'Q1 TB-19'!$G$6:$G$308),0)</f>
        <v>190078</v>
      </c>
      <c r="D7" s="42">
        <f>-ROUND(SUMIF('Q2 TB-19'!$H$6:$H$308,'Stmt of Ops FY-19'!$J7,'Q2 TB-19'!$G$6:$G$308),0)</f>
        <v>401978</v>
      </c>
      <c r="E7" s="42">
        <f>-ROUND(SUMIF('Q3 TB-19'!$H$6:$H$308,'Stmt of Ops FY-19'!$J7,'Q3 TB-19'!$G$6:$G$308),0)</f>
        <v>626813</v>
      </c>
      <c r="F7" s="42">
        <f>-ROUND(SUMIF('Q4 TB-19'!$H$6:$H$308,'Stmt of Ops FY-19'!$J7,'Q4 TB-19'!$G$6:$G$308),0)</f>
        <v>882037</v>
      </c>
      <c r="G7" s="28"/>
      <c r="H7" s="42">
        <f>-ROUND(SUMIF('PY TB-18'!$H$6:$H$308,'Stmt of Ops FY-19'!$J7,'PY TB-18'!$G$6:$G$308),0)</f>
        <v>525223</v>
      </c>
      <c r="J7" s="25" t="s">
        <v>437</v>
      </c>
      <c r="K7" s="39">
        <f>F7-H7</f>
        <v>356814</v>
      </c>
    </row>
    <row r="8" spans="1:16" x14ac:dyDescent="0.7">
      <c r="A8" s="21" t="s">
        <v>426</v>
      </c>
      <c r="C8" s="28">
        <f>-ROUND(SUMIF('Q1 TB-19'!$H$6:$H$308,'Stmt of Ops FY-19'!$J8,'Q1 TB-19'!$G$6:$G$308),0)</f>
        <v>-52131</v>
      </c>
      <c r="D8" s="28">
        <f>-ROUND(SUMIF('Q2 TB-19'!$H$6:$H$308,'Stmt of Ops FY-19'!$J8,'Q2 TB-19'!$G$6:$G$308),0)</f>
        <v>-109129</v>
      </c>
      <c r="E8" s="28">
        <f>-ROUND(SUMIF('Q3 TB-19'!$H$6:$H$308,'Stmt of Ops FY-19'!$J8,'Q3 TB-19'!$G$6:$G$308),0)</f>
        <v>-184752</v>
      </c>
      <c r="F8" s="57">
        <f>-ROUND(SUMIF('Q4 TB-19'!$H$6:$H$308,'Stmt of Ops FY-19'!$J8,'Q4 TB-19'!$G$6:$G$308),0)</f>
        <v>-281673</v>
      </c>
      <c r="G8" s="28"/>
      <c r="H8" s="57">
        <f>-ROUND(SUMIF('PY TB-18'!$H$6:$H$308,'Stmt of Ops FY-19'!$J8,'PY TB-18'!$G$6:$G$308),0)</f>
        <v>-178040</v>
      </c>
      <c r="J8" s="25" t="s">
        <v>438</v>
      </c>
      <c r="K8" s="39">
        <f>F8-H8</f>
        <v>-103633</v>
      </c>
    </row>
    <row r="9" spans="1:16" x14ac:dyDescent="0.7">
      <c r="A9" s="21" t="s">
        <v>431</v>
      </c>
      <c r="C9" s="29">
        <f>C7+C8</f>
        <v>137947</v>
      </c>
      <c r="D9" s="29">
        <f t="shared" ref="D9:F9" si="1">D7+D8</f>
        <v>292849</v>
      </c>
      <c r="E9" s="29">
        <f t="shared" si="1"/>
        <v>442061</v>
      </c>
      <c r="F9" s="29">
        <f t="shared" si="1"/>
        <v>600364</v>
      </c>
      <c r="G9" s="28"/>
      <c r="H9" s="29">
        <f t="shared" ref="H9" si="2">H7+H8</f>
        <v>347183</v>
      </c>
      <c r="K9" s="39">
        <f>F9-H9</f>
        <v>253181</v>
      </c>
    </row>
    <row r="10" spans="1:16" x14ac:dyDescent="0.7">
      <c r="A10" s="21" t="s">
        <v>448</v>
      </c>
      <c r="C10" s="28">
        <f>-ROUND(SUMIF('Q1 TB-19'!$H$6:$H$308,'Stmt of Ops FY-19'!$J10,'Q1 TB-19'!$G$6:$G$308),0)</f>
        <v>3835</v>
      </c>
      <c r="D10" s="28">
        <f>-ROUND(SUMIF('Q2 TB-19'!$H$6:$H$308,'Stmt of Ops FY-19'!$J10,'Q2 TB-19'!$G$6:$G$308),0)</f>
        <v>3835</v>
      </c>
      <c r="E10" s="28">
        <f>-ROUND(SUMIF('Q3 TB-19'!$H$6:$H$308,'Stmt of Ops FY-19'!$J10,'Q3 TB-19'!$G$6:$G$308),0)</f>
        <v>3835</v>
      </c>
      <c r="F10" s="28">
        <f>-ROUND(SUMIF('Q4 TB-19'!$H$6:$H$308,'Stmt of Ops FY-19'!$J10,'Q4 TB-19'!$G$6:$G$308),0)</f>
        <v>0</v>
      </c>
      <c r="G10" s="28"/>
      <c r="H10" s="28">
        <f>-ROUND(SUMIF('PY TB-18'!$H$6:$H$308,'Stmt of Ops FY-19'!$J10,'PY TB-18'!$G$6:$G$308),0)</f>
        <v>0</v>
      </c>
      <c r="J10" s="25" t="s">
        <v>801</v>
      </c>
      <c r="K10" s="39">
        <f>F10-H10</f>
        <v>0</v>
      </c>
    </row>
    <row r="11" spans="1:16" x14ac:dyDescent="0.7">
      <c r="C11" s="29"/>
      <c r="D11" s="29"/>
      <c r="E11" s="29"/>
      <c r="F11" s="29"/>
      <c r="G11" s="28"/>
      <c r="H11" s="29"/>
    </row>
    <row r="12" spans="1:16" x14ac:dyDescent="0.7">
      <c r="A12" s="21" t="s">
        <v>449</v>
      </c>
      <c r="C12" s="28">
        <f>SUM(C9:C11)</f>
        <v>141782</v>
      </c>
      <c r="D12" s="28">
        <f t="shared" ref="D12:F12" si="3">SUM(D9:D11)</f>
        <v>296684</v>
      </c>
      <c r="E12" s="28">
        <f t="shared" si="3"/>
        <v>445896</v>
      </c>
      <c r="F12" s="28">
        <f t="shared" si="3"/>
        <v>600364</v>
      </c>
      <c r="G12" s="28"/>
      <c r="H12" s="28">
        <f t="shared" ref="H12" si="4">SUM(H9:H11)</f>
        <v>347183</v>
      </c>
      <c r="K12" s="28">
        <f t="shared" ref="K12" si="5">SUM(K9:K11)</f>
        <v>253181</v>
      </c>
    </row>
    <row r="13" spans="1:16" x14ac:dyDescent="0.7">
      <c r="C13" s="28"/>
      <c r="D13" s="28"/>
      <c r="E13" s="28"/>
      <c r="F13" s="28"/>
      <c r="G13" s="28"/>
      <c r="H13" s="28"/>
    </row>
    <row r="14" spans="1:16" x14ac:dyDescent="0.7">
      <c r="A14" s="21" t="s">
        <v>427</v>
      </c>
      <c r="C14" s="28"/>
      <c r="D14" s="28"/>
      <c r="E14" s="28"/>
      <c r="F14" s="28"/>
      <c r="G14" s="28"/>
      <c r="H14" s="28"/>
    </row>
    <row r="15" spans="1:16" x14ac:dyDescent="0.7">
      <c r="A15" s="21" t="s">
        <v>429</v>
      </c>
      <c r="C15" s="28">
        <f>ROUND(SUMIF('Q1 TB-19'!$H$6:$H$308,'Stmt of Ops FY-19'!$J15,'Q1 TB-19'!$G$6:$G$308),0)</f>
        <v>169809</v>
      </c>
      <c r="D15" s="28">
        <f>ROUND(SUMIF('Q2 TB-19'!$H$6:$H$308,'Stmt of Ops FY-19'!$J15,'Q2 TB-19'!$G$6:$G$308),0)</f>
        <v>362525</v>
      </c>
      <c r="E15" s="28">
        <f>ROUND(SUMIF('Q3 TB-19'!$H$6:$H$308,'Stmt of Ops FY-19'!$J15,'Q3 TB-19'!$G$6:$G$308),0)</f>
        <v>589881</v>
      </c>
      <c r="F15" s="57">
        <f>ROUND(SUMIF('Q4 TB-19'!$H$6:$H$308,'Stmt of Ops FY-19'!$J15,'Q4 TB-19'!$G$6:$G$308),0)</f>
        <v>933941</v>
      </c>
      <c r="G15" s="28"/>
      <c r="H15" s="57">
        <f>ROUND(SUMIF('PY TB-18'!$H$6:$H$308,'Stmt of Ops FY-19'!$J15,'PY TB-18'!$G$6:$G$308),0)</f>
        <v>748045</v>
      </c>
      <c r="J15" s="25" t="s">
        <v>439</v>
      </c>
      <c r="K15" s="39">
        <f t="shared" ref="K15" si="6">F15-H15</f>
        <v>185896</v>
      </c>
    </row>
    <row r="16" spans="1:16" x14ac:dyDescent="0.7">
      <c r="C16" s="29"/>
      <c r="D16" s="29"/>
      <c r="E16" s="29"/>
      <c r="F16" s="29"/>
      <c r="G16" s="28"/>
      <c r="H16" s="29"/>
    </row>
    <row r="17" spans="1:17" x14ac:dyDescent="0.7">
      <c r="A17" s="21" t="s">
        <v>430</v>
      </c>
      <c r="C17" s="30">
        <f>C12-C15</f>
        <v>-28027</v>
      </c>
      <c r="D17" s="30">
        <f t="shared" ref="D17:F17" si="7">D12-D15</f>
        <v>-65841</v>
      </c>
      <c r="E17" s="30">
        <f t="shared" si="7"/>
        <v>-143985</v>
      </c>
      <c r="F17" s="30">
        <f t="shared" si="7"/>
        <v>-333577</v>
      </c>
      <c r="G17" s="28"/>
      <c r="H17" s="30">
        <f>H12-H15</f>
        <v>-400862</v>
      </c>
      <c r="K17" s="30">
        <f>K12-K15</f>
        <v>67285</v>
      </c>
    </row>
    <row r="18" spans="1:17" x14ac:dyDescent="0.7">
      <c r="C18" s="30"/>
      <c r="D18" s="30"/>
      <c r="E18" s="30"/>
      <c r="F18" s="30"/>
      <c r="G18" s="28"/>
      <c r="H18" s="30"/>
    </row>
    <row r="19" spans="1:17" x14ac:dyDescent="0.7">
      <c r="A19" s="21" t="s">
        <v>432</v>
      </c>
      <c r="C19" s="30"/>
      <c r="D19" s="30"/>
      <c r="E19" s="30"/>
      <c r="F19" s="30"/>
      <c r="G19" s="28"/>
      <c r="H19" s="30"/>
      <c r="M19" s="54">
        <v>43404</v>
      </c>
      <c r="N19" s="59" t="s">
        <v>868</v>
      </c>
      <c r="O19" s="60"/>
      <c r="P19" s="59"/>
      <c r="Q19" s="60"/>
    </row>
    <row r="20" spans="1:17" x14ac:dyDescent="0.7">
      <c r="A20" s="21" t="s">
        <v>950</v>
      </c>
      <c r="C20" s="30">
        <f>-ROUND(SUMIF('Q1 TB-19'!$H$6:$H$308,'Stmt of Ops FY-19'!$J20,'Q1 TB-19'!$G$6:$G$308),0)</f>
        <v>0</v>
      </c>
      <c r="D20" s="30">
        <f>-ROUND(SUMIF('Q2 TB-19'!$H$6:$H$308,'Stmt of Ops FY-19'!$J20,'Q2 TB-19'!$G$6:$G$308),0)</f>
        <v>0</v>
      </c>
      <c r="E20" s="30">
        <f>-ROUND(SUMIF('Q3 TB-19'!$H$6:$H$308,'Stmt of Ops FY-19'!$J20,'Q3 TB-19'!$G$6:$G$308),0)</f>
        <v>0</v>
      </c>
      <c r="F20" s="30">
        <f>-ROUND(SUMIF('Q4 TB-19'!$H$6:$H$308,'Stmt of Ops FY-19'!$J20,'Q4 TB-19'!$G$6:$G$308),0)</f>
        <v>0</v>
      </c>
      <c r="G20" s="28"/>
      <c r="H20" s="30">
        <f>-ROUND(SUMIF('PY TB-18'!$H$6:$H$308,'Stmt of Ops FY-19'!$J20,'PY TB-18'!$G$6:$G$308),0)</f>
        <v>200624</v>
      </c>
      <c r="J20" s="25" t="s">
        <v>951</v>
      </c>
      <c r="M20" s="54"/>
      <c r="N20" s="59"/>
      <c r="O20" s="60"/>
      <c r="P20" s="59"/>
      <c r="Q20" s="60"/>
    </row>
    <row r="21" spans="1:17" x14ac:dyDescent="0.7">
      <c r="A21" s="21" t="s">
        <v>450</v>
      </c>
      <c r="C21" s="30">
        <f>-ROUND(SUMIF('Q1 TB-19'!$H$6:$H$308,'Stmt of Ops FY-19'!$J21,'Q1 TB-19'!$G$6:$G$308),0)</f>
        <v>0</v>
      </c>
      <c r="D21" s="30">
        <f>-ROUND(SUMIF('Q2 TB-19'!$H$6:$H$308,'Stmt of Ops FY-19'!$J21,'Q2 TB-19'!$G$6:$G$308),0)</f>
        <v>0</v>
      </c>
      <c r="E21" s="30">
        <f>-ROUND(SUMIF('Q3 TB-19'!$H$6:$H$308,'Stmt of Ops FY-19'!$J21,'Q3 TB-19'!$G$6:$G$308),0)</f>
        <v>0</v>
      </c>
      <c r="F21" s="30">
        <f>-ROUND(SUMIF('Q4 TB-19'!$H$6:$H$308,'Stmt of Ops FY-19'!$J21,'Q4 TB-19'!$G$6:$G$308),0)</f>
        <v>0</v>
      </c>
      <c r="G21" s="28"/>
      <c r="H21" s="30">
        <f>-ROUND(SUMIF('PY TB-18'!$H$6:$H$308,'Stmt of Ops FY-19'!$J21,'PY TB-18'!$G$6:$G$308),0)</f>
        <v>0</v>
      </c>
      <c r="J21" s="25" t="s">
        <v>451</v>
      </c>
      <c r="K21" s="39">
        <f t="shared" ref="K21:K22" si="8">F21-H21</f>
        <v>0</v>
      </c>
      <c r="M21" s="59"/>
      <c r="N21" s="59"/>
      <c r="O21" s="61" t="s">
        <v>869</v>
      </c>
      <c r="P21" s="62"/>
      <c r="Q21" s="61" t="s">
        <v>870</v>
      </c>
    </row>
    <row r="22" spans="1:17" x14ac:dyDescent="0.7">
      <c r="A22" s="21" t="s">
        <v>433</v>
      </c>
      <c r="C22" s="30">
        <f>-ROUND(SUMIF('Q1 TB-19'!$H$6:$H$308,'Stmt of Ops FY-19'!$J22,'Q1 TB-19'!$G$6:$G$308),0)</f>
        <v>-78843</v>
      </c>
      <c r="D22" s="30">
        <f>-ROUND(SUMIF('Q2 TB-19'!$H$6:$H$308,'Stmt of Ops FY-19'!$J22,'Q2 TB-19'!$G$6:$G$308),0)</f>
        <v>-139652</v>
      </c>
      <c r="E22" s="30">
        <f>-ROUND(SUMIF('Q3 TB-19'!$H$6:$H$308,'Stmt of Ops FY-19'!$J22,'Q3 TB-19'!$G$6:$G$308),0)</f>
        <v>-202326</v>
      </c>
      <c r="F22" s="30">
        <f>-ROUND(SUMIF('Q4 TB-19'!$H$6:$H$308,'Stmt of Ops FY-19'!$J22,'Q4 TB-19'!$G$6:$G$308),0)</f>
        <v>-276229</v>
      </c>
      <c r="G22" s="28"/>
      <c r="H22" s="30">
        <f>-ROUND(SUMIF('PY TB-18'!$H$6:$H$308,'Stmt of Ops FY-19'!$J22,'PY TB-18'!$G$6:$G$308),0)</f>
        <v>-348317</v>
      </c>
      <c r="J22" s="25" t="s">
        <v>441</v>
      </c>
      <c r="K22" s="39">
        <f t="shared" si="8"/>
        <v>72088</v>
      </c>
      <c r="M22" s="59" t="s">
        <v>867</v>
      </c>
      <c r="N22" s="54">
        <v>43039</v>
      </c>
      <c r="O22" s="60">
        <v>21431822</v>
      </c>
      <c r="P22" s="59"/>
      <c r="Q22" s="60">
        <f>($M$19-N22)/365*O22</f>
        <v>21431822</v>
      </c>
    </row>
    <row r="23" spans="1:17" x14ac:dyDescent="0.7">
      <c r="C23" s="29"/>
      <c r="D23" s="29"/>
      <c r="E23" s="29"/>
      <c r="F23" s="29"/>
      <c r="G23" s="28"/>
      <c r="H23" s="29"/>
      <c r="M23" s="59"/>
      <c r="N23" s="54">
        <v>43181</v>
      </c>
      <c r="O23" s="60">
        <v>1404545</v>
      </c>
      <c r="P23" s="59"/>
      <c r="Q23" s="60">
        <f t="shared" ref="Q23:Q32" si="9">($M$19-N23)/365*O23</f>
        <v>858119.27397260279</v>
      </c>
    </row>
    <row r="24" spans="1:17" x14ac:dyDescent="0.7">
      <c r="A24" s="21" t="s">
        <v>434</v>
      </c>
      <c r="C24" s="30">
        <f>SUM(C17:C23)</f>
        <v>-106870</v>
      </c>
      <c r="D24" s="30">
        <f t="shared" ref="D24:F24" si="10">SUM(D17:D23)</f>
        <v>-205493</v>
      </c>
      <c r="E24" s="30">
        <f t="shared" si="10"/>
        <v>-346311</v>
      </c>
      <c r="F24" s="30">
        <f t="shared" si="10"/>
        <v>-609806</v>
      </c>
      <c r="G24" s="28"/>
      <c r="H24" s="30">
        <f t="shared" ref="H24" si="11">SUM(H17:H23)</f>
        <v>-548555</v>
      </c>
      <c r="K24" s="39">
        <f>F24-H24</f>
        <v>-61251</v>
      </c>
      <c r="M24" s="59"/>
      <c r="N24" s="54">
        <v>43181</v>
      </c>
      <c r="O24" s="60">
        <v>1295455</v>
      </c>
      <c r="P24" s="59"/>
      <c r="Q24" s="60">
        <f t="shared" si="9"/>
        <v>791469.76712328778</v>
      </c>
    </row>
    <row r="25" spans="1:17" x14ac:dyDescent="0.7">
      <c r="C25" s="30"/>
      <c r="D25" s="30"/>
      <c r="E25" s="30"/>
      <c r="F25" s="30"/>
      <c r="G25" s="28"/>
      <c r="H25" s="30"/>
      <c r="M25" s="59"/>
      <c r="N25" s="54">
        <v>43340</v>
      </c>
      <c r="O25" s="60">
        <v>4052378</v>
      </c>
      <c r="P25" s="59"/>
      <c r="Q25" s="60">
        <f t="shared" si="9"/>
        <v>710553.95068493148</v>
      </c>
    </row>
    <row r="26" spans="1:17" x14ac:dyDescent="0.7">
      <c r="A26" s="21" t="s">
        <v>436</v>
      </c>
      <c r="C26" s="30">
        <f>ROUND(SUMIF('Q1 TB-19'!$H$6:$H$308,'Stmt of Ops FY-19'!$J26,'Q1 TB-19'!$G$6:$G$308),0)</f>
        <v>0</v>
      </c>
      <c r="D26" s="30">
        <f>ROUND(SUMIF('Q2 TB-19'!$H$6:$H$308,'Stmt of Ops FY-19'!$J26,'Q2 TB-19'!$G$6:$G$308),0)</f>
        <v>0</v>
      </c>
      <c r="E26" s="30">
        <f>ROUND(SUMIF('Q3 TB-19'!$H$6:$H$308,'Stmt of Ops FY-19'!$J26,'Q3 TB-19'!$G$6:$G$308),0)</f>
        <v>0</v>
      </c>
      <c r="F26" s="30">
        <f>ROUND(SUMIF('Q4 TB-19'!$H$6:$H$308,'Stmt of Ops FY-19'!$J26,'Q4 TB-19'!$G$6:$G$308),0)</f>
        <v>0</v>
      </c>
      <c r="G26" s="28"/>
      <c r="H26" s="30">
        <f>ROUND(SUMIF('PY TB-18'!$H$6:$H$308,'Stmt of Ops FY-19'!$J26,'PY TB-18'!$G$6:$G$308),0)</f>
        <v>0</v>
      </c>
      <c r="J26" s="25" t="s">
        <v>440</v>
      </c>
      <c r="K26" s="39">
        <f>F26-H26</f>
        <v>0</v>
      </c>
      <c r="M26" s="59"/>
      <c r="N26" s="54">
        <v>43340</v>
      </c>
      <c r="O26" s="60">
        <v>4000000</v>
      </c>
      <c r="P26" s="59"/>
      <c r="Q26" s="60">
        <f t="shared" si="9"/>
        <v>701369.8630136986</v>
      </c>
    </row>
    <row r="27" spans="1:17" x14ac:dyDescent="0.7">
      <c r="C27" s="29"/>
      <c r="D27" s="29"/>
      <c r="E27" s="29"/>
      <c r="F27" s="29"/>
      <c r="G27" s="28"/>
      <c r="H27" s="29"/>
      <c r="M27" s="59"/>
      <c r="N27" s="54">
        <v>43340</v>
      </c>
      <c r="O27" s="60">
        <v>4000000</v>
      </c>
      <c r="P27" s="59"/>
      <c r="Q27" s="60">
        <f t="shared" si="9"/>
        <v>701369.8630136986</v>
      </c>
    </row>
    <row r="28" spans="1:17" ht="15.25" thickBot="1" x14ac:dyDescent="0.85">
      <c r="A28" s="21" t="s">
        <v>435</v>
      </c>
      <c r="B28" s="39"/>
      <c r="C28" s="40">
        <f>C24-C26</f>
        <v>-106870</v>
      </c>
      <c r="D28" s="40">
        <f t="shared" ref="D28:F28" si="12">D24-D26</f>
        <v>-205493</v>
      </c>
      <c r="E28" s="40">
        <f t="shared" si="12"/>
        <v>-346311</v>
      </c>
      <c r="F28" s="40">
        <f t="shared" si="12"/>
        <v>-609806</v>
      </c>
      <c r="G28" s="41"/>
      <c r="H28" s="40">
        <f t="shared" ref="H28" si="13">H24-H26</f>
        <v>-548555</v>
      </c>
      <c r="K28" s="39">
        <f>F28-H28</f>
        <v>-61251</v>
      </c>
      <c r="M28" s="59"/>
      <c r="N28" s="54">
        <v>43340</v>
      </c>
      <c r="O28" s="60">
        <v>4000000</v>
      </c>
      <c r="P28" s="59"/>
      <c r="Q28" s="60">
        <f t="shared" si="9"/>
        <v>701369.8630136986</v>
      </c>
    </row>
    <row r="29" spans="1:17" ht="15.25" thickTop="1" x14ac:dyDescent="0.7">
      <c r="C29" s="28"/>
      <c r="D29" s="28"/>
      <c r="E29" s="28"/>
      <c r="F29" s="28"/>
      <c r="G29" s="28"/>
      <c r="H29" s="28"/>
      <c r="M29" s="59"/>
      <c r="N29" s="54">
        <v>43340</v>
      </c>
      <c r="O29" s="60">
        <v>4000000</v>
      </c>
      <c r="P29" s="59"/>
      <c r="Q29" s="60">
        <f t="shared" si="9"/>
        <v>701369.8630136986</v>
      </c>
    </row>
    <row r="30" spans="1:17" x14ac:dyDescent="0.7">
      <c r="C30" s="28"/>
      <c r="D30" s="28"/>
      <c r="E30" s="28"/>
      <c r="F30" s="28"/>
      <c r="G30" s="28"/>
      <c r="H30" s="28"/>
      <c r="M30" s="59"/>
      <c r="N30" s="54">
        <v>43340</v>
      </c>
      <c r="O30" s="60">
        <v>1000000</v>
      </c>
      <c r="P30" s="59"/>
      <c r="Q30" s="60">
        <f t="shared" si="9"/>
        <v>175342.46575342465</v>
      </c>
    </row>
    <row r="31" spans="1:17" ht="15.25" thickBot="1" x14ac:dyDescent="0.85">
      <c r="A31" s="21" t="s">
        <v>414</v>
      </c>
      <c r="C31" s="38">
        <f>C28/C34</f>
        <v>-2.3160007108152269E-3</v>
      </c>
      <c r="D31" s="38">
        <f t="shared" ref="D31:F31" si="14">D28/D34</f>
        <v>-4.453279068658683E-3</v>
      </c>
      <c r="E31" s="38">
        <f t="shared" si="14"/>
        <v>-7.5049735394697491E-3</v>
      </c>
      <c r="F31" s="38">
        <f t="shared" si="14"/>
        <v>-1.3253256372310084E-2</v>
      </c>
      <c r="G31" s="28"/>
      <c r="H31" s="38">
        <f t="shared" ref="H31" si="15">H28/H34</f>
        <v>-2.0355958380618717E-2</v>
      </c>
      <c r="M31" s="59"/>
      <c r="N31" s="54">
        <v>43340</v>
      </c>
      <c r="O31" s="60">
        <v>500000</v>
      </c>
      <c r="P31" s="59"/>
      <c r="Q31" s="60">
        <f t="shared" si="9"/>
        <v>87671.232876712325</v>
      </c>
    </row>
    <row r="32" spans="1:17" ht="15.25" thickTop="1" x14ac:dyDescent="0.7">
      <c r="C32" s="28"/>
      <c r="D32" s="28"/>
      <c r="E32" s="28"/>
      <c r="F32" s="28"/>
      <c r="G32" s="28"/>
      <c r="H32" s="28"/>
      <c r="M32" s="59"/>
      <c r="N32" s="54">
        <v>43340</v>
      </c>
      <c r="O32" s="60">
        <v>500000</v>
      </c>
      <c r="P32" s="59"/>
      <c r="Q32" s="60">
        <f t="shared" si="9"/>
        <v>87671.232876712325</v>
      </c>
    </row>
    <row r="33" spans="1:17" x14ac:dyDescent="0.7">
      <c r="A33" s="21" t="s">
        <v>415</v>
      </c>
      <c r="C33" s="28"/>
      <c r="D33" s="28"/>
      <c r="E33" s="28"/>
      <c r="F33" s="28"/>
      <c r="G33" s="28"/>
      <c r="H33" s="28"/>
      <c r="M33" s="59"/>
      <c r="N33" s="54"/>
      <c r="O33" s="60"/>
      <c r="P33" s="59"/>
      <c r="Q33" s="60"/>
    </row>
    <row r="34" spans="1:17" ht="15.25" thickBot="1" x14ac:dyDescent="0.85">
      <c r="A34" s="21" t="s">
        <v>416</v>
      </c>
      <c r="C34" s="31">
        <f>WASO!E15</f>
        <v>46144200</v>
      </c>
      <c r="D34" s="31">
        <f>WASO!H15</f>
        <v>46144200</v>
      </c>
      <c r="E34" s="31">
        <f>WASO!K15</f>
        <v>46144200</v>
      </c>
      <c r="F34" s="31">
        <f>WASO!N15</f>
        <v>46011786.301369868</v>
      </c>
      <c r="G34" s="28"/>
      <c r="H34" s="58">
        <f>Q34</f>
        <v>26948129.37534247</v>
      </c>
      <c r="M34" s="59"/>
      <c r="N34" s="54" t="s">
        <v>869</v>
      </c>
      <c r="O34" s="60">
        <f>SUM(O21:O33)</f>
        <v>46184200</v>
      </c>
      <c r="P34" s="59"/>
      <c r="Q34" s="60">
        <f>SUM(Q21:Q33)</f>
        <v>26948129.37534247</v>
      </c>
    </row>
    <row r="35" spans="1:17" ht="15.25" thickTop="1" x14ac:dyDescent="0.7">
      <c r="C35" s="24"/>
      <c r="D35" s="24"/>
      <c r="E35" s="24"/>
      <c r="F35" s="24"/>
      <c r="G35" s="24"/>
      <c r="H35" s="24"/>
      <c r="M35" s="59"/>
      <c r="N35" s="54"/>
      <c r="O35" s="60"/>
      <c r="P35" s="59"/>
      <c r="Q35" s="60"/>
    </row>
    <row r="36" spans="1:17" x14ac:dyDescent="0.7">
      <c r="C36" s="24"/>
      <c r="D36" s="24"/>
      <c r="E36" s="24"/>
      <c r="F36" s="24"/>
      <c r="G36" s="24"/>
      <c r="H36" s="24"/>
      <c r="M36" s="59"/>
      <c r="N36" s="59"/>
      <c r="O36" s="60"/>
      <c r="P36" s="59"/>
      <c r="Q36" s="60"/>
    </row>
    <row r="37" spans="1:17" x14ac:dyDescent="0.7">
      <c r="C37" s="24"/>
      <c r="D37" s="24"/>
      <c r="E37" s="24"/>
      <c r="F37" s="24"/>
      <c r="G37" s="24"/>
      <c r="H37" s="24"/>
      <c r="M37" s="59"/>
      <c r="N37" s="59"/>
      <c r="O37" s="60"/>
      <c r="P37" s="59"/>
      <c r="Q37" s="60"/>
    </row>
    <row r="38" spans="1:17" x14ac:dyDescent="0.7">
      <c r="C38" s="24"/>
      <c r="D38" s="24"/>
      <c r="E38" s="24"/>
      <c r="F38" s="24"/>
      <c r="G38" s="24"/>
      <c r="H38" s="24"/>
    </row>
    <row r="39" spans="1:17" x14ac:dyDescent="0.7">
      <c r="C39" s="24"/>
      <c r="D39" s="24"/>
      <c r="E39" s="24"/>
      <c r="F39" s="24"/>
      <c r="G39" s="24"/>
      <c r="H39" s="24"/>
    </row>
    <row r="40" spans="1:17" x14ac:dyDescent="0.7">
      <c r="C40" s="24"/>
      <c r="D40" s="24"/>
      <c r="E40" s="24"/>
      <c r="F40" s="24"/>
      <c r="G40" s="24"/>
      <c r="H40" s="24"/>
    </row>
    <row r="41" spans="1:17" x14ac:dyDescent="0.7">
      <c r="C41" s="24"/>
      <c r="D41" s="24"/>
      <c r="E41" s="24"/>
      <c r="F41" s="24"/>
      <c r="G41" s="24"/>
      <c r="H41" s="24"/>
    </row>
    <row r="42" spans="1:17" x14ac:dyDescent="0.7">
      <c r="C42" s="24"/>
      <c r="D42" s="24"/>
      <c r="E42" s="24"/>
      <c r="F42" s="24"/>
      <c r="G42" s="24"/>
      <c r="H42" s="24"/>
    </row>
    <row r="43" spans="1:17" x14ac:dyDescent="0.7">
      <c r="C43" s="24"/>
      <c r="D43" s="24"/>
      <c r="E43" s="24"/>
      <c r="F43" s="24"/>
      <c r="G43" s="24"/>
      <c r="H43" s="24"/>
    </row>
    <row r="44" spans="1:17" x14ac:dyDescent="0.7">
      <c r="C44" s="24"/>
      <c r="D44" s="24"/>
      <c r="E44" s="24"/>
      <c r="F44" s="24"/>
      <c r="G44" s="24"/>
      <c r="H44" s="24"/>
    </row>
    <row r="45" spans="1:17" x14ac:dyDescent="0.7">
      <c r="C45" s="24"/>
      <c r="D45" s="24"/>
      <c r="E45" s="24"/>
      <c r="F45" s="24"/>
      <c r="G45" s="24"/>
      <c r="H45" s="24"/>
    </row>
    <row r="46" spans="1:17" x14ac:dyDescent="0.7">
      <c r="C46" s="24"/>
      <c r="D46" s="24"/>
      <c r="E46" s="24"/>
      <c r="F46" s="24"/>
      <c r="G46" s="24"/>
      <c r="H46" s="24"/>
    </row>
    <row r="47" spans="1:17" x14ac:dyDescent="0.7">
      <c r="C47" s="24"/>
      <c r="D47" s="24"/>
      <c r="E47" s="24"/>
      <c r="F47" s="24"/>
      <c r="G47" s="24"/>
      <c r="H47" s="24"/>
    </row>
    <row r="48" spans="1:17" x14ac:dyDescent="0.7">
      <c r="C48" s="24"/>
      <c r="D48" s="24"/>
      <c r="E48" s="24"/>
      <c r="F48" s="24"/>
      <c r="G48" s="24"/>
      <c r="H48" s="24"/>
    </row>
    <row r="49" spans="1:8" x14ac:dyDescent="0.7">
      <c r="C49" s="24"/>
      <c r="D49" s="24"/>
      <c r="E49" s="24"/>
      <c r="F49" s="24"/>
      <c r="G49" s="24"/>
      <c r="H49" s="24"/>
    </row>
    <row r="50" spans="1:8" x14ac:dyDescent="0.7">
      <c r="C50" s="24"/>
      <c r="D50" s="24"/>
      <c r="E50" s="24"/>
      <c r="F50" s="24"/>
      <c r="G50" s="24"/>
      <c r="H50" s="24"/>
    </row>
    <row r="51" spans="1:8" ht="17.75" x14ac:dyDescent="0.75">
      <c r="A51" s="22" t="s">
        <v>386</v>
      </c>
      <c r="G51" s="24"/>
      <c r="H51" s="24"/>
    </row>
    <row r="52" spans="1:8" ht="17.75" x14ac:dyDescent="0.75">
      <c r="A52" s="22" t="s">
        <v>401</v>
      </c>
      <c r="G52" s="24"/>
      <c r="H52" s="24"/>
    </row>
    <row r="53" spans="1:8" ht="17.75" x14ac:dyDescent="0.75">
      <c r="A53" s="22"/>
      <c r="G53" s="24"/>
      <c r="H53" s="24"/>
    </row>
    <row r="54" spans="1:8" x14ac:dyDescent="0.7">
      <c r="C54" s="26" t="s">
        <v>402</v>
      </c>
      <c r="D54" s="26" t="s">
        <v>402</v>
      </c>
      <c r="E54" s="26" t="s">
        <v>402</v>
      </c>
      <c r="F54" s="26" t="s">
        <v>402</v>
      </c>
      <c r="G54" s="24"/>
      <c r="H54" s="24"/>
    </row>
    <row r="55" spans="1:8" x14ac:dyDescent="0.7">
      <c r="C55" s="27">
        <v>42400</v>
      </c>
      <c r="D55" s="27">
        <f>DATE(YEAR(C55),MONTH(C55)+4,1)-1</f>
        <v>42490</v>
      </c>
      <c r="E55" s="27">
        <f t="shared" ref="E55:F55" si="16">DATE(YEAR(D55),MONTH(D55)+4,1)-1</f>
        <v>42582</v>
      </c>
      <c r="F55" s="27">
        <f t="shared" si="16"/>
        <v>42674</v>
      </c>
      <c r="G55" s="24"/>
      <c r="H55" s="24"/>
    </row>
    <row r="56" spans="1:8" x14ac:dyDescent="0.7">
      <c r="A56" s="20"/>
      <c r="G56" s="24"/>
      <c r="H56" s="24"/>
    </row>
    <row r="57" spans="1:8" x14ac:dyDescent="0.7">
      <c r="A57" s="21" t="s">
        <v>425</v>
      </c>
      <c r="C57" s="42">
        <f>C7</f>
        <v>190078</v>
      </c>
      <c r="D57" s="42">
        <f t="shared" ref="D57:F58" si="17">D7-C7</f>
        <v>211900</v>
      </c>
      <c r="E57" s="42">
        <f t="shared" si="17"/>
        <v>224835</v>
      </c>
      <c r="F57" s="42">
        <f t="shared" si="17"/>
        <v>255224</v>
      </c>
      <c r="G57" s="24"/>
      <c r="H57" s="24"/>
    </row>
    <row r="58" spans="1:8" x14ac:dyDescent="0.7">
      <c r="A58" s="21" t="s">
        <v>426</v>
      </c>
      <c r="C58" s="28">
        <f>C8</f>
        <v>-52131</v>
      </c>
      <c r="D58" s="28">
        <f t="shared" si="17"/>
        <v>-56998</v>
      </c>
      <c r="E58" s="28">
        <f t="shared" si="17"/>
        <v>-75623</v>
      </c>
      <c r="F58" s="28">
        <f t="shared" si="17"/>
        <v>-96921</v>
      </c>
      <c r="G58" s="24"/>
      <c r="H58" s="24"/>
    </row>
    <row r="59" spans="1:8" x14ac:dyDescent="0.7">
      <c r="C59" s="29"/>
      <c r="D59" s="29"/>
      <c r="E59" s="29"/>
      <c r="F59" s="29"/>
      <c r="G59" s="24"/>
      <c r="H59" s="24"/>
    </row>
    <row r="60" spans="1:8" x14ac:dyDescent="0.7">
      <c r="A60" s="21" t="s">
        <v>431</v>
      </c>
      <c r="C60" s="28">
        <f>C57-C58</f>
        <v>242209</v>
      </c>
      <c r="D60" s="28">
        <f t="shared" ref="D60:F60" si="18">D57-D58</f>
        <v>268898</v>
      </c>
      <c r="E60" s="28">
        <f t="shared" si="18"/>
        <v>300458</v>
      </c>
      <c r="F60" s="28">
        <f t="shared" si="18"/>
        <v>352145</v>
      </c>
      <c r="G60" s="24"/>
      <c r="H60" s="24"/>
    </row>
    <row r="61" spans="1:8" x14ac:dyDescent="0.7">
      <c r="C61" s="28"/>
      <c r="D61" s="28"/>
      <c r="E61" s="28"/>
      <c r="F61" s="28"/>
      <c r="G61" s="24"/>
      <c r="H61" s="24"/>
    </row>
    <row r="62" spans="1:8" x14ac:dyDescent="0.7">
      <c r="C62" s="28"/>
      <c r="D62" s="28"/>
      <c r="E62" s="28"/>
      <c r="F62" s="28"/>
      <c r="G62" s="24"/>
      <c r="H62" s="24"/>
    </row>
    <row r="63" spans="1:8" x14ac:dyDescent="0.7">
      <c r="A63" s="21" t="s">
        <v>427</v>
      </c>
      <c r="C63" s="28"/>
      <c r="D63" s="28"/>
      <c r="E63" s="28"/>
      <c r="F63" s="28"/>
      <c r="G63" s="24"/>
      <c r="H63" s="24"/>
    </row>
    <row r="64" spans="1:8" x14ac:dyDescent="0.7">
      <c r="A64" s="21" t="s">
        <v>428</v>
      </c>
      <c r="C64" s="28" t="e">
        <f>#REF!</f>
        <v>#REF!</v>
      </c>
      <c r="D64" s="28" t="e">
        <f>#REF!-#REF!</f>
        <v>#REF!</v>
      </c>
      <c r="E64" s="28" t="e">
        <f>#REF!-#REF!</f>
        <v>#REF!</v>
      </c>
      <c r="F64" s="28" t="e">
        <f>#REF!-#REF!</f>
        <v>#REF!</v>
      </c>
      <c r="G64" s="24"/>
      <c r="H64" s="24"/>
    </row>
    <row r="65" spans="1:8" x14ac:dyDescent="0.7">
      <c r="A65" s="21" t="s">
        <v>429</v>
      </c>
      <c r="C65" s="28">
        <f>C15</f>
        <v>169809</v>
      </c>
      <c r="D65" s="28">
        <f>D15-C15</f>
        <v>192716</v>
      </c>
      <c r="E65" s="28">
        <f>E15-D15</f>
        <v>227356</v>
      </c>
      <c r="F65" s="28">
        <f>F15-E15</f>
        <v>344060</v>
      </c>
      <c r="G65" s="24"/>
      <c r="H65" s="24"/>
    </row>
    <row r="66" spans="1:8" x14ac:dyDescent="0.7">
      <c r="C66" s="29"/>
      <c r="D66" s="29"/>
      <c r="E66" s="29"/>
      <c r="F66" s="29"/>
      <c r="G66" s="24"/>
      <c r="H66" s="24"/>
    </row>
    <row r="67" spans="1:8" x14ac:dyDescent="0.7">
      <c r="A67" s="21" t="s">
        <v>406</v>
      </c>
      <c r="C67" s="28" t="e">
        <f>SUM(C63:C66)</f>
        <v>#REF!</v>
      </c>
      <c r="D67" s="28" t="e">
        <f>SUM(D63:D66)</f>
        <v>#REF!</v>
      </c>
      <c r="E67" s="28" t="e">
        <f>SUM(E63:E66)</f>
        <v>#REF!</v>
      </c>
      <c r="F67" s="28" t="e">
        <f>SUM(F63:F66)</f>
        <v>#REF!</v>
      </c>
      <c r="G67" s="24"/>
      <c r="H67" s="24"/>
    </row>
    <row r="68" spans="1:8" x14ac:dyDescent="0.7">
      <c r="C68" s="29"/>
      <c r="D68" s="29"/>
      <c r="E68" s="29"/>
      <c r="F68" s="29"/>
      <c r="G68" s="24"/>
      <c r="H68" s="24"/>
    </row>
    <row r="69" spans="1:8" x14ac:dyDescent="0.7">
      <c r="A69" s="21" t="s">
        <v>430</v>
      </c>
      <c r="C69" s="30" t="e">
        <f>C60-C67</f>
        <v>#REF!</v>
      </c>
      <c r="D69" s="30" t="e">
        <f t="shared" ref="D69:F69" si="19">D60-D67</f>
        <v>#REF!</v>
      </c>
      <c r="E69" s="30" t="e">
        <f t="shared" si="19"/>
        <v>#REF!</v>
      </c>
      <c r="F69" s="30" t="e">
        <f t="shared" si="19"/>
        <v>#REF!</v>
      </c>
      <c r="G69" s="24"/>
      <c r="H69" s="24"/>
    </row>
    <row r="70" spans="1:8" x14ac:dyDescent="0.7">
      <c r="C70" s="30"/>
      <c r="D70" s="30"/>
      <c r="E70" s="30"/>
      <c r="F70" s="30"/>
      <c r="G70" s="24"/>
      <c r="H70" s="24"/>
    </row>
    <row r="71" spans="1:8" x14ac:dyDescent="0.7">
      <c r="A71" s="21" t="s">
        <v>432</v>
      </c>
      <c r="C71" s="30"/>
      <c r="D71" s="30"/>
      <c r="E71" s="30"/>
      <c r="F71" s="30"/>
      <c r="G71" s="24"/>
      <c r="H71" s="24"/>
    </row>
    <row r="72" spans="1:8" x14ac:dyDescent="0.7">
      <c r="A72" s="21" t="s">
        <v>433</v>
      </c>
      <c r="C72" s="28">
        <f t="shared" ref="C72" si="20">C22</f>
        <v>-78843</v>
      </c>
      <c r="D72" s="28">
        <f>D22-C22</f>
        <v>-60809</v>
      </c>
      <c r="E72" s="28">
        <f t="shared" ref="E72:F72" si="21">E22-D22</f>
        <v>-62674</v>
      </c>
      <c r="F72" s="28">
        <f t="shared" si="21"/>
        <v>-73903</v>
      </c>
      <c r="G72" s="24"/>
      <c r="H72" s="24"/>
    </row>
    <row r="73" spans="1:8" x14ac:dyDescent="0.7">
      <c r="C73" s="29"/>
      <c r="D73" s="29"/>
      <c r="E73" s="29"/>
      <c r="F73" s="29"/>
      <c r="G73" s="24"/>
      <c r="H73" s="24"/>
    </row>
    <row r="74" spans="1:8" x14ac:dyDescent="0.7">
      <c r="A74" s="21" t="s">
        <v>434</v>
      </c>
      <c r="C74" s="30" t="e">
        <f>SUM(C69:C73)</f>
        <v>#REF!</v>
      </c>
      <c r="D74" s="30" t="e">
        <f t="shared" ref="D74" si="22">SUM(D69:D73)</f>
        <v>#REF!</v>
      </c>
      <c r="E74" s="30" t="e">
        <f t="shared" ref="E74" si="23">SUM(E69:E73)</f>
        <v>#REF!</v>
      </c>
      <c r="F74" s="30" t="e">
        <f t="shared" ref="F74" si="24">SUM(F69:F73)</f>
        <v>#REF!</v>
      </c>
      <c r="G74" s="24"/>
      <c r="H74" s="24"/>
    </row>
    <row r="75" spans="1:8" x14ac:dyDescent="0.7">
      <c r="C75" s="30"/>
      <c r="D75" s="30"/>
      <c r="E75" s="30"/>
      <c r="F75" s="30"/>
      <c r="G75" s="24"/>
      <c r="H75" s="24"/>
    </row>
    <row r="76" spans="1:8" x14ac:dyDescent="0.7">
      <c r="A76" s="21" t="s">
        <v>436</v>
      </c>
      <c r="C76" s="28">
        <f t="shared" ref="C76" si="25">C26</f>
        <v>0</v>
      </c>
      <c r="D76" s="28">
        <f>D26-C26</f>
        <v>0</v>
      </c>
      <c r="E76" s="28">
        <f t="shared" ref="E76:F76" si="26">E26-D26</f>
        <v>0</v>
      </c>
      <c r="F76" s="28">
        <f t="shared" si="26"/>
        <v>0</v>
      </c>
      <c r="G76" s="24"/>
      <c r="H76" s="24"/>
    </row>
    <row r="77" spans="1:8" x14ac:dyDescent="0.7">
      <c r="C77" s="29"/>
      <c r="D77" s="29"/>
      <c r="E77" s="29"/>
      <c r="F77" s="29"/>
      <c r="G77" s="24"/>
      <c r="H77" s="24"/>
    </row>
    <row r="78" spans="1:8" ht="15.25" thickBot="1" x14ac:dyDescent="0.85">
      <c r="A78" s="21" t="s">
        <v>435</v>
      </c>
      <c r="C78" s="40" t="e">
        <f>C74-C76</f>
        <v>#REF!</v>
      </c>
      <c r="D78" s="40" t="e">
        <f t="shared" ref="D78:F78" si="27">D74-D76</f>
        <v>#REF!</v>
      </c>
      <c r="E78" s="40" t="e">
        <f t="shared" si="27"/>
        <v>#REF!</v>
      </c>
      <c r="F78" s="40" t="e">
        <f t="shared" si="27"/>
        <v>#REF!</v>
      </c>
    </row>
    <row r="79" spans="1:8" ht="15.25" thickTop="1" x14ac:dyDescent="0.7">
      <c r="C79" s="28"/>
      <c r="D79" s="28"/>
      <c r="E79" s="28"/>
      <c r="F79" s="28"/>
    </row>
    <row r="80" spans="1:8" x14ac:dyDescent="0.7">
      <c r="C80" s="28"/>
      <c r="D80" s="28"/>
      <c r="E80" s="28"/>
      <c r="F80" s="28"/>
    </row>
    <row r="81" spans="1:6" ht="15.25" thickBot="1" x14ac:dyDescent="0.85">
      <c r="A81" s="21" t="s">
        <v>414</v>
      </c>
      <c r="C81" s="38" t="e">
        <f>C78/C84</f>
        <v>#REF!</v>
      </c>
      <c r="D81" s="38" t="e">
        <f t="shared" ref="D81:F81" si="28">D78/D84</f>
        <v>#REF!</v>
      </c>
      <c r="E81" s="38" t="e">
        <f t="shared" si="28"/>
        <v>#REF!</v>
      </c>
      <c r="F81" s="38" t="e">
        <f t="shared" si="28"/>
        <v>#REF!</v>
      </c>
    </row>
    <row r="82" spans="1:6" ht="15.25" thickTop="1" x14ac:dyDescent="0.7">
      <c r="C82" s="28"/>
      <c r="D82" s="28"/>
      <c r="E82" s="28"/>
      <c r="F82" s="28"/>
    </row>
    <row r="83" spans="1:6" x14ac:dyDescent="0.7">
      <c r="A83" s="21" t="s">
        <v>415</v>
      </c>
      <c r="C83" s="28"/>
      <c r="D83" s="28"/>
      <c r="E83" s="28"/>
      <c r="F83" s="28"/>
    </row>
    <row r="84" spans="1:6" ht="15.25" thickBot="1" x14ac:dyDescent="0.85">
      <c r="A84" s="21" t="s">
        <v>416</v>
      </c>
      <c r="C84" s="31">
        <f>C34</f>
        <v>46144200</v>
      </c>
      <c r="D84" s="31">
        <f t="shared" ref="D84:F84" si="29">D34</f>
        <v>46144200</v>
      </c>
      <c r="E84" s="31">
        <f t="shared" si="29"/>
        <v>46144200</v>
      </c>
      <c r="F84" s="31">
        <f t="shared" si="29"/>
        <v>46011786.301369868</v>
      </c>
    </row>
    <row r="85" spans="1:6" ht="15.25" thickTop="1" x14ac:dyDescent="0.7">
      <c r="C85" s="24"/>
      <c r="D85" s="24"/>
      <c r="E85" s="24"/>
      <c r="F85" s="24"/>
    </row>
    <row r="86" spans="1:6" x14ac:dyDescent="0.7">
      <c r="C86" s="24"/>
      <c r="D86" s="24"/>
      <c r="E86" s="24"/>
      <c r="F86" s="24"/>
    </row>
    <row r="87" spans="1:6" x14ac:dyDescent="0.7">
      <c r="C87" s="24"/>
      <c r="D87" s="24"/>
      <c r="E87" s="24"/>
      <c r="F87" s="2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958A-EA8B-4739-BBE4-A45F0F43F631}">
  <dimension ref="A1:N35"/>
  <sheetViews>
    <sheetView workbookViewId="0">
      <pane xSplit="3" ySplit="4" topLeftCell="D8" activePane="bottomRight" state="frozen"/>
      <selection pane="topRight" activeCell="D1" sqref="D1"/>
      <selection pane="bottomLeft" activeCell="A5" sqref="A5"/>
      <selection pane="bottomRight" activeCell="Q28" sqref="Q28"/>
    </sheetView>
  </sheetViews>
  <sheetFormatPr defaultRowHeight="14.75" x14ac:dyDescent="0.75"/>
  <cols>
    <col min="1" max="1" width="23.86328125" customWidth="1"/>
    <col min="2" max="2" width="11.54296875" style="53" customWidth="1"/>
    <col min="3" max="3" width="5" customWidth="1"/>
    <col min="4" max="5" width="15" style="33" customWidth="1"/>
    <col min="6" max="6" width="3.26953125" style="33" customWidth="1"/>
    <col min="7" max="8" width="15" style="33" customWidth="1"/>
    <col min="9" max="9" width="3.26953125" style="33" customWidth="1"/>
    <col min="10" max="11" width="15" style="33" customWidth="1"/>
    <col min="12" max="12" width="3.26953125" style="33" customWidth="1"/>
    <col min="13" max="14" width="15" style="33" customWidth="1"/>
  </cols>
  <sheetData>
    <row r="1" spans="1:14" x14ac:dyDescent="0.75">
      <c r="D1" s="33">
        <f>D2-B4</f>
        <v>92</v>
      </c>
      <c r="G1" s="33">
        <f>G2-B4</f>
        <v>181</v>
      </c>
      <c r="J1" s="33">
        <f>J2-B4</f>
        <v>273</v>
      </c>
      <c r="M1" s="33">
        <f>M2-B4</f>
        <v>365</v>
      </c>
    </row>
    <row r="2" spans="1:14" x14ac:dyDescent="0.75">
      <c r="A2" t="s">
        <v>871</v>
      </c>
      <c r="D2" s="63">
        <v>43496</v>
      </c>
      <c r="G2" s="63">
        <v>43585</v>
      </c>
      <c r="J2" s="63">
        <v>43677</v>
      </c>
      <c r="M2" s="63">
        <v>43769</v>
      </c>
    </row>
    <row r="3" spans="1:14" x14ac:dyDescent="0.75">
      <c r="D3" s="33" t="s">
        <v>453</v>
      </c>
      <c r="E3" s="33" t="s">
        <v>870</v>
      </c>
      <c r="G3" s="33" t="s">
        <v>454</v>
      </c>
      <c r="H3" s="33" t="s">
        <v>870</v>
      </c>
      <c r="J3" s="33" t="s">
        <v>455</v>
      </c>
      <c r="K3" s="33" t="s">
        <v>870</v>
      </c>
      <c r="M3" s="33" t="s">
        <v>456</v>
      </c>
      <c r="N3" s="33" t="s">
        <v>870</v>
      </c>
    </row>
    <row r="4" spans="1:14" x14ac:dyDescent="0.75">
      <c r="A4" t="s">
        <v>872</v>
      </c>
      <c r="B4" s="34">
        <v>43404</v>
      </c>
      <c r="D4" s="33">
        <f>46244200-100000</f>
        <v>46144200</v>
      </c>
      <c r="E4" s="33">
        <f>(D2-$B$4)/D1*D4</f>
        <v>46144200</v>
      </c>
      <c r="G4" s="33">
        <f>46244200-100000</f>
        <v>46144200</v>
      </c>
      <c r="H4" s="33">
        <f>(G2-$B$4)/G1*G4</f>
        <v>46144200</v>
      </c>
      <c r="J4" s="33">
        <f>46244200-100000</f>
        <v>46144200</v>
      </c>
      <c r="K4" s="33">
        <f>(J2-$B$4)/J1*J4</f>
        <v>46144200</v>
      </c>
      <c r="M4" s="33">
        <f>46244200-100000</f>
        <v>46144200</v>
      </c>
      <c r="N4" s="33">
        <f>(M2-$B$4)/M1*M4</f>
        <v>46144200</v>
      </c>
    </row>
    <row r="6" spans="1:14" x14ac:dyDescent="0.75">
      <c r="A6" t="s">
        <v>1090</v>
      </c>
      <c r="B6" s="34">
        <v>43423</v>
      </c>
      <c r="M6" s="33">
        <v>-180000</v>
      </c>
      <c r="N6" s="33">
        <f>M6*(M$2-B6)/M$1</f>
        <v>-170630.13698630137</v>
      </c>
    </row>
    <row r="7" spans="1:14" x14ac:dyDescent="0.75">
      <c r="B7" s="34"/>
      <c r="N7" s="33">
        <f>M7*(M$2-B7)/M$1</f>
        <v>0</v>
      </c>
    </row>
    <row r="8" spans="1:14" x14ac:dyDescent="0.75">
      <c r="A8" s="118" t="s">
        <v>1008</v>
      </c>
      <c r="B8" s="34">
        <v>43465</v>
      </c>
      <c r="C8" s="118"/>
      <c r="M8" s="33">
        <v>11000</v>
      </c>
      <c r="N8" s="33">
        <f>M8*(M$2-B8)/M$1</f>
        <v>9161.6438356164381</v>
      </c>
    </row>
    <row r="9" spans="1:14" x14ac:dyDescent="0.75">
      <c r="A9" s="118" t="s">
        <v>1088</v>
      </c>
      <c r="B9" s="34">
        <v>43466</v>
      </c>
      <c r="C9" s="118"/>
      <c r="M9" s="33">
        <v>35000</v>
      </c>
      <c r="N9" s="33">
        <f>M9*(M$2-B9)/M$1</f>
        <v>29054.794520547945</v>
      </c>
    </row>
    <row r="14" spans="1:14" x14ac:dyDescent="0.75"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1:14" x14ac:dyDescent="0.75">
      <c r="A15" t="s">
        <v>873</v>
      </c>
      <c r="B15" s="34">
        <v>43769</v>
      </c>
      <c r="D15" s="33">
        <f>SUM(D4:D14)</f>
        <v>46144200</v>
      </c>
      <c r="E15" s="64">
        <f>SUM(E4:E14)</f>
        <v>46144200</v>
      </c>
      <c r="G15" s="33">
        <f>SUM(G4:G14)</f>
        <v>46144200</v>
      </c>
      <c r="H15" s="64">
        <f>SUM(H4:H14)</f>
        <v>46144200</v>
      </c>
      <c r="J15" s="33">
        <f>SUM(J4:J14)</f>
        <v>46144200</v>
      </c>
      <c r="K15" s="64">
        <f>SUM(K4:K14)</f>
        <v>46144200</v>
      </c>
      <c r="M15" s="33">
        <f>SUM(M4:M14)</f>
        <v>46010200</v>
      </c>
      <c r="N15" s="64">
        <f>SUM(N4:N14)</f>
        <v>46011786.301369868</v>
      </c>
    </row>
    <row r="18" spans="1:14" x14ac:dyDescent="0.75">
      <c r="A18" s="89"/>
      <c r="B18" s="89"/>
      <c r="C18" s="89"/>
    </row>
    <row r="19" spans="1:14" x14ac:dyDescent="0.75">
      <c r="A19" s="89"/>
      <c r="B19" s="89"/>
      <c r="C19" s="89"/>
    </row>
    <row r="20" spans="1:14" x14ac:dyDescent="0.75">
      <c r="A20" s="89"/>
      <c r="B20" s="89"/>
      <c r="C20" s="89"/>
    </row>
    <row r="21" spans="1:14" x14ac:dyDescent="0.75">
      <c r="A21" s="89"/>
      <c r="B21" s="89"/>
      <c r="C21" s="89"/>
    </row>
    <row r="22" spans="1:14" x14ac:dyDescent="0.75">
      <c r="A22" s="89"/>
      <c r="B22" s="89"/>
      <c r="C22" s="89"/>
    </row>
    <row r="23" spans="1:14" x14ac:dyDescent="0.75">
      <c r="A23" s="118" t="s">
        <v>1009</v>
      </c>
      <c r="B23" s="34">
        <v>44056</v>
      </c>
      <c r="C23" s="118"/>
      <c r="M23" s="33">
        <v>100000</v>
      </c>
      <c r="N23" s="33">
        <f t="shared" ref="N23:N24" si="0">M23*(M$34-B23)/M$35</f>
        <v>21584.699453551912</v>
      </c>
    </row>
    <row r="24" spans="1:14" x14ac:dyDescent="0.75">
      <c r="A24" s="89" t="s">
        <v>1089</v>
      </c>
      <c r="B24" s="34">
        <v>44083</v>
      </c>
      <c r="C24" s="89"/>
      <c r="M24" s="33">
        <v>20000</v>
      </c>
      <c r="N24" s="33">
        <f t="shared" si="0"/>
        <v>2841.5300546448088</v>
      </c>
    </row>
    <row r="25" spans="1:14" x14ac:dyDescent="0.75">
      <c r="A25" s="89"/>
      <c r="B25" s="34"/>
      <c r="C25" s="89"/>
      <c r="M25" s="33">
        <f t="shared" ref="M25" si="1">J25</f>
        <v>0</v>
      </c>
      <c r="N25" s="33">
        <f t="shared" ref="N25" si="2">M25*(M$34-B25)/M$35</f>
        <v>0</v>
      </c>
    </row>
    <row r="26" spans="1:14" x14ac:dyDescent="0.75">
      <c r="A26" s="89"/>
      <c r="B26" s="34"/>
      <c r="C26" s="89"/>
    </row>
    <row r="27" spans="1:14" x14ac:dyDescent="0.75"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</row>
    <row r="28" spans="1:14" x14ac:dyDescent="0.75">
      <c r="A28" s="89" t="s">
        <v>873</v>
      </c>
      <c r="B28" s="34">
        <v>44135</v>
      </c>
      <c r="C28" s="89"/>
      <c r="D28" s="33">
        <f>SUM(D15:D27)</f>
        <v>46144200</v>
      </c>
      <c r="E28" s="64">
        <f>SUM(E15:E27)</f>
        <v>46144200</v>
      </c>
      <c r="G28" s="33">
        <f>SUM(G15:G27)</f>
        <v>46144200</v>
      </c>
      <c r="H28" s="64">
        <f>SUM(H15:H27)</f>
        <v>46144200</v>
      </c>
      <c r="J28" s="33">
        <f>SUM(J15:J27)</f>
        <v>46144200</v>
      </c>
      <c r="K28" s="64">
        <f>SUM(K15:K27)</f>
        <v>46144200</v>
      </c>
      <c r="M28" s="33">
        <f>SUM(M15:M27)</f>
        <v>46130200</v>
      </c>
      <c r="N28" s="64">
        <f>SUM(N15:N27)</f>
        <v>46036212.530878067</v>
      </c>
    </row>
    <row r="30" spans="1:14" x14ac:dyDescent="0.75">
      <c r="M30" s="33">
        <v>46305200</v>
      </c>
      <c r="N30" s="89"/>
    </row>
    <row r="31" spans="1:14" x14ac:dyDescent="0.75">
      <c r="N31" s="89"/>
    </row>
    <row r="32" spans="1:14" x14ac:dyDescent="0.75">
      <c r="M32" s="33">
        <f>M28-M30</f>
        <v>-175000</v>
      </c>
      <c r="N32" s="89"/>
    </row>
    <row r="34" spans="2:13" x14ac:dyDescent="0.75">
      <c r="B34" s="63">
        <f>DATE(YEAR(B4)+1,MONTH(B4),DAY(B4))</f>
        <v>43769</v>
      </c>
      <c r="D34" s="63">
        <f>DATE(YEAR(D2)+1,MONTH(D2),DAY(D2))</f>
        <v>43861</v>
      </c>
      <c r="G34" s="63">
        <f>DATE(YEAR(G2)+1,MONTH(G2),DAY(G2))</f>
        <v>43951</v>
      </c>
      <c r="J34" s="63">
        <f>DATE(YEAR(J2)+1,MONTH(J2),DAY(J2))</f>
        <v>44043</v>
      </c>
      <c r="M34" s="63">
        <f>DATE(YEAR(M2)+1,MONTH(M2),DAY(M2))</f>
        <v>44135</v>
      </c>
    </row>
    <row r="35" spans="2:13" x14ac:dyDescent="0.75">
      <c r="D35" s="33">
        <f>D34-$B34</f>
        <v>92</v>
      </c>
      <c r="G35" s="33">
        <f>G34-$B34</f>
        <v>182</v>
      </c>
      <c r="J35" s="33">
        <f>J34-$B34</f>
        <v>274</v>
      </c>
      <c r="M35" s="33">
        <f>M34-$B34</f>
        <v>366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1F2C-19FD-4EED-A624-22EEFB0899ED}">
  <dimension ref="A2:AL186"/>
  <sheetViews>
    <sheetView workbookViewId="0">
      <pane xSplit="5" ySplit="9" topLeftCell="Q34" activePane="bottomRight" state="frozen"/>
      <selection pane="topRight" activeCell="F1" sqref="F1"/>
      <selection pane="bottomLeft" activeCell="A10" sqref="A10"/>
      <selection pane="bottomRight" activeCell="Q13" sqref="Q13"/>
    </sheetView>
  </sheetViews>
  <sheetFormatPr defaultColWidth="9.1328125" defaultRowHeight="14.75" x14ac:dyDescent="0.75"/>
  <cols>
    <col min="1" max="2" width="4.7265625" style="85" customWidth="1"/>
    <col min="3" max="3" width="33.26953125" style="85" customWidth="1"/>
    <col min="4" max="5" width="14.54296875" style="85" customWidth="1"/>
    <col min="6" max="21" width="17.26953125" style="85" customWidth="1"/>
    <col min="22" max="22" width="17.26953125" style="113" customWidth="1"/>
    <col min="23" max="26" width="17.26953125" style="85" customWidth="1"/>
    <col min="27" max="27" width="17.26953125" style="106" customWidth="1"/>
    <col min="28" max="28" width="17.26953125" style="113" customWidth="1"/>
    <col min="29" max="30" width="17.26953125" style="119" customWidth="1"/>
    <col min="31" max="35" width="17.26953125" style="85" customWidth="1"/>
    <col min="36" max="36" width="5" style="85" customWidth="1"/>
    <col min="37" max="37" width="15.40625" style="85" customWidth="1"/>
    <col min="38" max="16384" width="9.1328125" style="85"/>
  </cols>
  <sheetData>
    <row r="2" spans="1:38" x14ac:dyDescent="0.75">
      <c r="C2" s="97"/>
      <c r="Y2" s="75"/>
      <c r="Z2" s="75"/>
      <c r="AA2" s="75"/>
      <c r="AB2" s="75"/>
      <c r="AC2" s="75"/>
      <c r="AD2" s="75"/>
    </row>
    <row r="4" spans="1:38" x14ac:dyDescent="0.75">
      <c r="M4" s="35" t="s">
        <v>923</v>
      </c>
      <c r="R4" s="35" t="s">
        <v>902</v>
      </c>
      <c r="S4" s="35" t="s">
        <v>904</v>
      </c>
      <c r="T4" s="35" t="s">
        <v>906</v>
      </c>
      <c r="U4" s="35" t="s">
        <v>907</v>
      </c>
      <c r="V4" s="35" t="s">
        <v>907</v>
      </c>
      <c r="W4" s="35" t="s">
        <v>909</v>
      </c>
      <c r="X4" s="35" t="s">
        <v>909</v>
      </c>
      <c r="Y4" s="35" t="s">
        <v>912</v>
      </c>
      <c r="Z4" s="35" t="s">
        <v>970</v>
      </c>
      <c r="AA4" s="35" t="s">
        <v>1055</v>
      </c>
      <c r="AB4" s="35" t="s">
        <v>1055</v>
      </c>
      <c r="AC4" s="35"/>
      <c r="AD4" s="35"/>
      <c r="AE4" s="35" t="s">
        <v>913</v>
      </c>
      <c r="AF4" s="35" t="s">
        <v>418</v>
      </c>
      <c r="AH4" s="35" t="s">
        <v>931</v>
      </c>
      <c r="AI4" s="35" t="s">
        <v>916</v>
      </c>
    </row>
    <row r="5" spans="1:38" x14ac:dyDescent="0.75">
      <c r="F5" s="35" t="s">
        <v>388</v>
      </c>
      <c r="G5" s="35" t="s">
        <v>892</v>
      </c>
      <c r="H5" s="35" t="s">
        <v>893</v>
      </c>
      <c r="I5" s="35" t="s">
        <v>894</v>
      </c>
      <c r="J5" s="35" t="s">
        <v>895</v>
      </c>
      <c r="K5" s="35" t="s">
        <v>896</v>
      </c>
      <c r="L5" s="35" t="s">
        <v>498</v>
      </c>
      <c r="M5" s="35" t="s">
        <v>924</v>
      </c>
      <c r="N5" s="35" t="s">
        <v>897</v>
      </c>
      <c r="O5" s="35" t="s">
        <v>898</v>
      </c>
      <c r="P5" s="35" t="s">
        <v>899</v>
      </c>
      <c r="Q5" s="35" t="s">
        <v>900</v>
      </c>
      <c r="R5" s="35" t="s">
        <v>903</v>
      </c>
      <c r="S5" s="35" t="s">
        <v>905</v>
      </c>
      <c r="T5" s="35" t="s">
        <v>1</v>
      </c>
      <c r="U5" s="35" t="s">
        <v>908</v>
      </c>
      <c r="V5" s="35" t="s">
        <v>1063</v>
      </c>
      <c r="W5" s="35" t="s">
        <v>910</v>
      </c>
      <c r="X5" s="35" t="s">
        <v>1079</v>
      </c>
      <c r="Y5" s="35" t="s">
        <v>905</v>
      </c>
      <c r="Z5" s="35" t="s">
        <v>972</v>
      </c>
      <c r="AA5" s="35" t="s">
        <v>1066</v>
      </c>
      <c r="AB5" s="35" t="s">
        <v>1063</v>
      </c>
      <c r="AC5" s="35" t="s">
        <v>1092</v>
      </c>
      <c r="AD5" s="35" t="s">
        <v>1093</v>
      </c>
      <c r="AE5" s="35" t="s">
        <v>914</v>
      </c>
      <c r="AF5" s="35" t="s">
        <v>914</v>
      </c>
      <c r="AG5" s="35" t="s">
        <v>915</v>
      </c>
      <c r="AH5" s="35" t="s">
        <v>914</v>
      </c>
      <c r="AI5" s="35" t="s">
        <v>917</v>
      </c>
    </row>
    <row r="6" spans="1:38" x14ac:dyDescent="0.75">
      <c r="E6" s="68">
        <f>'Balance Sheets'!$F$5</f>
        <v>43769</v>
      </c>
      <c r="F6" s="32">
        <f>'Balance Sheets'!$F$8</f>
        <v>118624</v>
      </c>
      <c r="G6" s="32">
        <f>'Balance Sheets'!$F$9</f>
        <v>44569</v>
      </c>
      <c r="H6" s="32">
        <f>'Balance Sheets'!$F$10</f>
        <v>129800</v>
      </c>
      <c r="I6" s="32">
        <f>'Balance Sheets'!$F$11</f>
        <v>0</v>
      </c>
      <c r="J6" s="32">
        <f>'Balance Sheets'!$F$12</f>
        <v>13000</v>
      </c>
      <c r="K6" s="32">
        <f>'Balance Sheets'!$F$16</f>
        <v>196271</v>
      </c>
      <c r="L6" s="32">
        <f>'Balance Sheets'!$F$17</f>
        <v>0</v>
      </c>
      <c r="M6" s="32">
        <f>'Balance Sheets'!$F$18</f>
        <v>62155</v>
      </c>
      <c r="N6" s="32">
        <f>'Balance Sheets'!$F$19</f>
        <v>0</v>
      </c>
      <c r="O6" s="32">
        <f>'Balance Sheets'!$F$20</f>
        <v>0</v>
      </c>
      <c r="P6" s="32">
        <f>-'Balance Sheets'!$F$27</f>
        <v>-31667</v>
      </c>
      <c r="Q6" s="32">
        <f>-'Balance Sheets'!$F$28</f>
        <v>-20456</v>
      </c>
      <c r="R6" s="32">
        <f>-'Balance Sheets'!$F$29</f>
        <v>-78340</v>
      </c>
      <c r="S6" s="32">
        <f>-'Balance Sheets'!$F$30</f>
        <v>-41193</v>
      </c>
      <c r="T6" s="32">
        <f>-'Balance Sheets'!$F$32</f>
        <v>0</v>
      </c>
      <c r="U6" s="32">
        <f>-'Balance Sheets'!$F$33</f>
        <v>-45561</v>
      </c>
      <c r="V6" s="32">
        <f>-'Balance Sheets'!$F$34</f>
        <v>-69239</v>
      </c>
      <c r="W6" s="32">
        <f>-'Balance Sheets'!$F$36</f>
        <v>0</v>
      </c>
      <c r="X6" s="32">
        <f>-'Balance Sheets'!$F$37</f>
        <v>0</v>
      </c>
      <c r="Y6" s="32">
        <f>-'Balance Sheets'!$F$42</f>
        <v>-143199</v>
      </c>
      <c r="Z6" s="32">
        <f>-'Balance Sheets'!$F$43-'Balance Sheets'!F31</f>
        <v>-62155</v>
      </c>
      <c r="AA6" s="32">
        <f>-'Balance Sheets'!$F$46</f>
        <v>-229118</v>
      </c>
      <c r="AB6" s="32">
        <f>-'Balance Sheets'!$F$47</f>
        <v>-297070</v>
      </c>
      <c r="AC6" s="32">
        <f>-'Balance Sheets'!$F$48</f>
        <v>-730110</v>
      </c>
      <c r="AD6" s="32">
        <f>-'Balance Sheets'!$F$49</f>
        <v>-1221958</v>
      </c>
      <c r="AE6" s="32">
        <f>-'Balance Sheets'!$F$59</f>
        <v>0</v>
      </c>
      <c r="AF6" s="32">
        <f>-'Balance Sheets'!$F$61</f>
        <v>-46290</v>
      </c>
      <c r="AG6" s="32">
        <f>-'Balance Sheets'!$F$62</f>
        <v>-7407220</v>
      </c>
      <c r="AH6" s="32">
        <f>-'Balance Sheets'!$F$63</f>
        <v>84000</v>
      </c>
      <c r="AI6" s="32">
        <f>-'Balance Sheets'!$F$64</f>
        <v>9775157</v>
      </c>
      <c r="AJ6" s="32"/>
      <c r="AK6" s="32">
        <f>SUM(F6:AJ6)</f>
        <v>0</v>
      </c>
      <c r="AL6" s="32"/>
    </row>
    <row r="7" spans="1:38" x14ac:dyDescent="0.75">
      <c r="E7" s="68">
        <f>'Balance Sheets'!$D$5</f>
        <v>44135</v>
      </c>
      <c r="F7" s="32">
        <f>'Balance Sheets'!$D$8</f>
        <v>297212</v>
      </c>
      <c r="G7" s="32">
        <f>'Balance Sheets'!$D$9</f>
        <v>93660</v>
      </c>
      <c r="H7" s="32">
        <f>'Balance Sheets'!$D$10</f>
        <v>58250</v>
      </c>
      <c r="I7" s="32">
        <f>'Balance Sheets'!$D$11</f>
        <v>35000</v>
      </c>
      <c r="J7" s="32">
        <f>'Balance Sheets'!$D$12</f>
        <v>0</v>
      </c>
      <c r="K7" s="32">
        <f>'Balance Sheets'!$D$16</f>
        <v>146440</v>
      </c>
      <c r="L7" s="32">
        <f>'Balance Sheets'!$D$17</f>
        <v>0</v>
      </c>
      <c r="M7" s="32">
        <f>'Balance Sheets'!$D$18</f>
        <v>394793</v>
      </c>
      <c r="N7" s="32">
        <f>'Balance Sheets'!$D$19</f>
        <v>0</v>
      </c>
      <c r="O7" s="32">
        <f>'Balance Sheets'!$D$20</f>
        <v>0</v>
      </c>
      <c r="P7" s="32">
        <f>-'Balance Sheets'!$D$27</f>
        <v>-46392</v>
      </c>
      <c r="Q7" s="32">
        <f>-'Balance Sheets'!$D$28</f>
        <v>-32212</v>
      </c>
      <c r="R7" s="32">
        <f>-'Balance Sheets'!$D$29</f>
        <v>-165923</v>
      </c>
      <c r="S7" s="32">
        <f>-'Balance Sheets'!$D$30</f>
        <v>-44735</v>
      </c>
      <c r="T7" s="32">
        <f>-'Balance Sheets'!$D$32</f>
        <v>0</v>
      </c>
      <c r="U7" s="32">
        <f>-'Balance Sheets'!$D$33</f>
        <v>-83251</v>
      </c>
      <c r="V7" s="32">
        <f>-'Balance Sheets'!$D$34</f>
        <v>-118890</v>
      </c>
      <c r="W7" s="32">
        <f>-'Balance Sheets'!$D$36</f>
        <v>0</v>
      </c>
      <c r="X7" s="32">
        <f>-'Balance Sheets'!$D$37</f>
        <v>0</v>
      </c>
      <c r="Y7" s="32">
        <f>-'Balance Sheets'!$D$42</f>
        <v>-98464</v>
      </c>
      <c r="Z7" s="32">
        <f>-'Balance Sheets'!$D$43-'Balance Sheets'!D31</f>
        <v>-394793</v>
      </c>
      <c r="AA7" s="32">
        <f>-'Balance Sheets'!$D$46</f>
        <v>-260257</v>
      </c>
      <c r="AB7" s="32">
        <f>-'Balance Sheets'!$D$47</f>
        <v>-416838</v>
      </c>
      <c r="AC7" s="32">
        <f>-'Balance Sheets'!$D$48</f>
        <v>-767288</v>
      </c>
      <c r="AD7" s="32">
        <f>-'Balance Sheets'!$D$49</f>
        <v>-1221958</v>
      </c>
      <c r="AE7" s="32">
        <f>-'Balance Sheets'!$D$59</f>
        <v>-41</v>
      </c>
      <c r="AF7" s="32">
        <f>-'Balance Sheets'!$D$61</f>
        <v>-46410</v>
      </c>
      <c r="AG7" s="32">
        <f>-'Balance Sheets'!$D$62</f>
        <v>-8749607</v>
      </c>
      <c r="AH7" s="32">
        <f>-'Balance Sheets'!$D$63</f>
        <v>84000</v>
      </c>
      <c r="AI7" s="32">
        <f>-'Balance Sheets'!$D$64</f>
        <v>11337704</v>
      </c>
      <c r="AJ7" s="32"/>
      <c r="AK7" s="32">
        <f>SUM(F7:AJ7)</f>
        <v>0</v>
      </c>
      <c r="AL7" s="32"/>
    </row>
    <row r="8" spans="1:38" x14ac:dyDescent="0.75">
      <c r="F8" s="69">
        <f>F7-F6</f>
        <v>178588</v>
      </c>
      <c r="G8" s="69">
        <f>G6-G7</f>
        <v>-49091</v>
      </c>
      <c r="H8" s="69">
        <f t="shared" ref="H8:AI8" si="0">H6-H7</f>
        <v>71550</v>
      </c>
      <c r="I8" s="69">
        <f t="shared" si="0"/>
        <v>-35000</v>
      </c>
      <c r="J8" s="69">
        <f t="shared" si="0"/>
        <v>13000</v>
      </c>
      <c r="K8" s="69">
        <f t="shared" si="0"/>
        <v>49831</v>
      </c>
      <c r="L8" s="69">
        <f t="shared" si="0"/>
        <v>0</v>
      </c>
      <c r="M8" s="69">
        <f t="shared" si="0"/>
        <v>-332638</v>
      </c>
      <c r="N8" s="69">
        <f t="shared" si="0"/>
        <v>0</v>
      </c>
      <c r="O8" s="69">
        <f t="shared" si="0"/>
        <v>0</v>
      </c>
      <c r="P8" s="69">
        <f t="shared" si="0"/>
        <v>14725</v>
      </c>
      <c r="Q8" s="69">
        <f t="shared" si="0"/>
        <v>11756</v>
      </c>
      <c r="R8" s="69">
        <f t="shared" si="0"/>
        <v>87583</v>
      </c>
      <c r="S8" s="69">
        <f t="shared" si="0"/>
        <v>3542</v>
      </c>
      <c r="T8" s="69">
        <f t="shared" si="0"/>
        <v>0</v>
      </c>
      <c r="U8" s="69">
        <f t="shared" si="0"/>
        <v>37690</v>
      </c>
      <c r="V8" s="69">
        <f t="shared" si="0"/>
        <v>49651</v>
      </c>
      <c r="W8" s="69">
        <f t="shared" si="0"/>
        <v>0</v>
      </c>
      <c r="X8" s="69">
        <f t="shared" si="0"/>
        <v>0</v>
      </c>
      <c r="Y8" s="69">
        <f t="shared" si="0"/>
        <v>-44735</v>
      </c>
      <c r="Z8" s="69">
        <f t="shared" si="0"/>
        <v>332638</v>
      </c>
      <c r="AA8" s="69">
        <f t="shared" si="0"/>
        <v>31139</v>
      </c>
      <c r="AB8" s="69">
        <f t="shared" si="0"/>
        <v>119768</v>
      </c>
      <c r="AC8" s="69">
        <f t="shared" si="0"/>
        <v>37178</v>
      </c>
      <c r="AD8" s="69">
        <f t="shared" si="0"/>
        <v>0</v>
      </c>
      <c r="AE8" s="69">
        <f t="shared" si="0"/>
        <v>41</v>
      </c>
      <c r="AF8" s="69">
        <f t="shared" si="0"/>
        <v>120</v>
      </c>
      <c r="AG8" s="69">
        <f t="shared" si="0"/>
        <v>1342387</v>
      </c>
      <c r="AH8" s="69">
        <f t="shared" si="0"/>
        <v>0</v>
      </c>
      <c r="AI8" s="69">
        <f t="shared" si="0"/>
        <v>-1562547</v>
      </c>
      <c r="AJ8" s="32"/>
      <c r="AK8" s="32"/>
      <c r="AL8" s="32"/>
    </row>
    <row r="9" spans="1:38" x14ac:dyDescent="0.75"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</row>
    <row r="10" spans="1:38" x14ac:dyDescent="0.75">
      <c r="A10" s="85" t="s">
        <v>879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</row>
    <row r="11" spans="1:38" x14ac:dyDescent="0.75">
      <c r="B11" s="85" t="s">
        <v>880</v>
      </c>
      <c r="E11" s="70">
        <f t="shared" ref="E11:E36" si="1">SUM(F11:AJ11)</f>
        <v>-1562547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>
        <f>'Stmt of Ops FY-20 &amp; 19'!F28</f>
        <v>-1562547</v>
      </c>
      <c r="AJ11" s="32"/>
      <c r="AK11" s="32"/>
      <c r="AL11" s="32"/>
    </row>
    <row r="12" spans="1:38" x14ac:dyDescent="0.75">
      <c r="E12" s="70">
        <f t="shared" si="1"/>
        <v>0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</row>
    <row r="13" spans="1:38" x14ac:dyDescent="0.75">
      <c r="B13" s="85" t="s">
        <v>881</v>
      </c>
      <c r="E13" s="70">
        <f t="shared" si="1"/>
        <v>0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</row>
    <row r="14" spans="1:38" x14ac:dyDescent="0.75">
      <c r="C14" s="85" t="s">
        <v>882</v>
      </c>
      <c r="E14" s="70">
        <f t="shared" si="1"/>
        <v>75101</v>
      </c>
      <c r="F14" s="32"/>
      <c r="G14" s="32"/>
      <c r="H14" s="32"/>
      <c r="I14" s="32"/>
      <c r="J14" s="32"/>
      <c r="K14" s="32">
        <f>ROUND('Q4 TB-20'!G161,0)</f>
        <v>75101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</row>
    <row r="15" spans="1:38" x14ac:dyDescent="0.75">
      <c r="C15" s="85" t="s">
        <v>883</v>
      </c>
      <c r="E15" s="70">
        <f t="shared" si="1"/>
        <v>0</v>
      </c>
      <c r="F15" s="32"/>
      <c r="G15" s="32"/>
      <c r="H15" s="32"/>
      <c r="I15" s="32"/>
      <c r="J15" s="32"/>
      <c r="K15" s="32"/>
      <c r="L15" s="32">
        <f>ROUND('Q4 TB-20'!G150,0)</f>
        <v>0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</row>
    <row r="16" spans="1:38" s="120" customFormat="1" x14ac:dyDescent="0.75">
      <c r="C16" s="120" t="s">
        <v>1059</v>
      </c>
      <c r="E16" s="70">
        <f t="shared" si="1"/>
        <v>13211</v>
      </c>
      <c r="F16" s="32"/>
      <c r="G16" s="32">
        <f>'Q4 TB-20'!G152</f>
        <v>13211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</row>
    <row r="17" spans="2:38" s="120" customFormat="1" x14ac:dyDescent="0.75">
      <c r="C17" s="120" t="s">
        <v>1108</v>
      </c>
      <c r="E17" s="70">
        <f t="shared" si="1"/>
        <v>78649</v>
      </c>
      <c r="F17" s="32"/>
      <c r="G17" s="32"/>
      <c r="H17" s="32"/>
      <c r="I17" s="32"/>
      <c r="J17" s="32"/>
      <c r="K17" s="32"/>
      <c r="L17" s="32"/>
      <c r="M17" s="32">
        <f>78649</f>
        <v>78649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</row>
    <row r="18" spans="2:38" s="97" customFormat="1" x14ac:dyDescent="0.75">
      <c r="C18" s="97" t="s">
        <v>1016</v>
      </c>
      <c r="E18" s="70">
        <f t="shared" si="1"/>
        <v>150907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>
        <f>AA8</f>
        <v>31139</v>
      </c>
      <c r="AB18" s="32">
        <f>AB8</f>
        <v>119768</v>
      </c>
      <c r="AC18" s="32"/>
      <c r="AD18" s="32"/>
      <c r="AE18" s="32"/>
      <c r="AF18" s="32"/>
      <c r="AG18" s="32"/>
      <c r="AH18" s="32"/>
      <c r="AI18" s="32"/>
      <c r="AJ18" s="32"/>
      <c r="AK18" s="32"/>
      <c r="AL18" s="32"/>
    </row>
    <row r="19" spans="2:38" s="97" customFormat="1" x14ac:dyDescent="0.75">
      <c r="C19" s="97" t="s">
        <v>1010</v>
      </c>
      <c r="E19" s="70">
        <f t="shared" si="1"/>
        <v>267328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74">
        <v>267328</v>
      </c>
      <c r="AH19" s="32"/>
      <c r="AI19" s="32"/>
      <c r="AJ19" s="32"/>
      <c r="AK19" s="32"/>
      <c r="AL19" s="32"/>
    </row>
    <row r="20" spans="2:38" x14ac:dyDescent="0.75">
      <c r="C20" s="85" t="s">
        <v>884</v>
      </c>
      <c r="E20" s="70">
        <f t="shared" si="1"/>
        <v>50220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>
        <f>AF8</f>
        <v>120</v>
      </c>
      <c r="AG20" s="74">
        <f>45900+4200</f>
        <v>50100</v>
      </c>
      <c r="AH20" s="32"/>
      <c r="AI20" s="32"/>
      <c r="AJ20" s="32"/>
      <c r="AK20" s="32"/>
      <c r="AL20" s="32"/>
    </row>
    <row r="21" spans="2:38" x14ac:dyDescent="0.75">
      <c r="E21" s="70">
        <f t="shared" si="1"/>
        <v>0</v>
      </c>
      <c r="F21" s="32"/>
      <c r="G21" s="32"/>
      <c r="H21" s="32"/>
      <c r="I21" s="32"/>
      <c r="J21" s="32"/>
      <c r="K21" s="32"/>
      <c r="L21" s="32"/>
      <c r="M21" s="32">
        <f>M8-M17</f>
        <v>-411287</v>
      </c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>
        <f>Z8-Z29</f>
        <v>411287</v>
      </c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2:38" x14ac:dyDescent="0.75">
      <c r="B22" s="85" t="s">
        <v>885</v>
      </c>
      <c r="E22" s="70">
        <f t="shared" si="1"/>
        <v>0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2:38" x14ac:dyDescent="0.75">
      <c r="C23" s="85" t="s">
        <v>886</v>
      </c>
      <c r="E23" s="70">
        <f t="shared" si="1"/>
        <v>-62302</v>
      </c>
      <c r="F23" s="32"/>
      <c r="G23" s="32">
        <f>G8-G16</f>
        <v>-62302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2:38" x14ac:dyDescent="0.75">
      <c r="C24" s="85" t="s">
        <v>887</v>
      </c>
      <c r="E24" s="70">
        <f t="shared" si="1"/>
        <v>71550</v>
      </c>
      <c r="F24" s="32"/>
      <c r="G24" s="32"/>
      <c r="H24" s="32">
        <f>H8</f>
        <v>71550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2:38" x14ac:dyDescent="0.75">
      <c r="C25" s="85" t="s">
        <v>894</v>
      </c>
      <c r="E25" s="70">
        <f t="shared" si="1"/>
        <v>-35000</v>
      </c>
      <c r="F25" s="32"/>
      <c r="G25" s="32"/>
      <c r="H25" s="32"/>
      <c r="I25" s="32">
        <f>I8</f>
        <v>-35000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2:38" x14ac:dyDescent="0.75">
      <c r="C26" s="85" t="s">
        <v>888</v>
      </c>
      <c r="E26" s="70">
        <f t="shared" si="1"/>
        <v>13000</v>
      </c>
      <c r="F26" s="32"/>
      <c r="G26" s="32"/>
      <c r="H26" s="32"/>
      <c r="I26" s="32"/>
      <c r="J26" s="32">
        <f>J8</f>
        <v>13000</v>
      </c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2:38" x14ac:dyDescent="0.75">
      <c r="C27" s="85" t="s">
        <v>517</v>
      </c>
      <c r="E27" s="70">
        <f t="shared" si="1"/>
        <v>14725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>
        <f>P8</f>
        <v>14725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2:38" x14ac:dyDescent="0.75">
      <c r="C28" s="85" t="s">
        <v>889</v>
      </c>
      <c r="E28" s="70">
        <f t="shared" si="1"/>
        <v>11756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>
        <f>Q8</f>
        <v>11756</v>
      </c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2:38" s="120" customFormat="1" x14ac:dyDescent="0.75">
      <c r="C29" s="120" t="s">
        <v>1107</v>
      </c>
      <c r="E29" s="70">
        <f t="shared" si="1"/>
        <v>-78649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>
        <f>-M17</f>
        <v>-78649</v>
      </c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2:38" x14ac:dyDescent="0.75">
      <c r="C30" s="85" t="s">
        <v>412</v>
      </c>
      <c r="E30" s="70">
        <f t="shared" si="1"/>
        <v>87583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>
        <f>R8-R52</f>
        <v>87583</v>
      </c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2:38" x14ac:dyDescent="0.75">
      <c r="C31" s="85" t="s">
        <v>890</v>
      </c>
      <c r="E31" s="70">
        <f t="shared" si="1"/>
        <v>37690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>
        <f>U8</f>
        <v>37690</v>
      </c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2:38" s="113" customFormat="1" x14ac:dyDescent="0.75">
      <c r="C32" s="113" t="s">
        <v>1068</v>
      </c>
      <c r="E32" s="70">
        <f t="shared" si="1"/>
        <v>86829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>
        <f>V8</f>
        <v>49651</v>
      </c>
      <c r="W32" s="32"/>
      <c r="X32" s="32"/>
      <c r="Y32" s="32"/>
      <c r="Z32" s="32"/>
      <c r="AA32" s="32"/>
      <c r="AB32" s="32"/>
      <c r="AC32" s="32">
        <f>AC8</f>
        <v>37178</v>
      </c>
      <c r="AD32" s="32"/>
      <c r="AE32" s="32"/>
      <c r="AF32" s="32"/>
      <c r="AG32" s="32"/>
      <c r="AH32" s="32"/>
      <c r="AI32" s="32"/>
      <c r="AJ32" s="32"/>
      <c r="AK32" s="32"/>
      <c r="AL32" s="32"/>
    </row>
    <row r="33" spans="1:38" x14ac:dyDescent="0.75">
      <c r="C33" s="85" t="s">
        <v>891</v>
      </c>
      <c r="E33" s="70">
        <f t="shared" si="1"/>
        <v>0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>
        <f>W8</f>
        <v>0</v>
      </c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1:38" s="118" customFormat="1" x14ac:dyDescent="0.75">
      <c r="C34" s="118" t="s">
        <v>1078</v>
      </c>
      <c r="E34" s="70">
        <f t="shared" si="1"/>
        <v>0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>
        <f>X8</f>
        <v>0</v>
      </c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1:38" x14ac:dyDescent="0.75">
      <c r="E35" s="70">
        <f t="shared" si="1"/>
        <v>0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1:38" x14ac:dyDescent="0.75">
      <c r="B36" s="85" t="s">
        <v>918</v>
      </c>
      <c r="D36" s="70">
        <f>SUM(E11:E36)</f>
        <v>-779949</v>
      </c>
      <c r="E36" s="70">
        <f t="shared" si="1"/>
        <v>0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1:38" x14ac:dyDescent="0.75">
      <c r="E37" s="70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1:38" x14ac:dyDescent="0.75">
      <c r="A38" s="85" t="s">
        <v>919</v>
      </c>
      <c r="E38" s="70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1:38" x14ac:dyDescent="0.75">
      <c r="B39" s="85" t="s">
        <v>896</v>
      </c>
      <c r="E39" s="70">
        <f t="shared" ref="E39:E55" si="2">SUM(F39:AJ39)</f>
        <v>-25270</v>
      </c>
      <c r="F39" s="32"/>
      <c r="G39" s="32"/>
      <c r="H39" s="32"/>
      <c r="I39" s="32"/>
      <c r="J39" s="32"/>
      <c r="K39" s="32">
        <f>K8-K14</f>
        <v>-25270</v>
      </c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1:38" x14ac:dyDescent="0.75">
      <c r="B40" s="85" t="s">
        <v>498</v>
      </c>
      <c r="E40" s="70">
        <f t="shared" si="2"/>
        <v>0</v>
      </c>
      <c r="F40" s="32"/>
      <c r="G40" s="32"/>
      <c r="H40" s="32"/>
      <c r="I40" s="32"/>
      <c r="J40" s="32"/>
      <c r="K40" s="32"/>
      <c r="L40" s="32">
        <f>L8-L15</f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1:38" x14ac:dyDescent="0.75">
      <c r="B41" s="85" t="s">
        <v>975</v>
      </c>
      <c r="E41" s="70">
        <f t="shared" si="2"/>
        <v>0</v>
      </c>
      <c r="F41" s="32"/>
      <c r="G41" s="32"/>
      <c r="H41" s="32"/>
      <c r="I41" s="32"/>
      <c r="J41" s="32"/>
      <c r="K41" s="32"/>
      <c r="L41" s="32"/>
      <c r="M41" s="32"/>
      <c r="N41" s="32"/>
      <c r="O41" s="32">
        <f>O8</f>
        <v>0</v>
      </c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1:38" x14ac:dyDescent="0.75">
      <c r="E42" s="70">
        <f t="shared" si="2"/>
        <v>0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1:38" x14ac:dyDescent="0.75">
      <c r="B43" s="85" t="s">
        <v>926</v>
      </c>
      <c r="D43" s="70">
        <f>SUM(E39:E43)</f>
        <v>-25270</v>
      </c>
      <c r="E43" s="70">
        <f t="shared" si="2"/>
        <v>0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1:38" x14ac:dyDescent="0.75">
      <c r="E44" s="70">
        <f t="shared" si="2"/>
        <v>0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1:38" x14ac:dyDescent="0.75">
      <c r="A45" s="85" t="s">
        <v>920</v>
      </c>
      <c r="E45" s="70">
        <f t="shared" si="2"/>
        <v>0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1:38" x14ac:dyDescent="0.75">
      <c r="B46" s="85" t="s">
        <v>928</v>
      </c>
      <c r="E46" s="70">
        <f t="shared" si="2"/>
        <v>0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1:38" x14ac:dyDescent="0.75">
      <c r="B47" s="85" t="s">
        <v>929</v>
      </c>
      <c r="E47" s="70">
        <f t="shared" si="2"/>
        <v>1025000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>
        <f>AE8</f>
        <v>41</v>
      </c>
      <c r="AF47" s="32"/>
      <c r="AG47" s="74">
        <f>AG8-AG19-AG20</f>
        <v>1024959</v>
      </c>
      <c r="AH47" s="32"/>
      <c r="AI47" s="32"/>
      <c r="AJ47" s="32"/>
      <c r="AK47" s="32"/>
      <c r="AL47" s="32"/>
    </row>
    <row r="48" spans="1:38" x14ac:dyDescent="0.75">
      <c r="B48" s="85" t="s">
        <v>935</v>
      </c>
      <c r="E48" s="70">
        <f t="shared" si="2"/>
        <v>0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>
        <f>AH8</f>
        <v>0</v>
      </c>
      <c r="AI48" s="32"/>
      <c r="AJ48" s="32"/>
      <c r="AK48" s="32"/>
      <c r="AL48" s="32"/>
    </row>
    <row r="49" spans="2:38" x14ac:dyDescent="0.75">
      <c r="B49" s="85" t="s">
        <v>936</v>
      </c>
      <c r="E49" s="70">
        <f t="shared" si="2"/>
        <v>0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2:38" x14ac:dyDescent="0.75">
      <c r="B50" s="85" t="s">
        <v>937</v>
      </c>
      <c r="E50" s="70">
        <f t="shared" si="2"/>
        <v>-41193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>
        <f>S8</f>
        <v>3542</v>
      </c>
      <c r="T50" s="32"/>
      <c r="U50" s="32"/>
      <c r="V50" s="32"/>
      <c r="W50" s="32"/>
      <c r="X50" s="32"/>
      <c r="Y50" s="32">
        <f>Y8</f>
        <v>-44735</v>
      </c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2:38" x14ac:dyDescent="0.75">
      <c r="B51" s="85" t="s">
        <v>973</v>
      </c>
      <c r="E51" s="70">
        <f t="shared" si="2"/>
        <v>0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>
        <f>T8</f>
        <v>0</v>
      </c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2:38" s="106" customFormat="1" x14ac:dyDescent="0.75">
      <c r="B52" s="106" t="s">
        <v>1053</v>
      </c>
      <c r="E52" s="70">
        <f t="shared" si="2"/>
        <v>0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>
        <f>-AI52</f>
        <v>0</v>
      </c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>
        <f>'Stmt Stk Equity'!J23</f>
        <v>0</v>
      </c>
      <c r="AJ52" s="32"/>
      <c r="AK52" s="32"/>
      <c r="AL52" s="32"/>
    </row>
    <row r="53" spans="2:38" x14ac:dyDescent="0.75">
      <c r="E53" s="70">
        <f t="shared" si="2"/>
        <v>0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</row>
    <row r="54" spans="2:38" x14ac:dyDescent="0.75">
      <c r="B54" s="85" t="s">
        <v>925</v>
      </c>
      <c r="D54" s="70">
        <f>SUM(E45:E54)</f>
        <v>983807</v>
      </c>
      <c r="E54" s="70">
        <f t="shared" si="2"/>
        <v>0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</row>
    <row r="55" spans="2:38" x14ac:dyDescent="0.75">
      <c r="E55" s="70">
        <f t="shared" si="2"/>
        <v>0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</row>
    <row r="56" spans="2:38" x14ac:dyDescent="0.75">
      <c r="D56" s="71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32"/>
      <c r="AK56" s="32"/>
      <c r="AL56" s="32"/>
    </row>
    <row r="57" spans="2:38" ht="15.5" thickBot="1" x14ac:dyDescent="0.9">
      <c r="B57" s="85" t="s">
        <v>927</v>
      </c>
      <c r="D57" s="73">
        <f>SUM(D11:D56)</f>
        <v>178588</v>
      </c>
      <c r="E57" s="73">
        <f>SUM(E11:E56)</f>
        <v>178588</v>
      </c>
      <c r="F57" s="73">
        <f>F8-SUM(F9:F56)</f>
        <v>178588</v>
      </c>
      <c r="G57" s="73">
        <f t="shared" ref="G57:AI57" si="3">G8-SUM(G9:G56)</f>
        <v>0</v>
      </c>
      <c r="H57" s="73">
        <f t="shared" si="3"/>
        <v>0</v>
      </c>
      <c r="I57" s="73">
        <f t="shared" si="3"/>
        <v>0</v>
      </c>
      <c r="J57" s="73">
        <f t="shared" si="3"/>
        <v>0</v>
      </c>
      <c r="K57" s="73">
        <f t="shared" si="3"/>
        <v>0</v>
      </c>
      <c r="L57" s="73">
        <f t="shared" si="3"/>
        <v>0</v>
      </c>
      <c r="M57" s="73">
        <f t="shared" si="3"/>
        <v>0</v>
      </c>
      <c r="N57" s="73">
        <f t="shared" si="3"/>
        <v>0</v>
      </c>
      <c r="O57" s="73">
        <f t="shared" si="3"/>
        <v>0</v>
      </c>
      <c r="P57" s="73">
        <f t="shared" si="3"/>
        <v>0</v>
      </c>
      <c r="Q57" s="73">
        <f t="shared" si="3"/>
        <v>0</v>
      </c>
      <c r="R57" s="73">
        <f t="shared" si="3"/>
        <v>0</v>
      </c>
      <c r="S57" s="73">
        <f t="shared" si="3"/>
        <v>0</v>
      </c>
      <c r="T57" s="73">
        <f t="shared" si="3"/>
        <v>0</v>
      </c>
      <c r="U57" s="73">
        <f t="shared" si="3"/>
        <v>0</v>
      </c>
      <c r="V57" s="73">
        <f t="shared" si="3"/>
        <v>0</v>
      </c>
      <c r="W57" s="73">
        <f t="shared" si="3"/>
        <v>0</v>
      </c>
      <c r="X57" s="73">
        <f t="shared" si="3"/>
        <v>0</v>
      </c>
      <c r="Y57" s="73">
        <f t="shared" si="3"/>
        <v>0</v>
      </c>
      <c r="Z57" s="73">
        <f t="shared" si="3"/>
        <v>0</v>
      </c>
      <c r="AA57" s="73">
        <f t="shared" si="3"/>
        <v>0</v>
      </c>
      <c r="AB57" s="73">
        <f t="shared" si="3"/>
        <v>0</v>
      </c>
      <c r="AC57" s="73">
        <f t="shared" si="3"/>
        <v>0</v>
      </c>
      <c r="AD57" s="73">
        <f t="shared" si="3"/>
        <v>0</v>
      </c>
      <c r="AE57" s="73">
        <f t="shared" si="3"/>
        <v>0</v>
      </c>
      <c r="AF57" s="73">
        <f t="shared" si="3"/>
        <v>0</v>
      </c>
      <c r="AG57" s="73">
        <f t="shared" si="3"/>
        <v>0</v>
      </c>
      <c r="AH57" s="73">
        <f t="shared" si="3"/>
        <v>0</v>
      </c>
      <c r="AI57" s="73">
        <f t="shared" si="3"/>
        <v>0</v>
      </c>
      <c r="AJ57" s="32"/>
      <c r="AK57" s="32"/>
      <c r="AL57" s="32"/>
    </row>
    <row r="58" spans="2:38" ht="15.5" thickTop="1" x14ac:dyDescent="0.75">
      <c r="E58" s="70"/>
      <c r="F58" s="32">
        <f>E57</f>
        <v>178588</v>
      </c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</row>
    <row r="59" spans="2:38" x14ac:dyDescent="0.75">
      <c r="E59" s="70"/>
      <c r="F59" s="32">
        <f>F57-F58</f>
        <v>0</v>
      </c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</row>
    <row r="60" spans="2:38" x14ac:dyDescent="0.75">
      <c r="E60" s="70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</row>
    <row r="61" spans="2:38" x14ac:dyDescent="0.75">
      <c r="E61" s="70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</row>
    <row r="62" spans="2:38" x14ac:dyDescent="0.75">
      <c r="E62" s="70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</row>
    <row r="63" spans="2:38" x14ac:dyDescent="0.75">
      <c r="E63" s="70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</row>
    <row r="64" spans="2:38" x14ac:dyDescent="0.75">
      <c r="E64" s="70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</row>
    <row r="65" spans="5:38" x14ac:dyDescent="0.75">
      <c r="E65" s="70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</row>
    <row r="66" spans="5:38" x14ac:dyDescent="0.75">
      <c r="E66" s="70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</row>
    <row r="67" spans="5:38" x14ac:dyDescent="0.75">
      <c r="E67" s="70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</row>
    <row r="68" spans="5:38" x14ac:dyDescent="0.75">
      <c r="E68" s="70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</row>
    <row r="69" spans="5:38" x14ac:dyDescent="0.75">
      <c r="E69" s="70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</row>
    <row r="70" spans="5:38" x14ac:dyDescent="0.75">
      <c r="E70" s="70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</row>
    <row r="71" spans="5:38" x14ac:dyDescent="0.75"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</row>
    <row r="72" spans="5:38" x14ac:dyDescent="0.75"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</row>
    <row r="73" spans="5:38" x14ac:dyDescent="0.75"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</row>
    <row r="74" spans="5:38" x14ac:dyDescent="0.75"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</row>
    <row r="75" spans="5:38" x14ac:dyDescent="0.75"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</row>
    <row r="76" spans="5:38" x14ac:dyDescent="0.75"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</row>
    <row r="77" spans="5:38" x14ac:dyDescent="0.75"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</row>
    <row r="78" spans="5:38" x14ac:dyDescent="0.75"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</row>
    <row r="79" spans="5:38" x14ac:dyDescent="0.75"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</row>
    <row r="80" spans="5:38" x14ac:dyDescent="0.75"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</row>
    <row r="81" spans="6:38" x14ac:dyDescent="0.75"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</row>
    <row r="82" spans="6:38" x14ac:dyDescent="0.75"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</row>
    <row r="83" spans="6:38" x14ac:dyDescent="0.75"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</row>
    <row r="84" spans="6:38" x14ac:dyDescent="0.75"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</row>
    <row r="85" spans="6:38" x14ac:dyDescent="0.75"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</row>
    <row r="86" spans="6:38" x14ac:dyDescent="0.75"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</row>
    <row r="87" spans="6:38" x14ac:dyDescent="0.75"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</row>
    <row r="88" spans="6:38" x14ac:dyDescent="0.75"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</row>
    <row r="89" spans="6:38" x14ac:dyDescent="0.75"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</row>
    <row r="90" spans="6:38" x14ac:dyDescent="0.75"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</row>
    <row r="91" spans="6:38" x14ac:dyDescent="0.75"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</row>
    <row r="92" spans="6:38" x14ac:dyDescent="0.75"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</row>
    <row r="93" spans="6:38" x14ac:dyDescent="0.75"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</row>
    <row r="94" spans="6:38" x14ac:dyDescent="0.75"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</row>
    <row r="95" spans="6:38" x14ac:dyDescent="0.75"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</row>
    <row r="96" spans="6:38" x14ac:dyDescent="0.75"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</row>
    <row r="97" spans="6:38" x14ac:dyDescent="0.75"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</row>
    <row r="98" spans="6:38" x14ac:dyDescent="0.75"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</row>
    <row r="99" spans="6:38" x14ac:dyDescent="0.75"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</row>
    <row r="100" spans="6:38" x14ac:dyDescent="0.75"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</row>
    <row r="101" spans="6:38" x14ac:dyDescent="0.75"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</row>
    <row r="102" spans="6:38" x14ac:dyDescent="0.75"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</row>
    <row r="103" spans="6:38" x14ac:dyDescent="0.75"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</row>
    <row r="104" spans="6:38" x14ac:dyDescent="0.75"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</row>
    <row r="105" spans="6:38" x14ac:dyDescent="0.75"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</row>
    <row r="106" spans="6:38" x14ac:dyDescent="0.75"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</row>
    <row r="107" spans="6:38" x14ac:dyDescent="0.75"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</row>
    <row r="108" spans="6:38" x14ac:dyDescent="0.75"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</row>
    <row r="109" spans="6:38" x14ac:dyDescent="0.75"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</row>
    <row r="110" spans="6:38" x14ac:dyDescent="0.75"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</row>
    <row r="111" spans="6:38" x14ac:dyDescent="0.75"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</row>
    <row r="112" spans="6:38" x14ac:dyDescent="0.75"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</row>
    <row r="113" spans="6:38" x14ac:dyDescent="0.75"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</row>
    <row r="114" spans="6:38" x14ac:dyDescent="0.75"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</row>
    <row r="115" spans="6:38" x14ac:dyDescent="0.75"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</row>
    <row r="116" spans="6:38" x14ac:dyDescent="0.75"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</row>
    <row r="117" spans="6:38" x14ac:dyDescent="0.75"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</row>
    <row r="118" spans="6:38" x14ac:dyDescent="0.75"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</row>
    <row r="119" spans="6:38" x14ac:dyDescent="0.75"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</row>
    <row r="120" spans="6:38" x14ac:dyDescent="0.75"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</row>
    <row r="121" spans="6:38" x14ac:dyDescent="0.75"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</row>
    <row r="122" spans="6:38" x14ac:dyDescent="0.75"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</row>
    <row r="123" spans="6:38" x14ac:dyDescent="0.75"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</row>
    <row r="124" spans="6:38" x14ac:dyDescent="0.75"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</row>
    <row r="125" spans="6:38" x14ac:dyDescent="0.75"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</row>
    <row r="126" spans="6:38" x14ac:dyDescent="0.75"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</row>
    <row r="127" spans="6:38" x14ac:dyDescent="0.75"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</row>
    <row r="128" spans="6:38" x14ac:dyDescent="0.75"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</row>
    <row r="129" spans="6:38" x14ac:dyDescent="0.75"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</row>
    <row r="130" spans="6:38" x14ac:dyDescent="0.75"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</row>
    <row r="131" spans="6:38" x14ac:dyDescent="0.75"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</row>
    <row r="132" spans="6:38" x14ac:dyDescent="0.75"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</row>
    <row r="133" spans="6:38" x14ac:dyDescent="0.75"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</row>
    <row r="134" spans="6:38" x14ac:dyDescent="0.75"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</row>
    <row r="135" spans="6:38" x14ac:dyDescent="0.75"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</row>
    <row r="136" spans="6:38" x14ac:dyDescent="0.75"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</row>
    <row r="137" spans="6:38" x14ac:dyDescent="0.75"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</row>
    <row r="138" spans="6:38" x14ac:dyDescent="0.75"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</row>
    <row r="139" spans="6:38" x14ac:dyDescent="0.7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</row>
    <row r="140" spans="6:38" x14ac:dyDescent="0.7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</row>
    <row r="141" spans="6:38" x14ac:dyDescent="0.7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</row>
    <row r="142" spans="6:38" x14ac:dyDescent="0.7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</row>
    <row r="143" spans="6:38" x14ac:dyDescent="0.75"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</row>
    <row r="144" spans="6:38" x14ac:dyDescent="0.75"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</row>
    <row r="145" spans="6:38" x14ac:dyDescent="0.75"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</row>
    <row r="146" spans="6:38" x14ac:dyDescent="0.75"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</row>
    <row r="147" spans="6:38" x14ac:dyDescent="0.75"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</row>
    <row r="148" spans="6:38" x14ac:dyDescent="0.75"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</row>
    <row r="149" spans="6:38" x14ac:dyDescent="0.75"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</row>
    <row r="150" spans="6:38" x14ac:dyDescent="0.7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</row>
    <row r="151" spans="6:38" x14ac:dyDescent="0.7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</row>
    <row r="152" spans="6:38" x14ac:dyDescent="0.7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</row>
    <row r="153" spans="6:38" x14ac:dyDescent="0.7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</row>
    <row r="154" spans="6:38" x14ac:dyDescent="0.75"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</row>
    <row r="155" spans="6:38" x14ac:dyDescent="0.75"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</row>
    <row r="156" spans="6:38" x14ac:dyDescent="0.75"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</row>
    <row r="157" spans="6:38" x14ac:dyDescent="0.75"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</row>
    <row r="158" spans="6:38" x14ac:dyDescent="0.75"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</row>
    <row r="159" spans="6:38" x14ac:dyDescent="0.75"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</row>
    <row r="160" spans="6:38" x14ac:dyDescent="0.75"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</row>
    <row r="161" spans="6:38" x14ac:dyDescent="0.75"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</row>
    <row r="162" spans="6:38" x14ac:dyDescent="0.75"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</row>
    <row r="163" spans="6:38" x14ac:dyDescent="0.75"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</row>
    <row r="164" spans="6:38" x14ac:dyDescent="0.75"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</row>
    <row r="165" spans="6:38" x14ac:dyDescent="0.75"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</row>
    <row r="166" spans="6:38" x14ac:dyDescent="0.75"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</row>
    <row r="167" spans="6:38" x14ac:dyDescent="0.75"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</row>
    <row r="168" spans="6:38" x14ac:dyDescent="0.75"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</row>
    <row r="169" spans="6:38" x14ac:dyDescent="0.75"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</row>
    <row r="170" spans="6:38" x14ac:dyDescent="0.75"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</row>
    <row r="171" spans="6:38" x14ac:dyDescent="0.75"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</row>
    <row r="172" spans="6:38" x14ac:dyDescent="0.75"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</row>
    <row r="173" spans="6:38" x14ac:dyDescent="0.75"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</row>
    <row r="174" spans="6:38" x14ac:dyDescent="0.75"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</row>
    <row r="175" spans="6:38" x14ac:dyDescent="0.75"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</row>
    <row r="176" spans="6:38" x14ac:dyDescent="0.75"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</row>
    <row r="177" spans="6:38" x14ac:dyDescent="0.75"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</row>
    <row r="178" spans="6:38" x14ac:dyDescent="0.75"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</row>
    <row r="179" spans="6:38" x14ac:dyDescent="0.75"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</row>
    <row r="180" spans="6:38" x14ac:dyDescent="0.75"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</row>
    <row r="181" spans="6:38" x14ac:dyDescent="0.75"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</row>
    <row r="182" spans="6:38" x14ac:dyDescent="0.75"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</row>
    <row r="183" spans="6:38" x14ac:dyDescent="0.75"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</row>
    <row r="184" spans="6:38" x14ac:dyDescent="0.75"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</row>
    <row r="185" spans="6:38" x14ac:dyDescent="0.75"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</row>
    <row r="186" spans="6:38" x14ac:dyDescent="0.75"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A3BD-2296-4197-AF51-BEFD8577EE46}">
  <dimension ref="A2:AL185"/>
  <sheetViews>
    <sheetView workbookViewId="0">
      <pane xSplit="5" ySplit="9" topLeftCell="X16" activePane="bottomRight" state="frozen"/>
      <selection pane="topRight" activeCell="F1" sqref="F1"/>
      <selection pane="bottomLeft" activeCell="A10" sqref="A10"/>
      <selection pane="bottomRight" activeCell="AA18" sqref="AA18"/>
    </sheetView>
  </sheetViews>
  <sheetFormatPr defaultRowHeight="14.75" x14ac:dyDescent="0.75"/>
  <cols>
    <col min="1" max="2" width="4.7265625" style="56" customWidth="1"/>
    <col min="3" max="3" width="33.26953125" customWidth="1"/>
    <col min="4" max="5" width="14.54296875" customWidth="1"/>
    <col min="6" max="12" width="17.26953125" customWidth="1"/>
    <col min="13" max="13" width="17.26953125" style="56" customWidth="1"/>
    <col min="14" max="21" width="17.26953125" customWidth="1"/>
    <col min="22" max="22" width="17.26953125" style="113" customWidth="1"/>
    <col min="23" max="25" width="17.26953125" customWidth="1"/>
    <col min="26" max="26" width="17.26953125" style="85" customWidth="1"/>
    <col min="27" max="27" width="17.26953125" style="106" customWidth="1"/>
    <col min="28" max="28" width="17.26953125" style="113" customWidth="1"/>
    <col min="29" max="30" width="17.26953125" style="119" customWidth="1"/>
    <col min="31" max="33" width="17.26953125" customWidth="1"/>
    <col min="34" max="34" width="17.26953125" style="56" customWidth="1"/>
    <col min="35" max="35" width="17.26953125" customWidth="1"/>
    <col min="36" max="36" width="5" customWidth="1"/>
    <col min="37" max="37" width="13.40625" customWidth="1"/>
  </cols>
  <sheetData>
    <row r="2" spans="1:38" x14ac:dyDescent="0.75">
      <c r="C2" s="85"/>
      <c r="Y2" s="85"/>
    </row>
    <row r="3" spans="1:38" x14ac:dyDescent="0.75">
      <c r="AA3" s="35" t="s">
        <v>1055</v>
      </c>
      <c r="AB3" s="35" t="s">
        <v>1055</v>
      </c>
      <c r="AC3" s="35"/>
      <c r="AD3" s="35"/>
    </row>
    <row r="4" spans="1:38" x14ac:dyDescent="0.75">
      <c r="M4" s="35" t="s">
        <v>923</v>
      </c>
      <c r="R4" s="35" t="s">
        <v>902</v>
      </c>
      <c r="S4" s="35" t="s">
        <v>904</v>
      </c>
      <c r="T4" s="35" t="s">
        <v>906</v>
      </c>
      <c r="U4" s="35" t="s">
        <v>907</v>
      </c>
      <c r="V4" s="35" t="s">
        <v>907</v>
      </c>
      <c r="W4" s="35" t="s">
        <v>909</v>
      </c>
      <c r="X4" s="35" t="s">
        <v>909</v>
      </c>
      <c r="Y4" s="35" t="s">
        <v>912</v>
      </c>
      <c r="Z4" s="35" t="s">
        <v>970</v>
      </c>
      <c r="AA4" s="35" t="s">
        <v>1054</v>
      </c>
      <c r="AB4" s="35" t="s">
        <v>1054</v>
      </c>
      <c r="AC4" s="35"/>
      <c r="AD4" s="35"/>
      <c r="AE4" s="35" t="s">
        <v>913</v>
      </c>
      <c r="AF4" s="35" t="s">
        <v>418</v>
      </c>
      <c r="AH4" s="35" t="s">
        <v>931</v>
      </c>
      <c r="AI4" s="35" t="s">
        <v>916</v>
      </c>
    </row>
    <row r="5" spans="1:38" x14ac:dyDescent="0.75">
      <c r="F5" s="35" t="s">
        <v>388</v>
      </c>
      <c r="G5" s="35" t="s">
        <v>892</v>
      </c>
      <c r="H5" s="35" t="s">
        <v>893</v>
      </c>
      <c r="I5" s="35" t="s">
        <v>894</v>
      </c>
      <c r="J5" s="35" t="s">
        <v>895</v>
      </c>
      <c r="K5" s="35" t="s">
        <v>896</v>
      </c>
      <c r="L5" s="35" t="s">
        <v>498</v>
      </c>
      <c r="M5" s="35" t="s">
        <v>924</v>
      </c>
      <c r="N5" s="35" t="s">
        <v>897</v>
      </c>
      <c r="O5" s="35" t="s">
        <v>898</v>
      </c>
      <c r="P5" s="35" t="s">
        <v>899</v>
      </c>
      <c r="Q5" s="35" t="s">
        <v>900</v>
      </c>
      <c r="R5" s="35" t="s">
        <v>903</v>
      </c>
      <c r="S5" s="35" t="s">
        <v>905</v>
      </c>
      <c r="T5" s="35" t="s">
        <v>1</v>
      </c>
      <c r="U5" s="35" t="s">
        <v>908</v>
      </c>
      <c r="V5" s="35" t="s">
        <v>1063</v>
      </c>
      <c r="W5" s="35" t="s">
        <v>910</v>
      </c>
      <c r="X5" s="35" t="s">
        <v>1079</v>
      </c>
      <c r="Y5" s="35" t="s">
        <v>905</v>
      </c>
      <c r="Z5" s="35" t="s">
        <v>971</v>
      </c>
      <c r="AA5" s="35" t="s">
        <v>908</v>
      </c>
      <c r="AB5" s="35" t="s">
        <v>1063</v>
      </c>
      <c r="AC5" s="35" t="s">
        <v>1092</v>
      </c>
      <c r="AD5" s="35" t="s">
        <v>1093</v>
      </c>
      <c r="AE5" s="35" t="s">
        <v>914</v>
      </c>
      <c r="AF5" s="35" t="s">
        <v>914</v>
      </c>
      <c r="AG5" s="35" t="s">
        <v>915</v>
      </c>
      <c r="AH5" s="35" t="s">
        <v>914</v>
      </c>
      <c r="AI5" s="35" t="s">
        <v>917</v>
      </c>
    </row>
    <row r="6" spans="1:38" x14ac:dyDescent="0.75">
      <c r="E6" s="68">
        <f>'Balance Sheets'!H5</f>
        <v>43404</v>
      </c>
      <c r="F6" s="32">
        <f>'Balance Sheets'!$H$8</f>
        <v>392547</v>
      </c>
      <c r="G6" s="32">
        <f>'Balance Sheets'!$H$9</f>
        <v>27548</v>
      </c>
      <c r="H6" s="32">
        <f>'Balance Sheets'!$H$10</f>
        <v>0</v>
      </c>
      <c r="I6" s="32">
        <f>'Balance Sheets'!$H$11</f>
        <v>0</v>
      </c>
      <c r="J6" s="32">
        <f>'Balance Sheets'!$H$12</f>
        <v>16000</v>
      </c>
      <c r="K6" s="32">
        <f>'Balance Sheets'!$H$16</f>
        <v>101216</v>
      </c>
      <c r="L6" s="32">
        <f>'Balance Sheets'!$H$17</f>
        <v>9754</v>
      </c>
      <c r="M6" s="32">
        <f>'Balance Sheets'!$H$18</f>
        <v>0</v>
      </c>
      <c r="N6" s="32">
        <f>'Balance Sheets'!$H$19</f>
        <v>0</v>
      </c>
      <c r="O6" s="32">
        <f>'Balance Sheets'!$H$20</f>
        <v>0</v>
      </c>
      <c r="P6" s="32">
        <f>-'Balance Sheets'!$H$27</f>
        <v>-40031</v>
      </c>
      <c r="Q6" s="32">
        <f>-'Balance Sheets'!$H$28</f>
        <v>-9000</v>
      </c>
      <c r="R6" s="32">
        <f>-'Balance Sheets'!$H$29</f>
        <v>-45278</v>
      </c>
      <c r="S6" s="32">
        <f>-'Balance Sheets'!$H$30</f>
        <v>-21411</v>
      </c>
      <c r="T6" s="32">
        <f>-'Balance Sheets'!$H$32</f>
        <v>0</v>
      </c>
      <c r="U6" s="32">
        <f>-'Balance Sheets'!$H$33</f>
        <v>-24673</v>
      </c>
      <c r="V6" s="32">
        <f>-'Balance Sheets'!$H$34</f>
        <v>-8467</v>
      </c>
      <c r="W6" s="32">
        <f>-'Balance Sheets'!$H$36</f>
        <v>0</v>
      </c>
      <c r="X6" s="32">
        <f>-'Balance Sheets'!$H$37</f>
        <v>0</v>
      </c>
      <c r="Y6" s="32">
        <f>-'Balance Sheets'!$H$42</f>
        <v>-52121</v>
      </c>
      <c r="Z6" s="32">
        <f>-'Balance Sheets'!$H$43</f>
        <v>0</v>
      </c>
      <c r="AA6" s="32">
        <f>-'Balance Sheets'!$H$46</f>
        <v>-237381</v>
      </c>
      <c r="AB6" s="32">
        <f>-'Balance Sheets'!$H$47</f>
        <v>-144231</v>
      </c>
      <c r="AC6" s="32">
        <f>-'Balance Sheets'!$H$48</f>
        <v>-663034</v>
      </c>
      <c r="AD6" s="32">
        <f>-'Balance Sheets'!$H$49</f>
        <v>-1221958</v>
      </c>
      <c r="AE6" s="32">
        <f>-'Balance Sheets'!$H$59</f>
        <v>0</v>
      </c>
      <c r="AF6" s="32">
        <f>-'Balance Sheets'!$H$61</f>
        <v>-46244</v>
      </c>
      <c r="AG6" s="32">
        <f>-'Balance Sheets'!$H$62</f>
        <v>-7228587</v>
      </c>
      <c r="AH6" s="32">
        <f>-'Balance Sheets'!$H$63</f>
        <v>30000</v>
      </c>
      <c r="AI6" s="32">
        <f>-'Balance Sheets'!$H$64</f>
        <v>9165351</v>
      </c>
      <c r="AJ6" s="32"/>
      <c r="AK6" s="32">
        <f>SUM(F6:AJ6)</f>
        <v>0</v>
      </c>
      <c r="AL6" s="32"/>
    </row>
    <row r="7" spans="1:38" x14ac:dyDescent="0.75">
      <c r="E7" s="68">
        <f>'Balance Sheets'!F5</f>
        <v>43769</v>
      </c>
      <c r="F7" s="32">
        <f>'Balance Sheets'!$F$8</f>
        <v>118624</v>
      </c>
      <c r="G7" s="32">
        <f>'Balance Sheets'!$F$9</f>
        <v>44569</v>
      </c>
      <c r="H7" s="32">
        <f>'Balance Sheets'!$F$10</f>
        <v>129800</v>
      </c>
      <c r="I7" s="32">
        <f>'Balance Sheets'!$F$11</f>
        <v>0</v>
      </c>
      <c r="J7" s="32">
        <f>'Balance Sheets'!$F$12</f>
        <v>13000</v>
      </c>
      <c r="K7" s="32">
        <f>'Balance Sheets'!$F$16</f>
        <v>196271</v>
      </c>
      <c r="L7" s="32">
        <f>'Balance Sheets'!$F$17</f>
        <v>0</v>
      </c>
      <c r="M7" s="32">
        <f>'Balance Sheets'!$F$18</f>
        <v>62155</v>
      </c>
      <c r="N7" s="32">
        <f>'Balance Sheets'!$F$19</f>
        <v>0</v>
      </c>
      <c r="O7" s="32">
        <f>'Balance Sheets'!$F$20</f>
        <v>0</v>
      </c>
      <c r="P7" s="32">
        <f>-'Balance Sheets'!$F$27</f>
        <v>-31667</v>
      </c>
      <c r="Q7" s="32">
        <f>-'Balance Sheets'!$F$28</f>
        <v>-20456</v>
      </c>
      <c r="R7" s="32">
        <f>-'Balance Sheets'!$F$29</f>
        <v>-78340</v>
      </c>
      <c r="S7" s="32">
        <f>-'Balance Sheets'!$F$30</f>
        <v>-41193</v>
      </c>
      <c r="T7" s="32">
        <f>-'Balance Sheets'!$F$32</f>
        <v>0</v>
      </c>
      <c r="U7" s="32">
        <f>-'Balance Sheets'!$F$33</f>
        <v>-45561</v>
      </c>
      <c r="V7" s="32">
        <f>-'Balance Sheets'!$F$34</f>
        <v>-69239</v>
      </c>
      <c r="W7" s="32">
        <f>-'Balance Sheets'!$F$36</f>
        <v>0</v>
      </c>
      <c r="X7" s="32">
        <f>-'Balance Sheets'!$F$37</f>
        <v>0</v>
      </c>
      <c r="Y7" s="32">
        <f>-'Balance Sheets'!$F$42</f>
        <v>-143199</v>
      </c>
      <c r="Z7" s="32">
        <f>-'Balance Sheets'!$F$43-'Balance Sheets'!F31</f>
        <v>-62155</v>
      </c>
      <c r="AA7" s="32">
        <f>-'Balance Sheets'!$F$46</f>
        <v>-229118</v>
      </c>
      <c r="AB7" s="32">
        <f>-'Balance Sheets'!$F$47</f>
        <v>-297070</v>
      </c>
      <c r="AC7" s="32">
        <f>-'Balance Sheets'!$F$48</f>
        <v>-730110</v>
      </c>
      <c r="AD7" s="32">
        <f>-'Balance Sheets'!$F$49</f>
        <v>-1221958</v>
      </c>
      <c r="AE7" s="32">
        <f>-'Balance Sheets'!$F$59</f>
        <v>0</v>
      </c>
      <c r="AF7" s="32">
        <f>-'Balance Sheets'!$F$61</f>
        <v>-46290</v>
      </c>
      <c r="AG7" s="32">
        <f>-'Balance Sheets'!$F$62</f>
        <v>-7407220</v>
      </c>
      <c r="AH7" s="32">
        <f>-'Balance Sheets'!$F$63</f>
        <v>84000</v>
      </c>
      <c r="AI7" s="32">
        <f>-'Balance Sheets'!$F$64</f>
        <v>9775157</v>
      </c>
      <c r="AJ7" s="32"/>
      <c r="AK7" s="32">
        <f>SUM(F7:AJ7)</f>
        <v>0</v>
      </c>
      <c r="AL7" s="32"/>
    </row>
    <row r="8" spans="1:38" x14ac:dyDescent="0.75">
      <c r="F8" s="69">
        <f>F7-F6</f>
        <v>-273923</v>
      </c>
      <c r="G8" s="69">
        <f>G6-G7</f>
        <v>-17021</v>
      </c>
      <c r="H8" s="69">
        <f t="shared" ref="H8:AI8" si="0">H6-H7</f>
        <v>-129800</v>
      </c>
      <c r="I8" s="69">
        <f t="shared" si="0"/>
        <v>0</v>
      </c>
      <c r="J8" s="69">
        <f t="shared" si="0"/>
        <v>3000</v>
      </c>
      <c r="K8" s="69">
        <f t="shared" si="0"/>
        <v>-95055</v>
      </c>
      <c r="L8" s="69">
        <f t="shared" si="0"/>
        <v>9754</v>
      </c>
      <c r="M8" s="69">
        <f t="shared" si="0"/>
        <v>-62155</v>
      </c>
      <c r="N8" s="69">
        <f t="shared" si="0"/>
        <v>0</v>
      </c>
      <c r="O8" s="69">
        <f t="shared" si="0"/>
        <v>0</v>
      </c>
      <c r="P8" s="69">
        <f t="shared" si="0"/>
        <v>-8364</v>
      </c>
      <c r="Q8" s="69">
        <f t="shared" si="0"/>
        <v>11456</v>
      </c>
      <c r="R8" s="69">
        <f t="shared" si="0"/>
        <v>33062</v>
      </c>
      <c r="S8" s="69">
        <f t="shared" si="0"/>
        <v>19782</v>
      </c>
      <c r="T8" s="69">
        <f t="shared" si="0"/>
        <v>0</v>
      </c>
      <c r="U8" s="69">
        <f t="shared" si="0"/>
        <v>20888</v>
      </c>
      <c r="V8" s="69">
        <f t="shared" si="0"/>
        <v>60772</v>
      </c>
      <c r="W8" s="69">
        <f t="shared" si="0"/>
        <v>0</v>
      </c>
      <c r="X8" s="69">
        <f t="shared" si="0"/>
        <v>0</v>
      </c>
      <c r="Y8" s="69">
        <f t="shared" si="0"/>
        <v>91078</v>
      </c>
      <c r="Z8" s="69">
        <f t="shared" si="0"/>
        <v>62155</v>
      </c>
      <c r="AA8" s="69">
        <f t="shared" si="0"/>
        <v>-8263</v>
      </c>
      <c r="AB8" s="69">
        <f t="shared" si="0"/>
        <v>152839</v>
      </c>
      <c r="AC8" s="69">
        <f t="shared" si="0"/>
        <v>67076</v>
      </c>
      <c r="AD8" s="69">
        <f t="shared" si="0"/>
        <v>0</v>
      </c>
      <c r="AE8" s="69">
        <f t="shared" si="0"/>
        <v>0</v>
      </c>
      <c r="AF8" s="107">
        <f t="shared" si="0"/>
        <v>46</v>
      </c>
      <c r="AG8" s="69">
        <f t="shared" si="0"/>
        <v>178633</v>
      </c>
      <c r="AH8" s="69">
        <f t="shared" si="0"/>
        <v>-54000</v>
      </c>
      <c r="AI8" s="69">
        <f t="shared" si="0"/>
        <v>-609806</v>
      </c>
      <c r="AJ8" s="32"/>
      <c r="AK8" s="32"/>
      <c r="AL8" s="32"/>
    </row>
    <row r="9" spans="1:38" x14ac:dyDescent="0.75"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</row>
    <row r="10" spans="1:38" x14ac:dyDescent="0.75">
      <c r="A10" s="56" t="s">
        <v>879</v>
      </c>
      <c r="C10" s="56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</row>
    <row r="11" spans="1:38" x14ac:dyDescent="0.75">
      <c r="B11" s="56" t="s">
        <v>880</v>
      </c>
      <c r="C11" s="56"/>
      <c r="E11" s="70">
        <f t="shared" ref="E11:E36" si="1">SUM(F11:AJ11)</f>
        <v>-609806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>
        <f>AI8</f>
        <v>-609806</v>
      </c>
      <c r="AJ11" s="32"/>
      <c r="AK11" s="32"/>
      <c r="AL11" s="32"/>
    </row>
    <row r="12" spans="1:38" x14ac:dyDescent="0.75">
      <c r="C12" s="56"/>
      <c r="E12" s="70">
        <f t="shared" si="1"/>
        <v>0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</row>
    <row r="13" spans="1:38" x14ac:dyDescent="0.75">
      <c r="B13" s="56" t="s">
        <v>881</v>
      </c>
      <c r="C13" s="56"/>
      <c r="E13" s="70">
        <f t="shared" si="1"/>
        <v>0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</row>
    <row r="14" spans="1:38" x14ac:dyDescent="0.75">
      <c r="C14" t="s">
        <v>882</v>
      </c>
      <c r="E14" s="70">
        <f t="shared" si="1"/>
        <v>43600</v>
      </c>
      <c r="F14" s="32"/>
      <c r="G14" s="32"/>
      <c r="H14" s="32"/>
      <c r="I14" s="32"/>
      <c r="J14" s="32"/>
      <c r="K14" s="32">
        <f>ROUND('Q4 TB-19'!G161,0)</f>
        <v>43600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</row>
    <row r="15" spans="1:38" x14ac:dyDescent="0.75">
      <c r="C15" t="s">
        <v>883</v>
      </c>
      <c r="E15" s="70">
        <f t="shared" si="1"/>
        <v>9754</v>
      </c>
      <c r="F15" s="32"/>
      <c r="G15" s="32"/>
      <c r="H15" s="32"/>
      <c r="I15" s="32"/>
      <c r="J15" s="32"/>
      <c r="K15" s="32"/>
      <c r="L15" s="32">
        <f>ROUND('Q4 TB-19'!G150,0)</f>
        <v>9754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</row>
    <row r="16" spans="1:38" s="120" customFormat="1" x14ac:dyDescent="0.75">
      <c r="C16" s="120" t="s">
        <v>1059</v>
      </c>
      <c r="E16" s="70">
        <f t="shared" si="1"/>
        <v>1746</v>
      </c>
      <c r="F16" s="32"/>
      <c r="G16" s="32">
        <f>'Q4 TB-19'!G152</f>
        <v>1746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</row>
    <row r="17" spans="2:38" s="120" customFormat="1" x14ac:dyDescent="0.75">
      <c r="C17" s="120" t="s">
        <v>1108</v>
      </c>
      <c r="E17" s="70">
        <f t="shared" si="1"/>
        <v>18016</v>
      </c>
      <c r="F17" s="32"/>
      <c r="G17" s="32"/>
      <c r="H17" s="32"/>
      <c r="I17" s="32"/>
      <c r="J17" s="32"/>
      <c r="K17" s="32"/>
      <c r="L17" s="32"/>
      <c r="M17" s="32">
        <f>18016</f>
        <v>18016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</row>
    <row r="18" spans="2:38" s="97" customFormat="1" x14ac:dyDescent="0.75">
      <c r="C18" s="97" t="s">
        <v>1016</v>
      </c>
      <c r="E18" s="70">
        <f t="shared" si="1"/>
        <v>144576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>
        <f>AA8-AA48-AA51</f>
        <v>-8263</v>
      </c>
      <c r="AB18" s="32">
        <f>AB8-AB49-AB51</f>
        <v>152839</v>
      </c>
      <c r="AC18" s="32"/>
      <c r="AD18" s="32"/>
      <c r="AE18" s="32"/>
      <c r="AF18" s="32"/>
      <c r="AG18" s="32"/>
      <c r="AH18" s="32"/>
      <c r="AI18" s="32"/>
      <c r="AJ18" s="32"/>
      <c r="AK18" s="32"/>
      <c r="AL18" s="32"/>
    </row>
    <row r="19" spans="2:38" x14ac:dyDescent="0.75">
      <c r="C19" t="s">
        <v>1010</v>
      </c>
      <c r="E19" s="70">
        <f t="shared" si="1"/>
        <v>69479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74">
        <v>69479</v>
      </c>
      <c r="AH19" s="32"/>
      <c r="AI19" s="32"/>
      <c r="AJ19" s="32"/>
      <c r="AK19" s="32"/>
      <c r="AL19" s="32"/>
    </row>
    <row r="20" spans="2:38" s="103" customFormat="1" x14ac:dyDescent="0.75">
      <c r="C20" s="103" t="s">
        <v>1039</v>
      </c>
      <c r="E20" s="70">
        <f t="shared" si="1"/>
        <v>9200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74">
        <f>AF8</f>
        <v>46</v>
      </c>
      <c r="AG20" s="74">
        <f>AG8-AG19-AG51</f>
        <v>9154</v>
      </c>
      <c r="AH20" s="32"/>
      <c r="AI20" s="32"/>
      <c r="AJ20" s="32"/>
      <c r="AK20" s="32"/>
      <c r="AL20" s="32"/>
    </row>
    <row r="21" spans="2:38" x14ac:dyDescent="0.75">
      <c r="E21" s="70">
        <f t="shared" si="1"/>
        <v>0</v>
      </c>
      <c r="F21" s="32"/>
      <c r="G21" s="32"/>
      <c r="H21" s="32"/>
      <c r="I21" s="32"/>
      <c r="J21" s="32"/>
      <c r="K21" s="32"/>
      <c r="L21" s="32"/>
      <c r="M21" s="32">
        <f>M8-M17</f>
        <v>-80171</v>
      </c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>
        <f>Z8-Z29</f>
        <v>80171</v>
      </c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2:38" x14ac:dyDescent="0.75">
      <c r="B22" s="56" t="s">
        <v>885</v>
      </c>
      <c r="E22" s="70">
        <f t="shared" si="1"/>
        <v>0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2:38" x14ac:dyDescent="0.75">
      <c r="C23" t="s">
        <v>886</v>
      </c>
      <c r="E23" s="70">
        <f t="shared" si="1"/>
        <v>-18767</v>
      </c>
      <c r="F23" s="32"/>
      <c r="G23" s="32">
        <f>G8-G16</f>
        <v>-18767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2:38" x14ac:dyDescent="0.75">
      <c r="C24" t="s">
        <v>887</v>
      </c>
      <c r="E24" s="70">
        <f t="shared" si="1"/>
        <v>-129800</v>
      </c>
      <c r="F24" s="32"/>
      <c r="G24" s="32"/>
      <c r="H24" s="32">
        <f>H8</f>
        <v>-129800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2:38" x14ac:dyDescent="0.75">
      <c r="C25" t="s">
        <v>894</v>
      </c>
      <c r="E25" s="70">
        <f t="shared" si="1"/>
        <v>0</v>
      </c>
      <c r="F25" s="32"/>
      <c r="G25" s="32"/>
      <c r="H25" s="32"/>
      <c r="I25" s="32">
        <f>I8</f>
        <v>0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2:38" x14ac:dyDescent="0.75">
      <c r="C26" t="s">
        <v>888</v>
      </c>
      <c r="E26" s="70">
        <f t="shared" si="1"/>
        <v>3000</v>
      </c>
      <c r="F26" s="32"/>
      <c r="G26" s="32"/>
      <c r="H26" s="32"/>
      <c r="I26" s="32"/>
      <c r="J26" s="32">
        <f>J8</f>
        <v>3000</v>
      </c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2:38" x14ac:dyDescent="0.75">
      <c r="C27" t="s">
        <v>517</v>
      </c>
      <c r="E27" s="70">
        <f t="shared" si="1"/>
        <v>-8364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>
        <f>P8</f>
        <v>-8364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2:38" x14ac:dyDescent="0.75">
      <c r="C28" s="56" t="s">
        <v>889</v>
      </c>
      <c r="E28" s="70">
        <f t="shared" si="1"/>
        <v>11456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>
        <f>Q8</f>
        <v>11456</v>
      </c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2:38" s="120" customFormat="1" x14ac:dyDescent="0.75">
      <c r="C29" s="120" t="s">
        <v>1107</v>
      </c>
      <c r="E29" s="70">
        <f t="shared" si="1"/>
        <v>-18016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>
        <f>-M17</f>
        <v>-18016</v>
      </c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2:38" x14ac:dyDescent="0.75">
      <c r="C30" t="s">
        <v>412</v>
      </c>
      <c r="E30" s="70">
        <f t="shared" si="1"/>
        <v>53062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>
        <f>R8-R49</f>
        <v>53062</v>
      </c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2:38" x14ac:dyDescent="0.75">
      <c r="C31" t="s">
        <v>890</v>
      </c>
      <c r="E31" s="70">
        <f t="shared" si="1"/>
        <v>20888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>
        <f>U8-U48</f>
        <v>20888</v>
      </c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2:38" s="113" customFormat="1" x14ac:dyDescent="0.75">
      <c r="C32" s="113" t="s">
        <v>1064</v>
      </c>
      <c r="E32" s="70">
        <f t="shared" si="1"/>
        <v>127848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>
        <f>V8</f>
        <v>60772</v>
      </c>
      <c r="W32" s="32"/>
      <c r="X32" s="32"/>
      <c r="Y32" s="32"/>
      <c r="Z32" s="32"/>
      <c r="AA32" s="32"/>
      <c r="AB32" s="32"/>
      <c r="AC32" s="32">
        <f>AC8</f>
        <v>67076</v>
      </c>
      <c r="AD32" s="32"/>
      <c r="AE32" s="32"/>
      <c r="AF32" s="32"/>
      <c r="AG32" s="32"/>
      <c r="AH32" s="32"/>
      <c r="AI32" s="32"/>
      <c r="AJ32" s="32"/>
      <c r="AK32" s="32"/>
      <c r="AL32" s="32"/>
    </row>
    <row r="33" spans="1:38" x14ac:dyDescent="0.75">
      <c r="C33" t="s">
        <v>891</v>
      </c>
      <c r="E33" s="70">
        <f t="shared" si="1"/>
        <v>0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>
        <f>W8</f>
        <v>0</v>
      </c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1:38" s="118" customFormat="1" x14ac:dyDescent="0.75">
      <c r="C34" s="118" t="s">
        <v>1078</v>
      </c>
      <c r="E34" s="70">
        <f t="shared" si="1"/>
        <v>0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>
        <f>X8</f>
        <v>0</v>
      </c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1:38" x14ac:dyDescent="0.75">
      <c r="E35" s="70">
        <f t="shared" si="1"/>
        <v>0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1:38" x14ac:dyDescent="0.75">
      <c r="B36" s="56" t="s">
        <v>918</v>
      </c>
      <c r="D36" s="70">
        <f>SUM(E11:E36)</f>
        <v>-272128</v>
      </c>
      <c r="E36" s="70">
        <f t="shared" si="1"/>
        <v>0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1:38" x14ac:dyDescent="0.75">
      <c r="E37" s="70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1:38" x14ac:dyDescent="0.75">
      <c r="A38" s="56" t="s">
        <v>919</v>
      </c>
      <c r="E38" s="70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1:38" x14ac:dyDescent="0.75">
      <c r="B39" s="56" t="s">
        <v>896</v>
      </c>
      <c r="C39" s="56"/>
      <c r="E39" s="70">
        <f t="shared" ref="E39:E54" si="2">SUM(F39:AJ39)</f>
        <v>-6384.070000000007</v>
      </c>
      <c r="F39" s="32"/>
      <c r="G39" s="32"/>
      <c r="H39" s="32"/>
      <c r="I39" s="32"/>
      <c r="J39" s="32"/>
      <c r="K39" s="32">
        <f>K8-K14</f>
        <v>-138655</v>
      </c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74">
        <f>16402.79+28655.14+87213</f>
        <v>132270.93</v>
      </c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1:38" x14ac:dyDescent="0.75">
      <c r="B40" s="56" t="s">
        <v>498</v>
      </c>
      <c r="C40" s="56"/>
      <c r="E40" s="70">
        <f t="shared" si="2"/>
        <v>0</v>
      </c>
      <c r="F40" s="32"/>
      <c r="G40" s="32"/>
      <c r="H40" s="32"/>
      <c r="I40" s="32"/>
      <c r="J40" s="32"/>
      <c r="K40" s="32"/>
      <c r="L40" s="32">
        <f>L8-L15</f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1:38" x14ac:dyDescent="0.75">
      <c r="E41" s="70">
        <f t="shared" si="2"/>
        <v>0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1:38" x14ac:dyDescent="0.75">
      <c r="B42" s="56" t="s">
        <v>926</v>
      </c>
      <c r="C42" s="56"/>
      <c r="D42" s="70">
        <f>SUM(E39:E42)</f>
        <v>-6384.070000000007</v>
      </c>
      <c r="E42" s="70">
        <f t="shared" si="2"/>
        <v>0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1:38" x14ac:dyDescent="0.75">
      <c r="E43" s="70">
        <f t="shared" si="2"/>
        <v>0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1:38" x14ac:dyDescent="0.75">
      <c r="A44" s="56" t="s">
        <v>920</v>
      </c>
      <c r="E44" s="70">
        <f t="shared" si="2"/>
        <v>0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1:38" x14ac:dyDescent="0.75">
      <c r="B45" s="56" t="s">
        <v>928</v>
      </c>
      <c r="E45" s="70">
        <f t="shared" si="2"/>
        <v>0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1:38" x14ac:dyDescent="0.75">
      <c r="B46" s="56" t="s">
        <v>929</v>
      </c>
      <c r="E46" s="70">
        <f t="shared" si="2"/>
        <v>0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1:38" x14ac:dyDescent="0.75">
      <c r="B47" s="56" t="s">
        <v>935</v>
      </c>
      <c r="E47" s="70">
        <f t="shared" si="2"/>
        <v>-54000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>
        <f>AH8</f>
        <v>-54000</v>
      </c>
      <c r="AI47" s="32"/>
      <c r="AJ47" s="32"/>
      <c r="AK47" s="32"/>
      <c r="AL47" s="32"/>
    </row>
    <row r="48" spans="1:38" x14ac:dyDescent="0.75">
      <c r="B48" s="75" t="s">
        <v>936</v>
      </c>
      <c r="C48" s="75"/>
      <c r="E48" s="70">
        <f t="shared" si="2"/>
        <v>10000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>
        <f>100000-100000</f>
        <v>0</v>
      </c>
      <c r="Y48" s="32"/>
      <c r="Z48" s="32"/>
      <c r="AA48" s="32">
        <v>10000</v>
      </c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2:38" s="113" customFormat="1" x14ac:dyDescent="0.75">
      <c r="B49" s="75" t="s">
        <v>1114</v>
      </c>
      <c r="C49" s="75"/>
      <c r="E49" s="70">
        <f t="shared" si="2"/>
        <v>70000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>
        <v>-20000</v>
      </c>
      <c r="S49" s="32"/>
      <c r="T49" s="32"/>
      <c r="U49" s="32"/>
      <c r="V49" s="32"/>
      <c r="W49" s="32"/>
      <c r="X49" s="32"/>
      <c r="Y49" s="32"/>
      <c r="Z49" s="32"/>
      <c r="AA49" s="32"/>
      <c r="AB49" s="32">
        <v>90000</v>
      </c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2:38" x14ac:dyDescent="0.75">
      <c r="B50" s="56" t="s">
        <v>937</v>
      </c>
      <c r="E50" s="70">
        <f t="shared" si="2"/>
        <v>-21410.929999999993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>
        <f>S8</f>
        <v>19782</v>
      </c>
      <c r="T50" s="32"/>
      <c r="U50" s="32"/>
      <c r="V50" s="32"/>
      <c r="W50" s="32"/>
      <c r="X50" s="32"/>
      <c r="Y50" s="87">
        <f>Y8-Y39</f>
        <v>-41192.929999999993</v>
      </c>
      <c r="Z50" s="87"/>
      <c r="AA50" s="87"/>
      <c r="AB50" s="87"/>
      <c r="AC50" s="87"/>
      <c r="AD50" s="87"/>
      <c r="AE50" s="32"/>
      <c r="AF50" s="32"/>
      <c r="AG50" s="32"/>
      <c r="AH50" s="32"/>
      <c r="AI50" s="32"/>
      <c r="AJ50" s="32"/>
      <c r="AK50" s="32"/>
      <c r="AL50" s="32"/>
    </row>
    <row r="51" spans="2:38" x14ac:dyDescent="0.75">
      <c r="E51" s="70">
        <f t="shared" si="2"/>
        <v>0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>
        <v>-10000</v>
      </c>
      <c r="AB51" s="32">
        <v>-90000</v>
      </c>
      <c r="AC51" s="32"/>
      <c r="AD51" s="32"/>
      <c r="AE51" s="32"/>
      <c r="AF51" s="32"/>
      <c r="AG51" s="32">
        <v>100000</v>
      </c>
      <c r="AH51" s="32"/>
      <c r="AI51" s="32"/>
      <c r="AJ51" s="32"/>
      <c r="AK51" s="32"/>
      <c r="AL51" s="32"/>
    </row>
    <row r="52" spans="2:38" x14ac:dyDescent="0.75">
      <c r="E52" s="70">
        <f t="shared" si="2"/>
        <v>0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</row>
    <row r="53" spans="2:38" x14ac:dyDescent="0.75">
      <c r="B53" s="56" t="s">
        <v>925</v>
      </c>
      <c r="D53" s="70">
        <f>SUM(E44:E53)</f>
        <v>4589.070000000007</v>
      </c>
      <c r="E53" s="70">
        <f t="shared" si="2"/>
        <v>0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</row>
    <row r="54" spans="2:38" x14ac:dyDescent="0.75">
      <c r="E54" s="70">
        <f t="shared" si="2"/>
        <v>0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</row>
    <row r="55" spans="2:38" x14ac:dyDescent="0.75">
      <c r="D55" s="71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32"/>
      <c r="AK55" s="32"/>
      <c r="AL55" s="32"/>
    </row>
    <row r="56" spans="2:38" ht="15.5" thickBot="1" x14ac:dyDescent="0.9">
      <c r="B56" s="56" t="s">
        <v>927</v>
      </c>
      <c r="D56" s="73">
        <f>SUM(D11:D55)</f>
        <v>-273923</v>
      </c>
      <c r="E56" s="73">
        <f>SUM(E11:E55)</f>
        <v>-273923</v>
      </c>
      <c r="F56" s="73">
        <f>F8-SUM(F9:F55)</f>
        <v>-273923</v>
      </c>
      <c r="G56" s="73">
        <f t="shared" ref="G56:AI56" si="3">G8-SUM(G9:G55)</f>
        <v>0</v>
      </c>
      <c r="H56" s="73">
        <f t="shared" si="3"/>
        <v>0</v>
      </c>
      <c r="I56" s="73">
        <f t="shared" si="3"/>
        <v>0</v>
      </c>
      <c r="J56" s="73">
        <f t="shared" si="3"/>
        <v>0</v>
      </c>
      <c r="K56" s="73">
        <f t="shared" si="3"/>
        <v>0</v>
      </c>
      <c r="L56" s="73">
        <f t="shared" si="3"/>
        <v>0</v>
      </c>
      <c r="M56" s="73">
        <f t="shared" si="3"/>
        <v>0</v>
      </c>
      <c r="N56" s="73">
        <f t="shared" si="3"/>
        <v>0</v>
      </c>
      <c r="O56" s="73">
        <f t="shared" si="3"/>
        <v>0</v>
      </c>
      <c r="P56" s="73">
        <f t="shared" si="3"/>
        <v>0</v>
      </c>
      <c r="Q56" s="73">
        <f t="shared" si="3"/>
        <v>0</v>
      </c>
      <c r="R56" s="73">
        <f t="shared" si="3"/>
        <v>0</v>
      </c>
      <c r="S56" s="73">
        <f t="shared" si="3"/>
        <v>0</v>
      </c>
      <c r="T56" s="73">
        <f t="shared" si="3"/>
        <v>0</v>
      </c>
      <c r="U56" s="73">
        <f t="shared" si="3"/>
        <v>0</v>
      </c>
      <c r="V56" s="73">
        <f t="shared" si="3"/>
        <v>0</v>
      </c>
      <c r="W56" s="73">
        <f t="shared" si="3"/>
        <v>0</v>
      </c>
      <c r="X56" s="73">
        <f t="shared" si="3"/>
        <v>0</v>
      </c>
      <c r="Y56" s="73">
        <f t="shared" si="3"/>
        <v>0</v>
      </c>
      <c r="Z56" s="73">
        <f t="shared" si="3"/>
        <v>0</v>
      </c>
      <c r="AA56" s="73">
        <f t="shared" si="3"/>
        <v>0</v>
      </c>
      <c r="AB56" s="73">
        <f t="shared" si="3"/>
        <v>0</v>
      </c>
      <c r="AC56" s="73">
        <f t="shared" si="3"/>
        <v>0</v>
      </c>
      <c r="AD56" s="73">
        <f t="shared" si="3"/>
        <v>0</v>
      </c>
      <c r="AE56" s="73">
        <f t="shared" si="3"/>
        <v>0</v>
      </c>
      <c r="AF56" s="73">
        <f t="shared" si="3"/>
        <v>0</v>
      </c>
      <c r="AG56" s="73">
        <f t="shared" si="3"/>
        <v>0</v>
      </c>
      <c r="AH56" s="73">
        <f t="shared" si="3"/>
        <v>0</v>
      </c>
      <c r="AI56" s="73">
        <f t="shared" si="3"/>
        <v>0</v>
      </c>
      <c r="AJ56" s="32"/>
      <c r="AK56" s="32"/>
      <c r="AL56" s="32"/>
    </row>
    <row r="57" spans="2:38" ht="15.5" thickTop="1" x14ac:dyDescent="0.75">
      <c r="E57" s="70"/>
      <c r="F57" s="32">
        <f>E56</f>
        <v>-273923</v>
      </c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</row>
    <row r="58" spans="2:38" x14ac:dyDescent="0.75">
      <c r="E58" s="70"/>
      <c r="F58" s="32">
        <f>F56-F57</f>
        <v>0</v>
      </c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</row>
    <row r="59" spans="2:38" x14ac:dyDescent="0.75">
      <c r="E59" s="70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</row>
    <row r="60" spans="2:38" x14ac:dyDescent="0.75">
      <c r="E60" s="70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</row>
    <row r="61" spans="2:38" x14ac:dyDescent="0.75">
      <c r="E61" s="70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</row>
    <row r="62" spans="2:38" x14ac:dyDescent="0.75">
      <c r="E62" s="70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</row>
    <row r="63" spans="2:38" x14ac:dyDescent="0.75">
      <c r="E63" s="70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</row>
    <row r="64" spans="2:38" x14ac:dyDescent="0.75">
      <c r="E64" s="70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</row>
    <row r="65" spans="5:38" x14ac:dyDescent="0.75">
      <c r="E65" s="70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</row>
    <row r="66" spans="5:38" x14ac:dyDescent="0.75">
      <c r="E66" s="70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</row>
    <row r="67" spans="5:38" x14ac:dyDescent="0.75">
      <c r="E67" s="70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</row>
    <row r="68" spans="5:38" x14ac:dyDescent="0.75">
      <c r="E68" s="70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</row>
    <row r="69" spans="5:38" x14ac:dyDescent="0.75">
      <c r="E69" s="70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</row>
    <row r="70" spans="5:38" x14ac:dyDescent="0.75"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</row>
    <row r="71" spans="5:38" x14ac:dyDescent="0.75"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</row>
    <row r="72" spans="5:38" x14ac:dyDescent="0.75"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</row>
    <row r="73" spans="5:38" x14ac:dyDescent="0.75"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</row>
    <row r="74" spans="5:38" x14ac:dyDescent="0.75"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</row>
    <row r="75" spans="5:38" x14ac:dyDescent="0.75"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</row>
    <row r="76" spans="5:38" x14ac:dyDescent="0.75"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</row>
    <row r="77" spans="5:38" x14ac:dyDescent="0.75"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</row>
    <row r="78" spans="5:38" x14ac:dyDescent="0.75"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</row>
    <row r="79" spans="5:38" x14ac:dyDescent="0.75"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</row>
    <row r="80" spans="5:38" x14ac:dyDescent="0.75"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</row>
    <row r="81" spans="6:38" x14ac:dyDescent="0.75"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</row>
    <row r="82" spans="6:38" x14ac:dyDescent="0.75"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</row>
    <row r="83" spans="6:38" x14ac:dyDescent="0.75"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</row>
    <row r="84" spans="6:38" x14ac:dyDescent="0.75"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</row>
    <row r="85" spans="6:38" x14ac:dyDescent="0.75"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</row>
    <row r="86" spans="6:38" x14ac:dyDescent="0.75"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</row>
    <row r="87" spans="6:38" x14ac:dyDescent="0.75"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</row>
    <row r="88" spans="6:38" x14ac:dyDescent="0.75"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</row>
    <row r="89" spans="6:38" x14ac:dyDescent="0.75"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</row>
    <row r="90" spans="6:38" x14ac:dyDescent="0.75"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</row>
    <row r="91" spans="6:38" x14ac:dyDescent="0.75"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</row>
    <row r="92" spans="6:38" x14ac:dyDescent="0.75"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</row>
    <row r="93" spans="6:38" x14ac:dyDescent="0.75"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</row>
    <row r="94" spans="6:38" x14ac:dyDescent="0.75"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</row>
    <row r="95" spans="6:38" x14ac:dyDescent="0.75"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</row>
    <row r="96" spans="6:38" x14ac:dyDescent="0.75"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</row>
    <row r="97" spans="6:38" x14ac:dyDescent="0.75"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</row>
    <row r="98" spans="6:38" x14ac:dyDescent="0.75"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</row>
    <row r="99" spans="6:38" x14ac:dyDescent="0.75"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</row>
    <row r="100" spans="6:38" x14ac:dyDescent="0.75"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</row>
    <row r="101" spans="6:38" x14ac:dyDescent="0.75"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</row>
    <row r="102" spans="6:38" x14ac:dyDescent="0.75"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</row>
    <row r="103" spans="6:38" x14ac:dyDescent="0.75"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</row>
    <row r="104" spans="6:38" x14ac:dyDescent="0.75"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</row>
    <row r="105" spans="6:38" x14ac:dyDescent="0.75"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</row>
    <row r="106" spans="6:38" x14ac:dyDescent="0.75"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</row>
    <row r="107" spans="6:38" x14ac:dyDescent="0.75"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</row>
    <row r="108" spans="6:38" x14ac:dyDescent="0.75"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</row>
    <row r="109" spans="6:38" x14ac:dyDescent="0.75"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</row>
    <row r="110" spans="6:38" x14ac:dyDescent="0.75"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</row>
    <row r="111" spans="6:38" x14ac:dyDescent="0.75"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</row>
    <row r="112" spans="6:38" x14ac:dyDescent="0.75"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</row>
    <row r="113" spans="6:38" x14ac:dyDescent="0.75"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</row>
    <row r="114" spans="6:38" x14ac:dyDescent="0.75"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</row>
    <row r="115" spans="6:38" x14ac:dyDescent="0.75"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</row>
    <row r="116" spans="6:38" x14ac:dyDescent="0.75"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</row>
    <row r="117" spans="6:38" x14ac:dyDescent="0.75"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</row>
    <row r="118" spans="6:38" x14ac:dyDescent="0.75"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</row>
    <row r="119" spans="6:38" x14ac:dyDescent="0.75"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</row>
    <row r="120" spans="6:38" x14ac:dyDescent="0.75"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</row>
    <row r="121" spans="6:38" x14ac:dyDescent="0.75"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</row>
    <row r="122" spans="6:38" x14ac:dyDescent="0.75"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</row>
    <row r="123" spans="6:38" x14ac:dyDescent="0.75"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</row>
    <row r="124" spans="6:38" x14ac:dyDescent="0.75"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</row>
    <row r="125" spans="6:38" x14ac:dyDescent="0.75"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</row>
    <row r="126" spans="6:38" x14ac:dyDescent="0.75"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</row>
    <row r="127" spans="6:38" x14ac:dyDescent="0.75"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</row>
    <row r="128" spans="6:38" x14ac:dyDescent="0.75"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</row>
    <row r="129" spans="6:38" x14ac:dyDescent="0.75"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</row>
    <row r="130" spans="6:38" x14ac:dyDescent="0.75"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</row>
    <row r="131" spans="6:38" x14ac:dyDescent="0.75"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</row>
    <row r="132" spans="6:38" x14ac:dyDescent="0.75"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</row>
    <row r="133" spans="6:38" x14ac:dyDescent="0.75"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</row>
    <row r="134" spans="6:38" x14ac:dyDescent="0.75"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</row>
    <row r="135" spans="6:38" x14ac:dyDescent="0.75"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</row>
    <row r="136" spans="6:38" x14ac:dyDescent="0.75"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</row>
    <row r="137" spans="6:38" x14ac:dyDescent="0.75"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</row>
    <row r="138" spans="6:38" x14ac:dyDescent="0.75"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</row>
    <row r="139" spans="6:38" x14ac:dyDescent="0.7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</row>
    <row r="140" spans="6:38" x14ac:dyDescent="0.7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</row>
    <row r="141" spans="6:38" x14ac:dyDescent="0.7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</row>
    <row r="142" spans="6:38" x14ac:dyDescent="0.7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</row>
    <row r="143" spans="6:38" x14ac:dyDescent="0.75"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</row>
    <row r="144" spans="6:38" x14ac:dyDescent="0.75"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</row>
    <row r="145" spans="6:38" x14ac:dyDescent="0.75"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</row>
    <row r="146" spans="6:38" x14ac:dyDescent="0.75"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</row>
    <row r="147" spans="6:38" x14ac:dyDescent="0.75"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</row>
    <row r="148" spans="6:38" x14ac:dyDescent="0.75"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</row>
    <row r="149" spans="6:38" x14ac:dyDescent="0.75"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</row>
    <row r="150" spans="6:38" x14ac:dyDescent="0.7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</row>
    <row r="151" spans="6:38" x14ac:dyDescent="0.7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</row>
    <row r="152" spans="6:38" x14ac:dyDescent="0.7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</row>
    <row r="153" spans="6:38" x14ac:dyDescent="0.7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</row>
    <row r="154" spans="6:38" x14ac:dyDescent="0.75"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</row>
    <row r="155" spans="6:38" x14ac:dyDescent="0.75"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</row>
    <row r="156" spans="6:38" x14ac:dyDescent="0.75"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</row>
    <row r="157" spans="6:38" x14ac:dyDescent="0.75"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</row>
    <row r="158" spans="6:38" x14ac:dyDescent="0.75"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</row>
    <row r="159" spans="6:38" x14ac:dyDescent="0.75"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</row>
    <row r="160" spans="6:38" x14ac:dyDescent="0.75"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</row>
    <row r="161" spans="6:38" x14ac:dyDescent="0.75"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</row>
    <row r="162" spans="6:38" x14ac:dyDescent="0.75"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</row>
    <row r="163" spans="6:38" x14ac:dyDescent="0.75"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</row>
    <row r="164" spans="6:38" x14ac:dyDescent="0.75"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</row>
    <row r="165" spans="6:38" x14ac:dyDescent="0.75"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</row>
    <row r="166" spans="6:38" x14ac:dyDescent="0.75"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</row>
    <row r="167" spans="6:38" x14ac:dyDescent="0.75"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</row>
    <row r="168" spans="6:38" x14ac:dyDescent="0.75"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</row>
    <row r="169" spans="6:38" x14ac:dyDescent="0.75"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</row>
    <row r="170" spans="6:38" x14ac:dyDescent="0.75"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</row>
    <row r="171" spans="6:38" x14ac:dyDescent="0.75"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</row>
    <row r="172" spans="6:38" x14ac:dyDescent="0.75"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</row>
    <row r="173" spans="6:38" x14ac:dyDescent="0.75"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</row>
    <row r="174" spans="6:38" x14ac:dyDescent="0.75"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</row>
    <row r="175" spans="6:38" x14ac:dyDescent="0.75"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</row>
    <row r="176" spans="6:38" x14ac:dyDescent="0.75"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</row>
    <row r="177" spans="6:38" x14ac:dyDescent="0.75"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</row>
    <row r="178" spans="6:38" x14ac:dyDescent="0.75"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</row>
    <row r="179" spans="6:38" x14ac:dyDescent="0.75"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</row>
    <row r="180" spans="6:38" x14ac:dyDescent="0.75"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</row>
    <row r="181" spans="6:38" x14ac:dyDescent="0.75"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</row>
    <row r="182" spans="6:38" x14ac:dyDescent="0.75"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</row>
    <row r="183" spans="6:38" x14ac:dyDescent="0.75"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</row>
    <row r="184" spans="6:38" x14ac:dyDescent="0.75"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</row>
    <row r="185" spans="6:38" x14ac:dyDescent="0.75"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24B4-0997-4D9E-8E23-020E5FBA7B12}">
  <dimension ref="A2:M48"/>
  <sheetViews>
    <sheetView workbookViewId="0">
      <selection activeCell="G7" sqref="G7"/>
    </sheetView>
  </sheetViews>
  <sheetFormatPr defaultRowHeight="14.75" x14ac:dyDescent="0.75"/>
  <cols>
    <col min="1" max="1" width="10.54296875" customWidth="1"/>
    <col min="2" max="2" width="37.54296875" customWidth="1"/>
    <col min="3" max="3" width="18.54296875" style="9" customWidth="1"/>
    <col min="4" max="5" width="18.54296875" style="32" customWidth="1"/>
    <col min="7" max="7" width="17.7265625" customWidth="1"/>
  </cols>
  <sheetData>
    <row r="2" spans="1:9" x14ac:dyDescent="0.75">
      <c r="B2" t="s">
        <v>997</v>
      </c>
    </row>
    <row r="5" spans="1:9" x14ac:dyDescent="0.75">
      <c r="A5" s="91" t="s">
        <v>976</v>
      </c>
      <c r="B5" s="91" t="s">
        <v>977</v>
      </c>
      <c r="C5" s="35" t="s">
        <v>417</v>
      </c>
      <c r="D5" s="90" t="s">
        <v>978</v>
      </c>
      <c r="E5" s="90" t="s">
        <v>979</v>
      </c>
    </row>
    <row r="7" spans="1:9" s="88" customFormat="1" x14ac:dyDescent="0.75">
      <c r="A7" s="88">
        <v>2290</v>
      </c>
      <c r="B7" s="88" t="s">
        <v>1000</v>
      </c>
      <c r="C7" s="94">
        <v>42309</v>
      </c>
      <c r="D7" s="32">
        <v>9740</v>
      </c>
      <c r="E7" s="32"/>
    </row>
    <row r="8" spans="1:9" s="88" customFormat="1" x14ac:dyDescent="0.75">
      <c r="A8" s="88">
        <v>6215</v>
      </c>
      <c r="B8" s="88" t="s">
        <v>999</v>
      </c>
      <c r="C8" s="94">
        <v>42309</v>
      </c>
      <c r="D8" s="32"/>
      <c r="E8" s="32">
        <v>9740</v>
      </c>
    </row>
    <row r="9" spans="1:9" s="88" customFormat="1" x14ac:dyDescent="0.75">
      <c r="C9" s="9"/>
      <c r="D9" s="32"/>
      <c r="E9" s="32"/>
    </row>
    <row r="10" spans="1:9" s="88" customFormat="1" x14ac:dyDescent="0.75">
      <c r="C10" s="9"/>
      <c r="D10" s="32"/>
      <c r="E10" s="32"/>
    </row>
    <row r="11" spans="1:9" x14ac:dyDescent="0.75">
      <c r="A11">
        <v>5050</v>
      </c>
      <c r="B11" t="s">
        <v>980</v>
      </c>
      <c r="C11" s="92">
        <v>43404</v>
      </c>
      <c r="D11" s="32">
        <v>27443.81</v>
      </c>
      <c r="I11" t="s">
        <v>981</v>
      </c>
    </row>
    <row r="12" spans="1:9" x14ac:dyDescent="0.75">
      <c r="A12">
        <v>1310</v>
      </c>
      <c r="B12" t="s">
        <v>982</v>
      </c>
      <c r="C12" s="92">
        <v>43404</v>
      </c>
      <c r="E12" s="32">
        <v>27443.81</v>
      </c>
      <c r="I12" t="s">
        <v>981</v>
      </c>
    </row>
    <row r="13" spans="1:9" x14ac:dyDescent="0.75">
      <c r="C13" s="92"/>
    </row>
    <row r="14" spans="1:9" x14ac:dyDescent="0.75">
      <c r="C14" s="92"/>
    </row>
    <row r="15" spans="1:9" x14ac:dyDescent="0.75">
      <c r="A15">
        <v>1310</v>
      </c>
      <c r="B15" t="s">
        <v>982</v>
      </c>
      <c r="C15" s="92">
        <v>43769</v>
      </c>
      <c r="D15" s="32">
        <v>25449.01</v>
      </c>
      <c r="G15" s="88"/>
      <c r="I15" t="s">
        <v>981</v>
      </c>
    </row>
    <row r="16" spans="1:9" x14ac:dyDescent="0.75">
      <c r="A16">
        <v>5050</v>
      </c>
      <c r="B16" t="s">
        <v>980</v>
      </c>
      <c r="C16" s="92">
        <v>43769</v>
      </c>
      <c r="E16" s="32">
        <v>25449.01</v>
      </c>
      <c r="I16" t="s">
        <v>981</v>
      </c>
    </row>
    <row r="17" spans="1:13" x14ac:dyDescent="0.75">
      <c r="A17">
        <v>5000</v>
      </c>
      <c r="B17" t="s">
        <v>582</v>
      </c>
      <c r="C17" s="92">
        <v>43769</v>
      </c>
      <c r="D17" s="32">
        <v>49219.6</v>
      </c>
      <c r="I17" t="s">
        <v>981</v>
      </c>
    </row>
    <row r="18" spans="1:13" x14ac:dyDescent="0.75">
      <c r="A18">
        <v>1340</v>
      </c>
      <c r="B18" t="s">
        <v>983</v>
      </c>
      <c r="C18" s="92">
        <v>43769</v>
      </c>
      <c r="E18" s="32">
        <v>49219.6</v>
      </c>
      <c r="I18" t="s">
        <v>981</v>
      </c>
    </row>
    <row r="19" spans="1:13" x14ac:dyDescent="0.75">
      <c r="C19" s="92"/>
    </row>
    <row r="20" spans="1:13" x14ac:dyDescent="0.75">
      <c r="C20" s="92"/>
    </row>
    <row r="21" spans="1:13" x14ac:dyDescent="0.75">
      <c r="A21">
        <v>6105</v>
      </c>
      <c r="B21" t="s">
        <v>984</v>
      </c>
      <c r="C21" s="92">
        <v>43677</v>
      </c>
      <c r="D21" s="32">
        <v>2290</v>
      </c>
      <c r="I21" t="s">
        <v>985</v>
      </c>
    </row>
    <row r="22" spans="1:13" x14ac:dyDescent="0.75">
      <c r="A22">
        <v>6150</v>
      </c>
      <c r="B22" t="s">
        <v>986</v>
      </c>
      <c r="C22" s="92">
        <v>43677</v>
      </c>
      <c r="E22" s="32">
        <v>2290</v>
      </c>
      <c r="I22" t="s">
        <v>985</v>
      </c>
    </row>
    <row r="23" spans="1:13" x14ac:dyDescent="0.75">
      <c r="C23" s="92"/>
    </row>
    <row r="24" spans="1:13" x14ac:dyDescent="0.75">
      <c r="C24" s="92"/>
    </row>
    <row r="25" spans="1:13" x14ac:dyDescent="0.75">
      <c r="A25">
        <v>6105</v>
      </c>
      <c r="B25" t="s">
        <v>984</v>
      </c>
      <c r="C25" s="92">
        <v>44043</v>
      </c>
      <c r="D25" s="32">
        <v>2407.88</v>
      </c>
      <c r="G25" s="88"/>
      <c r="I25" t="s">
        <v>987</v>
      </c>
    </row>
    <row r="26" spans="1:13" x14ac:dyDescent="0.75">
      <c r="A26">
        <v>1820</v>
      </c>
      <c r="B26" t="s">
        <v>988</v>
      </c>
      <c r="C26" s="92">
        <v>44043</v>
      </c>
      <c r="E26" s="32">
        <v>2407.88</v>
      </c>
      <c r="I26" t="s">
        <v>987</v>
      </c>
    </row>
    <row r="27" spans="1:13" x14ac:dyDescent="0.75">
      <c r="C27" s="92"/>
    </row>
    <row r="28" spans="1:13" x14ac:dyDescent="0.75">
      <c r="C28" s="92"/>
    </row>
    <row r="29" spans="1:13" x14ac:dyDescent="0.75">
      <c r="A29">
        <v>3100</v>
      </c>
      <c r="B29" t="s">
        <v>989</v>
      </c>
      <c r="C29" s="92">
        <v>44104</v>
      </c>
      <c r="D29" s="32">
        <v>1049958</v>
      </c>
      <c r="M29" s="75" t="s">
        <v>998</v>
      </c>
    </row>
    <row r="30" spans="1:13" x14ac:dyDescent="0.75">
      <c r="A30">
        <v>3150</v>
      </c>
      <c r="B30" t="s">
        <v>990</v>
      </c>
      <c r="C30" s="92">
        <v>44104</v>
      </c>
      <c r="E30" s="32">
        <v>1049958</v>
      </c>
      <c r="I30" t="s">
        <v>991</v>
      </c>
    </row>
    <row r="31" spans="1:13" x14ac:dyDescent="0.75">
      <c r="C31" s="92"/>
    </row>
    <row r="32" spans="1:13" x14ac:dyDescent="0.75">
      <c r="C32" s="92"/>
    </row>
    <row r="33" spans="1:13" x14ac:dyDescent="0.75">
      <c r="A33">
        <v>3050</v>
      </c>
      <c r="B33" t="s">
        <v>569</v>
      </c>
      <c r="C33" s="92">
        <v>44090</v>
      </c>
      <c r="D33" s="32">
        <v>30000</v>
      </c>
      <c r="I33" t="s">
        <v>992</v>
      </c>
      <c r="M33" s="75" t="s">
        <v>998</v>
      </c>
    </row>
    <row r="34" spans="1:13" x14ac:dyDescent="0.75">
      <c r="A34">
        <v>3100</v>
      </c>
      <c r="B34" t="s">
        <v>989</v>
      </c>
      <c r="C34" s="92">
        <v>44090</v>
      </c>
      <c r="E34" s="32">
        <v>30000</v>
      </c>
      <c r="I34" t="s">
        <v>993</v>
      </c>
    </row>
    <row r="35" spans="1:13" s="88" customFormat="1" x14ac:dyDescent="0.75">
      <c r="C35" s="92"/>
      <c r="D35" s="32"/>
      <c r="E35" s="32"/>
    </row>
    <row r="36" spans="1:13" x14ac:dyDescent="0.75">
      <c r="A36">
        <v>3100</v>
      </c>
      <c r="B36" t="s">
        <v>989</v>
      </c>
      <c r="C36" s="92">
        <v>44090</v>
      </c>
      <c r="D36" s="32">
        <v>3.2000000000000028</v>
      </c>
      <c r="E36" s="32" t="s">
        <v>994</v>
      </c>
      <c r="I36" t="s">
        <v>995</v>
      </c>
      <c r="M36" s="75" t="s">
        <v>998</v>
      </c>
    </row>
    <row r="37" spans="1:13" x14ac:dyDescent="0.75">
      <c r="A37">
        <v>3050</v>
      </c>
      <c r="B37" t="s">
        <v>569</v>
      </c>
      <c r="C37" s="92">
        <v>44090</v>
      </c>
      <c r="D37" s="32" t="s">
        <v>994</v>
      </c>
      <c r="E37" s="32">
        <v>3.2000000000000028</v>
      </c>
      <c r="I37" t="s">
        <v>996</v>
      </c>
    </row>
    <row r="38" spans="1:13" x14ac:dyDescent="0.75">
      <c r="C38" s="92"/>
    </row>
    <row r="39" spans="1:13" x14ac:dyDescent="0.75">
      <c r="C39" s="92"/>
    </row>
    <row r="40" spans="1:13" x14ac:dyDescent="0.75">
      <c r="C40" s="92"/>
    </row>
    <row r="41" spans="1:13" x14ac:dyDescent="0.75">
      <c r="C41" s="92"/>
    </row>
    <row r="42" spans="1:13" x14ac:dyDescent="0.75">
      <c r="C42" s="92"/>
    </row>
    <row r="43" spans="1:13" x14ac:dyDescent="0.75">
      <c r="C43" s="92"/>
    </row>
    <row r="44" spans="1:13" x14ac:dyDescent="0.75">
      <c r="C44" s="92"/>
    </row>
    <row r="45" spans="1:13" x14ac:dyDescent="0.75">
      <c r="C45" s="92"/>
    </row>
    <row r="46" spans="1:13" x14ac:dyDescent="0.75">
      <c r="C46" s="92"/>
    </row>
    <row r="47" spans="1:13" x14ac:dyDescent="0.75">
      <c r="C47" s="92"/>
    </row>
    <row r="48" spans="1:13" x14ac:dyDescent="0.75">
      <c r="C48" s="9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22</vt:i4>
      </vt:variant>
    </vt:vector>
  </HeadingPairs>
  <TitlesOfParts>
    <vt:vector size="55" baseType="lpstr">
      <vt:lpstr>Balance Sheets</vt:lpstr>
      <vt:lpstr>Stmt of Ops FY-20 &amp; 19</vt:lpstr>
      <vt:lpstr>Stmt Stk Equity</vt:lpstr>
      <vt:lpstr>Cash Flows FY-20 &amp; 19</vt:lpstr>
      <vt:lpstr>Stmt of Ops FY-19</vt:lpstr>
      <vt:lpstr>WASO</vt:lpstr>
      <vt:lpstr>CF Worksheet 10-31-20</vt:lpstr>
      <vt:lpstr>CF Worksheet 10-31-19</vt:lpstr>
      <vt:lpstr>JEs Posted after auditors got</vt:lpstr>
      <vt:lpstr>CF Worksheet 07-31-20</vt:lpstr>
      <vt:lpstr>CF Worksheet 04-30-20</vt:lpstr>
      <vt:lpstr>CF Worksheet 01-31-20</vt:lpstr>
      <vt:lpstr>Detail P&amp;L Analytic</vt:lpstr>
      <vt:lpstr>Common Stock OS info</vt:lpstr>
      <vt:lpstr>PY TB-18</vt:lpstr>
      <vt:lpstr>Q4 TB-19</vt:lpstr>
      <vt:lpstr>Q4 TB-20</vt:lpstr>
      <vt:lpstr>Q1 TB-19</vt:lpstr>
      <vt:lpstr>Q2 TB-19</vt:lpstr>
      <vt:lpstr>Q3 TB-19</vt:lpstr>
      <vt:lpstr>Q1 TB-20</vt:lpstr>
      <vt:lpstr>Q2 TB-20</vt:lpstr>
      <vt:lpstr>Q3 TB-20</vt:lpstr>
      <vt:lpstr>Raw Data 10-31-2018</vt:lpstr>
      <vt:lpstr>Raw Data 01-31-2019</vt:lpstr>
      <vt:lpstr>Raw Data 04-30-2019</vt:lpstr>
      <vt:lpstr>Raw Data 07-31-2019</vt:lpstr>
      <vt:lpstr>Raw Data 10-31-2019</vt:lpstr>
      <vt:lpstr>Raw Data 10-31-2020</vt:lpstr>
      <vt:lpstr>Raw Data 01-31-2020</vt:lpstr>
      <vt:lpstr>Raw Data 04-30-2020</vt:lpstr>
      <vt:lpstr>Raw Data 07-31-2020</vt:lpstr>
      <vt:lpstr>Alert</vt:lpstr>
      <vt:lpstr>'Balance Sheets'!Print_Area</vt:lpstr>
      <vt:lpstr>'Cash Flows FY-20 &amp; 19'!Print_Area</vt:lpstr>
      <vt:lpstr>'Stmt of Ops FY-20 &amp; 19'!Print_Area</vt:lpstr>
      <vt:lpstr>'Stmt Stk Equity'!Print_Area</vt:lpstr>
      <vt:lpstr>'Detail P&amp;L Analytic'!Print_Titles</vt:lpstr>
      <vt:lpstr>'PY TB-18'!Print_Titles</vt:lpstr>
      <vt:lpstr>'Q1 TB-19'!Print_Titles</vt:lpstr>
      <vt:lpstr>'Q1 TB-20'!Print_Titles</vt:lpstr>
      <vt:lpstr>'Q2 TB-19'!Print_Titles</vt:lpstr>
      <vt:lpstr>'Q2 TB-20'!Print_Titles</vt:lpstr>
      <vt:lpstr>'Q3 TB-19'!Print_Titles</vt:lpstr>
      <vt:lpstr>'Q3 TB-20'!Print_Titles</vt:lpstr>
      <vt:lpstr>'Q4 TB-19'!Print_Titles</vt:lpstr>
      <vt:lpstr>'Q4 TB-20'!Print_Titles</vt:lpstr>
      <vt:lpstr>'Raw Data 01-31-2019'!Print_Titles</vt:lpstr>
      <vt:lpstr>'Raw Data 01-31-2020'!Print_Titles</vt:lpstr>
      <vt:lpstr>'Raw Data 04-30-2019'!Print_Titles</vt:lpstr>
      <vt:lpstr>'Raw Data 04-30-2020'!Print_Titles</vt:lpstr>
      <vt:lpstr>'Raw Data 07-31-2019'!Print_Titles</vt:lpstr>
      <vt:lpstr>'Raw Data 07-31-2020'!Print_Titles</vt:lpstr>
      <vt:lpstr>'Raw Data 10-31-2019'!Print_Titles</vt:lpstr>
      <vt:lpstr>'Raw Data 10-31-2020'!Print_Titles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2021-02-19T19:23:23Z</cp:lastPrinted>
  <dcterms:created xsi:type="dcterms:W3CDTF">2020-02-18T22:42:34Z</dcterms:created>
  <dcterms:modified xsi:type="dcterms:W3CDTF">2021-03-08T22:08:36Z</dcterms:modified>
</cp:coreProperties>
</file>