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pivotCache/pivotCacheDefinition24.xml" ContentType="application/vnd.openxmlformats-officedocument.spreadsheetml.pivotCacheDefinition+xml"/>
  <Override PartName="/xl/pivotCache/pivotCacheRecords24.xml" ContentType="application/vnd.openxmlformats-officedocument.spreadsheetml.pivotCacheRecords+xml"/>
  <Override PartName="/xl/pivotCache/pivotCacheDefinition25.xml" ContentType="application/vnd.openxmlformats-officedocument.spreadsheetml.pivotCacheDefinition+xml"/>
  <Override PartName="/xl/pivotCache/pivotCacheRecords25.xml" ContentType="application/vnd.openxmlformats-officedocument.spreadsheetml.pivotCacheRecords+xml"/>
  <Override PartName="/xl/pivotCache/pivotCacheDefinition26.xml" ContentType="application/vnd.openxmlformats-officedocument.spreadsheetml.pivotCacheDefinition+xml"/>
  <Override PartName="/xl/pivotCache/pivotCacheRecords26.xml" ContentType="application/vnd.openxmlformats-officedocument.spreadsheetml.pivotCacheRecords+xml"/>
  <Override PartName="/xl/pivotCache/pivotCacheDefinition27.xml" ContentType="application/vnd.openxmlformats-officedocument.spreadsheetml.pivotCacheDefinition+xml"/>
  <Override PartName="/xl/pivotCache/pivotCacheRecords27.xml" ContentType="application/vnd.openxmlformats-officedocument.spreadsheetml.pivotCacheRecords+xml"/>
  <Override PartName="/xl/pivotCache/pivotCacheDefinition28.xml" ContentType="application/vnd.openxmlformats-officedocument.spreadsheetml.pivotCacheDefinition+xml"/>
  <Override PartName="/xl/pivotCache/pivotCacheRecords28.xml" ContentType="application/vnd.openxmlformats-officedocument.spreadsheetml.pivotCacheRecords+xml"/>
  <Override PartName="/xl/pivotCache/pivotCacheDefinition29.xml" ContentType="application/vnd.openxmlformats-officedocument.spreadsheetml.pivotCacheDefinition+xml"/>
  <Override PartName="/xl/pivotCache/pivotCacheRecords29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omments2.xml" ContentType="application/vnd.openxmlformats-officedocument.spreadsheetml.comments+xml"/>
  <Override PartName="/xl/pivotTables/pivotTable5.xml" ContentType="application/vnd.openxmlformats-officedocument.spreadsheetml.pivotTab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pivotTables/pivotTable9.xml" ContentType="application/vnd.openxmlformats-officedocument.spreadsheetml.pivotTable+xml"/>
  <Override PartName="/xl/comments9.xml" ContentType="application/vnd.openxmlformats-officedocument.spreadsheetml.comments+xml"/>
  <Override PartName="/xl/pivotTables/pivotTable10.xml" ContentType="application/vnd.openxmlformats-officedocument.spreadsheetml.pivotTable+xml"/>
  <Override PartName="/xl/comments10.xml" ContentType="application/vnd.openxmlformats-officedocument.spreadsheetml.comments+xml"/>
  <Override PartName="/xl/pivotTables/pivotTable11.xml" ContentType="application/vnd.openxmlformats-officedocument.spreadsheetml.pivotTable+xml"/>
  <Override PartName="/xl/comments11.xml" ContentType="application/vnd.openxmlformats-officedocument.spreadsheetml.comments+xml"/>
  <Override PartName="/xl/pivotTables/pivotTable12.xml" ContentType="application/vnd.openxmlformats-officedocument.spreadsheetml.pivotTable+xml"/>
  <Override PartName="/xl/comments12.xml" ContentType="application/vnd.openxmlformats-officedocument.spreadsheetml.comments+xml"/>
  <Override PartName="/xl/pivotTables/pivotTable13.xml" ContentType="application/vnd.openxmlformats-officedocument.spreadsheetml.pivotTable+xml"/>
  <Override PartName="/xl/comments13.xml" ContentType="application/vnd.openxmlformats-officedocument.spreadsheetml.comments+xml"/>
  <Override PartName="/xl/pivotTables/pivotTable14.xml" ContentType="application/vnd.openxmlformats-officedocument.spreadsheetml.pivotTable+xml"/>
  <Override PartName="/xl/comments14.xml" ContentType="application/vnd.openxmlformats-officedocument.spreadsheetml.comments+xml"/>
  <Override PartName="/xl/pivotTables/pivotTable15.xml" ContentType="application/vnd.openxmlformats-officedocument.spreadsheetml.pivotTable+xml"/>
  <Override PartName="/xl/comments15.xml" ContentType="application/vnd.openxmlformats-officedocument.spreadsheetml.comments+xml"/>
  <Override PartName="/xl/pivotTables/pivotTable16.xml" ContentType="application/vnd.openxmlformats-officedocument.spreadsheetml.pivotTable+xml"/>
  <Override PartName="/xl/comments16.xml" ContentType="application/vnd.openxmlformats-officedocument.spreadsheetml.comments+xml"/>
  <Override PartName="/xl/pivotTables/pivotTable17.xml" ContentType="application/vnd.openxmlformats-officedocument.spreadsheetml.pivotTable+xml"/>
  <Override PartName="/xl/comments17.xml" ContentType="application/vnd.openxmlformats-officedocument.spreadsheetml.comments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comments18.xml" ContentType="application/vnd.openxmlformats-officedocument.spreadsheetml.comments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891BD16C-3E1F-4A4C-89C7-3A42EAF6E91A}" xr6:coauthVersionLast="46" xr6:coauthVersionMax="46" xr10:uidLastSave="{00000000-0000-0000-0000-000000000000}"/>
  <bookViews>
    <workbookView xWindow="-93" yWindow="-93" windowWidth="18426" windowHeight="11746" tabRatio="928" firstSheet="1" activeTab="1" xr2:uid="{00000000-000D-0000-FFFF-FFFF00000000}"/>
  </bookViews>
  <sheets>
    <sheet name="NEF Calculations" sheetId="81" state="hidden" r:id="rId1"/>
    <sheet name="Overview" sheetId="73" r:id="rId2"/>
    <sheet name=" P&amp;L-03.21" sheetId="72" r:id="rId3"/>
    <sheet name="P&amp;L-9 mos" sheetId="74" state="hidden" r:id="rId4"/>
    <sheet name="BS-Detail 03.21" sheetId="76" r:id="rId5"/>
    <sheet name="BS-Detail 9.30.18" sheetId="77" state="hidden" r:id="rId6"/>
    <sheet name="CF WB 03.21" sheetId="78" r:id="rId7"/>
    <sheet name="CF WB 9.2018" sheetId="80" state="hidden" r:id="rId8"/>
    <sheet name="P&amp;L-Detail 12.18" sheetId="71" state="hidden" r:id="rId9"/>
    <sheet name="BS-Detail 12.18" sheetId="70" state="hidden" r:id="rId10"/>
    <sheet name="P&amp;L-Detail 11.18" sheetId="68" state="hidden" r:id="rId11"/>
    <sheet name="BS-Detail 11.18" sheetId="69" state="hidden" r:id="rId12"/>
    <sheet name="P&amp;L-Detail 10.18 " sheetId="66" state="hidden" r:id="rId13"/>
    <sheet name="BS-Detail 10.18" sheetId="67" state="hidden" r:id="rId14"/>
    <sheet name="P&amp;L-Detail 9.18" sheetId="64" state="hidden" r:id="rId15"/>
    <sheet name="BS-Detail 9.18" sheetId="63" state="hidden" r:id="rId16"/>
    <sheet name="P&amp;L-Detail 8.18" sheetId="57" state="hidden" r:id="rId17"/>
    <sheet name="BS-Detail 8.18" sheetId="58" state="hidden" r:id="rId18"/>
    <sheet name="P&amp;L - Detail 7.18" sheetId="55" state="hidden" r:id="rId19"/>
    <sheet name="BS - Detail 7.18" sheetId="56" state="hidden" r:id="rId20"/>
    <sheet name="P&amp;L - Detail 6.18" sheetId="52" state="hidden" r:id="rId21"/>
    <sheet name="BS - Detail 6.18" sheetId="53" state="hidden" r:id="rId22"/>
    <sheet name="P&amp;L - Detail.5.18" sheetId="50" state="hidden" r:id="rId23"/>
    <sheet name="BS - Detail.5.18" sheetId="51" state="hidden" r:id="rId24"/>
    <sheet name="P&amp;L - Detail.4.18" sheetId="48" state="hidden" r:id="rId25"/>
    <sheet name="BS - Detail.4.18" sheetId="49" state="hidden" r:id="rId26"/>
    <sheet name="P&amp;L - Detail.03.18" sheetId="46" state="hidden" r:id="rId27"/>
    <sheet name="BS - Detail.03.18" sheetId="47" state="hidden" r:id="rId28"/>
    <sheet name="P&amp;L - Detail.02.18" sheetId="45" state="hidden" r:id="rId29"/>
    <sheet name="BS - Detail.02.18" sheetId="44" state="hidden" r:id="rId30"/>
    <sheet name="P&amp;L - Detail.01.18" sheetId="42" state="hidden" r:id="rId31"/>
    <sheet name="BS - Detail.01.18" sheetId="43" state="hidden" r:id="rId32"/>
  </sheets>
  <externalReferences>
    <externalReference r:id="rId33"/>
    <externalReference r:id="rId34"/>
    <externalReference r:id="rId35"/>
    <externalReference r:id="rId36"/>
  </externalReferences>
  <definedNames>
    <definedName name="_xlcn.WorksheetConnection_PLComparison3mosA5D110" hidden="1">' P&amp;L-03.21'!$C$5:$F$116</definedName>
    <definedName name="_xlnm.Print_Area" localSheetId="2">' P&amp;L-03.21'!$C$1:$I$151</definedName>
    <definedName name="_xlnm.Print_Area" localSheetId="21">'BS - Detail 6.18'!#REF!</definedName>
    <definedName name="_xlnm.Print_Area" localSheetId="29">'BS - Detail.02.18'!$A$1:$I$85</definedName>
    <definedName name="_xlnm.Print_Area" localSheetId="27">'BS - Detail.03.18'!$A$1:$I$85</definedName>
    <definedName name="_xlnm.Print_Area" localSheetId="25">'BS - Detail.4.18'!#REF!</definedName>
    <definedName name="_xlnm.Print_Area" localSheetId="23">'BS - Detail.5.18'!#REF!</definedName>
    <definedName name="_xlnm.Print_Area" localSheetId="20">'P&amp;L - Detail 6.18'!$A$1:$K$139</definedName>
    <definedName name="_xlnm.Print_Area" localSheetId="28">'P&amp;L - Detail.02.18'!$A$1:$K$112</definedName>
    <definedName name="_xlnm.Print_Area" localSheetId="26">'P&amp;L - Detail.03.18'!$A$1:$K$109</definedName>
    <definedName name="_xlnm.Print_Area" localSheetId="24">'P&amp;L - Detail.4.18'!$A$1:$K$105</definedName>
    <definedName name="_xlnm.Print_Area" localSheetId="22">'P&amp;L - Detail.5.18'!$A$1:$K$105</definedName>
    <definedName name="_xlnm.Print_Area" localSheetId="3">'P&amp;L-9 mos'!$C$1:$H$146</definedName>
  </definedNames>
  <calcPr calcId="191029" fullPrecision="0"/>
  <pivotCaches>
    <pivotCache cacheId="0" r:id="rId37"/>
    <pivotCache cacheId="1" r:id="rId38"/>
    <pivotCache cacheId="2" r:id="rId39"/>
    <pivotCache cacheId="3" r:id="rId40"/>
    <pivotCache cacheId="4" r:id="rId41"/>
    <pivotCache cacheId="5" r:id="rId42"/>
    <pivotCache cacheId="6" r:id="rId43"/>
    <pivotCache cacheId="7" r:id="rId44"/>
    <pivotCache cacheId="8" r:id="rId45"/>
    <pivotCache cacheId="9" r:id="rId46"/>
    <pivotCache cacheId="10" r:id="rId47"/>
    <pivotCache cacheId="11" r:id="rId48"/>
    <pivotCache cacheId="12" r:id="rId49"/>
    <pivotCache cacheId="13" r:id="rId50"/>
    <pivotCache cacheId="14" r:id="rId51"/>
    <pivotCache cacheId="15" r:id="rId52"/>
    <pivotCache cacheId="16" r:id="rId53"/>
    <pivotCache cacheId="17" r:id="rId54"/>
    <pivotCache cacheId="18" r:id="rId55"/>
    <pivotCache cacheId="19" r:id="rId56"/>
    <pivotCache cacheId="20" r:id="rId57"/>
    <pivotCache cacheId="21" r:id="rId58"/>
    <pivotCache cacheId="22" r:id="rId59"/>
    <pivotCache cacheId="23" r:id="rId60"/>
    <pivotCache cacheId="24" r:id="rId61"/>
    <pivotCache cacheId="25" r:id="rId62"/>
    <pivotCache cacheId="26" r:id="rId63"/>
    <pivotCache cacheId="27" r:id="rId64"/>
    <pivotCache cacheId="28" r:id="rId65"/>
  </pivotCaches>
  <extLst>
    <ext xmlns:x15="http://schemas.microsoft.com/office/spreadsheetml/2010/11/main" uri="{FCE2AD5D-F65C-4FA6-A056-5C36A1767C68}">
      <x15:dataModel>
        <x15:modelTables>
          <x15:modelTable id="Range-af8920cc-f3e8-403e-8cde-59fd467ac459" name="Range" connection="WorksheetConnection_ P&amp;L - Comparison 3 mos!$A$5:$D$110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2" i="76" l="1"/>
  <c r="I72" i="76" s="1"/>
  <c r="G96" i="76"/>
  <c r="C22" i="72"/>
  <c r="D32" i="78" l="1"/>
  <c r="D33" i="78"/>
  <c r="D26" i="78"/>
  <c r="G93" i="76"/>
  <c r="G95" i="76"/>
  <c r="N165" i="73"/>
  <c r="L175" i="73"/>
  <c r="C95" i="76"/>
  <c r="D15" i="78"/>
  <c r="H165" i="73"/>
  <c r="L165" i="73"/>
  <c r="O14" i="73" l="1"/>
  <c r="O13" i="73"/>
  <c r="C10" i="81" l="1"/>
  <c r="B14" i="81"/>
  <c r="B19" i="81"/>
  <c r="J62" i="72"/>
  <c r="C68" i="78"/>
  <c r="D18" i="78"/>
  <c r="C53" i="78"/>
  <c r="B21" i="81" l="1"/>
  <c r="H73" i="73"/>
  <c r="C31" i="78"/>
  <c r="H95" i="73"/>
  <c r="H97" i="73"/>
  <c r="I96" i="76" l="1"/>
  <c r="G65" i="76"/>
  <c r="I65" i="76" s="1"/>
  <c r="D55" i="76"/>
  <c r="D56" i="76" s="1"/>
  <c r="J96" i="76"/>
  <c r="G92" i="72" l="1"/>
  <c r="I92" i="72"/>
  <c r="G94" i="72"/>
  <c r="I94" i="72" s="1"/>
  <c r="C81" i="72"/>
  <c r="C115" i="72" s="1"/>
  <c r="L110" i="72" s="1"/>
  <c r="D182" i="73" l="1"/>
  <c r="J182" i="73" l="1"/>
  <c r="G64" i="76" l="1"/>
  <c r="I64" i="76" s="1"/>
  <c r="L111" i="72" l="1"/>
  <c r="L112" i="72"/>
  <c r="F182" i="73" l="1"/>
  <c r="G91" i="72" l="1"/>
  <c r="I91" i="72" s="1"/>
  <c r="C94" i="76" l="1"/>
  <c r="C26" i="78"/>
  <c r="C22" i="78"/>
  <c r="E22" i="78" l="1"/>
  <c r="L76" i="73"/>
  <c r="H75" i="73"/>
  <c r="H74" i="73"/>
  <c r="C16" i="81" l="1"/>
  <c r="N173" i="73"/>
  <c r="C33" i="78"/>
  <c r="N171" i="73" l="1"/>
  <c r="L169" i="73"/>
  <c r="L177" i="73" s="1"/>
  <c r="G82" i="76" l="1"/>
  <c r="I82" i="76" s="1"/>
  <c r="G83" i="76"/>
  <c r="I83" i="76" s="1"/>
  <c r="G84" i="76"/>
  <c r="I84" i="76" s="1"/>
  <c r="G85" i="76"/>
  <c r="I85" i="76" s="1"/>
  <c r="G86" i="76"/>
  <c r="I86" i="76" s="1"/>
  <c r="G87" i="76"/>
  <c r="I87" i="76" s="1"/>
  <c r="G88" i="76"/>
  <c r="I88" i="76" s="1"/>
  <c r="G89" i="76"/>
  <c r="I89" i="76" s="1"/>
  <c r="H152" i="73" s="1"/>
  <c r="G90" i="76"/>
  <c r="I90" i="76" s="1"/>
  <c r="G91" i="76"/>
  <c r="I91" i="76" s="1"/>
  <c r="G92" i="76"/>
  <c r="I92" i="76" s="1"/>
  <c r="G81" i="76"/>
  <c r="I81" i="76" s="1"/>
  <c r="G80" i="76"/>
  <c r="I80" i="76" s="1"/>
  <c r="G79" i="76"/>
  <c r="I79" i="76" s="1"/>
  <c r="G106" i="72"/>
  <c r="I106" i="72" s="1"/>
  <c r="G45" i="72"/>
  <c r="I45" i="72" s="1"/>
  <c r="D102" i="76" l="1"/>
  <c r="D101" i="76"/>
  <c r="C102" i="76"/>
  <c r="G60" i="76"/>
  <c r="I60" i="76" s="1"/>
  <c r="G63" i="76"/>
  <c r="I63" i="76" s="1"/>
  <c r="C55" i="76"/>
  <c r="L137" i="73"/>
  <c r="I68" i="78"/>
  <c r="H133" i="73" s="1"/>
  <c r="G110" i="72"/>
  <c r="I110" i="72" s="1"/>
  <c r="G109" i="72"/>
  <c r="I109" i="72" s="1"/>
  <c r="D58" i="78" s="1"/>
  <c r="G112" i="72"/>
  <c r="L116" i="72" s="1"/>
  <c r="G12" i="72"/>
  <c r="I12" i="72" s="1"/>
  <c r="G66" i="76"/>
  <c r="I66" i="76" s="1"/>
  <c r="G62" i="76"/>
  <c r="I62" i="76" s="1"/>
  <c r="G67" i="76"/>
  <c r="I67" i="76" s="1"/>
  <c r="G68" i="76"/>
  <c r="I68" i="76" s="1"/>
  <c r="G69" i="76"/>
  <c r="I69" i="76" s="1"/>
  <c r="G70" i="76"/>
  <c r="I70" i="76" s="1"/>
  <c r="G58" i="76"/>
  <c r="I58" i="76" s="1"/>
  <c r="G22" i="76"/>
  <c r="I22" i="76" s="1"/>
  <c r="C114" i="72"/>
  <c r="C116" i="72" s="1"/>
  <c r="E101" i="76"/>
  <c r="F101" i="76"/>
  <c r="C100" i="76"/>
  <c r="E102" i="76"/>
  <c r="L129" i="73"/>
  <c r="L123" i="73"/>
  <c r="N167" i="73"/>
  <c r="J169" i="73"/>
  <c r="J177" i="73" s="1"/>
  <c r="J181" i="73" s="1"/>
  <c r="J183" i="73" s="1"/>
  <c r="F169" i="73"/>
  <c r="D169" i="73"/>
  <c r="H169" i="73"/>
  <c r="H177" i="73" s="1"/>
  <c r="H181" i="73" s="1"/>
  <c r="G25" i="72"/>
  <c r="I25" i="72" s="1"/>
  <c r="G83" i="72"/>
  <c r="I83" i="72" s="1"/>
  <c r="I103" i="72"/>
  <c r="F114" i="72"/>
  <c r="E114" i="72"/>
  <c r="D114" i="72"/>
  <c r="G113" i="72"/>
  <c r="I113" i="72" s="1"/>
  <c r="G111" i="72"/>
  <c r="L115" i="72" s="1"/>
  <c r="G108" i="72"/>
  <c r="I108" i="72" s="1"/>
  <c r="G107" i="72"/>
  <c r="I107" i="72" s="1"/>
  <c r="G105" i="72"/>
  <c r="I105" i="72" s="1"/>
  <c r="G104" i="72"/>
  <c r="I104" i="72" s="1"/>
  <c r="G103" i="72"/>
  <c r="G102" i="72"/>
  <c r="I102" i="72" s="1"/>
  <c r="G64" i="72"/>
  <c r="I64" i="72" s="1"/>
  <c r="G61" i="72"/>
  <c r="I61" i="72" s="1"/>
  <c r="G101" i="72"/>
  <c r="I101" i="72" s="1"/>
  <c r="G100" i="72"/>
  <c r="I100" i="72" s="1"/>
  <c r="G99" i="72"/>
  <c r="I99" i="72" s="1"/>
  <c r="G98" i="72"/>
  <c r="I98" i="72" s="1"/>
  <c r="G97" i="72"/>
  <c r="I97" i="72" s="1"/>
  <c r="G96" i="72"/>
  <c r="I96" i="72" s="1"/>
  <c r="G95" i="72"/>
  <c r="I95" i="72" s="1"/>
  <c r="G93" i="72"/>
  <c r="I93" i="72" s="1"/>
  <c r="G90" i="72"/>
  <c r="I90" i="72" s="1"/>
  <c r="G89" i="72"/>
  <c r="I89" i="72" s="1"/>
  <c r="G88" i="72"/>
  <c r="I88" i="72" s="1"/>
  <c r="G87" i="72"/>
  <c r="I87" i="72" s="1"/>
  <c r="G86" i="72"/>
  <c r="I86" i="72" s="1"/>
  <c r="G85" i="72"/>
  <c r="I85" i="72" s="1"/>
  <c r="G84" i="72"/>
  <c r="I84" i="72" s="1"/>
  <c r="G82" i="72"/>
  <c r="I82" i="72" s="1"/>
  <c r="G81" i="72"/>
  <c r="I81" i="72" s="1"/>
  <c r="G80" i="72"/>
  <c r="I80" i="72" s="1"/>
  <c r="G79" i="72"/>
  <c r="I79" i="72" s="1"/>
  <c r="G78" i="72"/>
  <c r="I78" i="72" s="1"/>
  <c r="G77" i="72"/>
  <c r="I77" i="72" s="1"/>
  <c r="G76" i="72"/>
  <c r="I76" i="72" s="1"/>
  <c r="G75" i="72"/>
  <c r="I75" i="72" s="1"/>
  <c r="G74" i="72"/>
  <c r="I74" i="72" s="1"/>
  <c r="G73" i="72"/>
  <c r="I73" i="72" s="1"/>
  <c r="G72" i="72"/>
  <c r="I72" i="72" s="1"/>
  <c r="G71" i="72"/>
  <c r="I71" i="72" s="1"/>
  <c r="G70" i="72"/>
  <c r="I70" i="72" s="1"/>
  <c r="G69" i="72"/>
  <c r="I69" i="72" s="1"/>
  <c r="G68" i="72"/>
  <c r="I68" i="72" s="1"/>
  <c r="G67" i="72"/>
  <c r="I67" i="72" s="1"/>
  <c r="G66" i="72"/>
  <c r="I66" i="72" s="1"/>
  <c r="G65" i="72"/>
  <c r="I65" i="72" s="1"/>
  <c r="G63" i="72"/>
  <c r="I63" i="72" s="1"/>
  <c r="G62" i="72"/>
  <c r="I62" i="72" s="1"/>
  <c r="G60" i="72"/>
  <c r="I60" i="72" s="1"/>
  <c r="G59" i="72"/>
  <c r="I59" i="72" s="1"/>
  <c r="G58" i="72"/>
  <c r="I58" i="72" s="1"/>
  <c r="G57" i="72"/>
  <c r="I57" i="72" s="1"/>
  <c r="G56" i="72"/>
  <c r="I56" i="72" s="1"/>
  <c r="G55" i="72"/>
  <c r="I55" i="72" s="1"/>
  <c r="G54" i="72"/>
  <c r="I54" i="72" s="1"/>
  <c r="G53" i="72"/>
  <c r="I53" i="72" s="1"/>
  <c r="G52" i="72"/>
  <c r="I52" i="72" s="1"/>
  <c r="G51" i="72"/>
  <c r="I51" i="72" s="1"/>
  <c r="G50" i="72"/>
  <c r="I50" i="72" s="1"/>
  <c r="G49" i="72"/>
  <c r="I49" i="72" s="1"/>
  <c r="G48" i="72"/>
  <c r="I48" i="72" s="1"/>
  <c r="G47" i="72"/>
  <c r="I47" i="72" s="1"/>
  <c r="G46" i="72"/>
  <c r="I46" i="72" s="1"/>
  <c r="G44" i="72"/>
  <c r="I44" i="72" s="1"/>
  <c r="G43" i="72"/>
  <c r="I43" i="72" s="1"/>
  <c r="G42" i="72"/>
  <c r="I42" i="72" s="1"/>
  <c r="G41" i="72"/>
  <c r="I41" i="72" s="1"/>
  <c r="G40" i="72"/>
  <c r="I40" i="72" s="1"/>
  <c r="G39" i="72"/>
  <c r="I39" i="72" s="1"/>
  <c r="G38" i="72"/>
  <c r="I38" i="72" s="1"/>
  <c r="G37" i="72"/>
  <c r="I37" i="72" s="1"/>
  <c r="G36" i="72"/>
  <c r="I36" i="72" s="1"/>
  <c r="G34" i="72"/>
  <c r="I34" i="72" s="1"/>
  <c r="G33" i="72"/>
  <c r="I33" i="72" s="1"/>
  <c r="G32" i="72"/>
  <c r="I32" i="72" s="1"/>
  <c r="G31" i="72"/>
  <c r="I31" i="72" s="1"/>
  <c r="G30" i="72"/>
  <c r="I30" i="72" s="1"/>
  <c r="G29" i="72"/>
  <c r="I29" i="72" s="1"/>
  <c r="G28" i="72"/>
  <c r="I28" i="72" s="1"/>
  <c r="G27" i="72"/>
  <c r="I27" i="72" s="1"/>
  <c r="G26" i="72"/>
  <c r="I26" i="72" s="1"/>
  <c r="G24" i="72"/>
  <c r="I24" i="72" s="1"/>
  <c r="G23" i="72"/>
  <c r="I23" i="72" s="1"/>
  <c r="G22" i="72"/>
  <c r="G21" i="72"/>
  <c r="I21" i="72" s="1"/>
  <c r="G20" i="72"/>
  <c r="I20" i="72" s="1"/>
  <c r="G19" i="72"/>
  <c r="I19" i="72" s="1"/>
  <c r="G18" i="72"/>
  <c r="I18" i="72" s="1"/>
  <c r="G17" i="72"/>
  <c r="I17" i="72" s="1"/>
  <c r="G16" i="72"/>
  <c r="I16" i="72" s="1"/>
  <c r="G15" i="72"/>
  <c r="I15" i="72" s="1"/>
  <c r="G14" i="72"/>
  <c r="I14" i="72" s="1"/>
  <c r="G13" i="72"/>
  <c r="I13" i="72" s="1"/>
  <c r="G11" i="72"/>
  <c r="I11" i="72" s="1"/>
  <c r="G10" i="72"/>
  <c r="I10" i="72" s="1"/>
  <c r="G9" i="72"/>
  <c r="I9" i="72" s="1"/>
  <c r="G8" i="72"/>
  <c r="I8" i="72" s="1"/>
  <c r="G7" i="72"/>
  <c r="I7" i="72" s="1"/>
  <c r="G6" i="72"/>
  <c r="I6" i="72" s="1"/>
  <c r="G35" i="72"/>
  <c r="I35" i="72" s="1"/>
  <c r="G78" i="76"/>
  <c r="I78" i="76" s="1"/>
  <c r="G77" i="76"/>
  <c r="I77" i="76" s="1"/>
  <c r="G76" i="76"/>
  <c r="I76" i="76" s="1"/>
  <c r="G74" i="76"/>
  <c r="I74" i="76" s="1"/>
  <c r="L58" i="73"/>
  <c r="C57" i="80"/>
  <c r="E57" i="80" s="1"/>
  <c r="E60" i="78"/>
  <c r="E67" i="78" s="1"/>
  <c r="D25" i="80"/>
  <c r="E55" i="80"/>
  <c r="C62" i="80"/>
  <c r="C64" i="80"/>
  <c r="I64" i="80" s="1"/>
  <c r="C63" i="80"/>
  <c r="I63" i="80" s="1"/>
  <c r="D31" i="80"/>
  <c r="E21" i="74"/>
  <c r="G21" i="74"/>
  <c r="B10" i="74"/>
  <c r="G73" i="76"/>
  <c r="I73" i="76" s="1"/>
  <c r="G75" i="76"/>
  <c r="I75" i="76" s="1"/>
  <c r="G25" i="76"/>
  <c r="I25" i="76" s="1"/>
  <c r="C100" i="77"/>
  <c r="G90" i="77"/>
  <c r="I90" i="77"/>
  <c r="G89" i="77"/>
  <c r="I89" i="77" s="1"/>
  <c r="G87" i="77"/>
  <c r="I87" i="77"/>
  <c r="G86" i="77"/>
  <c r="I86" i="77" s="1"/>
  <c r="G85" i="77"/>
  <c r="I85" i="77"/>
  <c r="G84" i="77"/>
  <c r="I84" i="77" s="1"/>
  <c r="C18" i="77"/>
  <c r="L64" i="73"/>
  <c r="G107" i="74"/>
  <c r="H73" i="80"/>
  <c r="G73" i="80"/>
  <c r="F73" i="80"/>
  <c r="I71" i="80"/>
  <c r="C71" i="80"/>
  <c r="I61" i="80"/>
  <c r="I60" i="80"/>
  <c r="I58" i="80"/>
  <c r="I41" i="80"/>
  <c r="D33" i="80"/>
  <c r="E17" i="80"/>
  <c r="C43" i="80" s="1"/>
  <c r="I43" i="80" s="1"/>
  <c r="E16" i="80"/>
  <c r="C42" i="80"/>
  <c r="I42" i="80" s="1"/>
  <c r="E9" i="80"/>
  <c r="C54" i="80" s="1"/>
  <c r="I54" i="80" s="1"/>
  <c r="E8" i="80"/>
  <c r="I66" i="80"/>
  <c r="D34" i="78"/>
  <c r="H76" i="78"/>
  <c r="G76" i="78"/>
  <c r="F76" i="78"/>
  <c r="I64" i="78"/>
  <c r="I63" i="78"/>
  <c r="I61" i="78"/>
  <c r="E17" i="78"/>
  <c r="C44" i="78" s="1"/>
  <c r="I44" i="78" s="1"/>
  <c r="E16" i="78"/>
  <c r="C43" i="78" s="1"/>
  <c r="I43" i="78" s="1"/>
  <c r="E9" i="78"/>
  <c r="C57" i="78" s="1"/>
  <c r="I57" i="78" s="1"/>
  <c r="E8" i="78"/>
  <c r="I74" i="78"/>
  <c r="H141" i="73" s="1"/>
  <c r="L98" i="73"/>
  <c r="C74" i="78"/>
  <c r="L83" i="73"/>
  <c r="L85" i="73" s="1"/>
  <c r="G109" i="74"/>
  <c r="G82" i="77"/>
  <c r="I82" i="77"/>
  <c r="G83" i="77"/>
  <c r="I83" i="77" s="1"/>
  <c r="G19" i="74"/>
  <c r="G20" i="74"/>
  <c r="G22" i="74"/>
  <c r="G23" i="74"/>
  <c r="G24" i="74"/>
  <c r="G25" i="74"/>
  <c r="G26" i="74"/>
  <c r="G27" i="74"/>
  <c r="G28" i="74"/>
  <c r="G29" i="74"/>
  <c r="G30" i="74"/>
  <c r="G31" i="74"/>
  <c r="G32" i="74"/>
  <c r="G33" i="74"/>
  <c r="G34" i="74"/>
  <c r="G35" i="74"/>
  <c r="G36" i="74"/>
  <c r="G37" i="74"/>
  <c r="G38" i="74"/>
  <c r="G39" i="74"/>
  <c r="G40" i="74"/>
  <c r="G41" i="74"/>
  <c r="G42" i="74"/>
  <c r="G43" i="74"/>
  <c r="G44" i="74"/>
  <c r="G45" i="74"/>
  <c r="G46" i="74"/>
  <c r="G47" i="74"/>
  <c r="G48" i="74"/>
  <c r="G49" i="74"/>
  <c r="G50" i="74"/>
  <c r="G51" i="74"/>
  <c r="G52" i="74"/>
  <c r="G53" i="74"/>
  <c r="G54" i="74"/>
  <c r="G55" i="74"/>
  <c r="G56" i="74"/>
  <c r="G57" i="74"/>
  <c r="G58" i="74"/>
  <c r="G59" i="74"/>
  <c r="G60" i="74"/>
  <c r="G61" i="74"/>
  <c r="G62" i="74"/>
  <c r="G63" i="74"/>
  <c r="G64" i="74"/>
  <c r="G65" i="74"/>
  <c r="G66" i="74"/>
  <c r="G67" i="74"/>
  <c r="G68" i="74"/>
  <c r="G69" i="74"/>
  <c r="G70" i="74"/>
  <c r="G71" i="74"/>
  <c r="G72" i="74"/>
  <c r="G73" i="74"/>
  <c r="G74" i="74"/>
  <c r="G75" i="74"/>
  <c r="G76" i="74"/>
  <c r="G77" i="74"/>
  <c r="G78" i="74"/>
  <c r="G79" i="74"/>
  <c r="G80" i="74"/>
  <c r="G81" i="74"/>
  <c r="G82" i="74"/>
  <c r="G83" i="74"/>
  <c r="G84" i="74"/>
  <c r="G85" i="74"/>
  <c r="G86" i="74"/>
  <c r="G87" i="74"/>
  <c r="G88" i="74"/>
  <c r="G89" i="74"/>
  <c r="G90" i="74"/>
  <c r="G91" i="74"/>
  <c r="G92" i="74"/>
  <c r="G93" i="74"/>
  <c r="G94" i="74"/>
  <c r="G95" i="74"/>
  <c r="G96" i="74"/>
  <c r="G97" i="74"/>
  <c r="G98" i="74"/>
  <c r="G99" i="74"/>
  <c r="G100" i="74"/>
  <c r="G101" i="74"/>
  <c r="G102" i="74"/>
  <c r="G103" i="74"/>
  <c r="G104" i="74"/>
  <c r="G105" i="74"/>
  <c r="G106" i="74"/>
  <c r="G108" i="74"/>
  <c r="G110" i="74"/>
  <c r="G111" i="74"/>
  <c r="D40" i="80"/>
  <c r="D56" i="80" s="1"/>
  <c r="D73" i="80" s="1"/>
  <c r="G7" i="74"/>
  <c r="G8" i="74"/>
  <c r="G9" i="74"/>
  <c r="G11" i="74"/>
  <c r="G12" i="74"/>
  <c r="G13" i="74"/>
  <c r="G14" i="74"/>
  <c r="G15" i="74"/>
  <c r="G16" i="74"/>
  <c r="G17" i="74"/>
  <c r="G18" i="74"/>
  <c r="G6" i="74"/>
  <c r="E110" i="74"/>
  <c r="E14" i="74"/>
  <c r="E15" i="74"/>
  <c r="E16" i="74"/>
  <c r="E17" i="74"/>
  <c r="E18" i="74"/>
  <c r="E19" i="74"/>
  <c r="E20" i="74"/>
  <c r="E22" i="74"/>
  <c r="E23" i="74"/>
  <c r="E24" i="74"/>
  <c r="E25" i="74"/>
  <c r="E26" i="74"/>
  <c r="E27" i="74"/>
  <c r="E28" i="74"/>
  <c r="E29" i="74"/>
  <c r="E30" i="74"/>
  <c r="E31" i="74"/>
  <c r="E32" i="74"/>
  <c r="E33" i="74"/>
  <c r="E34" i="74"/>
  <c r="E35" i="74"/>
  <c r="E36" i="74"/>
  <c r="E37" i="74"/>
  <c r="E38" i="74"/>
  <c r="E39" i="74"/>
  <c r="E40" i="74"/>
  <c r="E41" i="74"/>
  <c r="E42" i="74"/>
  <c r="E43" i="74"/>
  <c r="E44" i="74"/>
  <c r="E45" i="74"/>
  <c r="E46" i="74"/>
  <c r="E47" i="74"/>
  <c r="E48" i="74"/>
  <c r="E49" i="74"/>
  <c r="E50" i="74"/>
  <c r="E51" i="74"/>
  <c r="E52" i="74"/>
  <c r="E53" i="74"/>
  <c r="E54" i="74"/>
  <c r="E55" i="74"/>
  <c r="E56" i="74"/>
  <c r="E57" i="74"/>
  <c r="E58" i="74"/>
  <c r="E59" i="74"/>
  <c r="E60" i="74"/>
  <c r="E61" i="74"/>
  <c r="E62" i="74"/>
  <c r="E63" i="74"/>
  <c r="E64" i="74"/>
  <c r="E65" i="74"/>
  <c r="E66" i="74"/>
  <c r="E67" i="74"/>
  <c r="E68" i="74"/>
  <c r="E69" i="74"/>
  <c r="E70" i="74"/>
  <c r="E71" i="74"/>
  <c r="E72" i="74"/>
  <c r="E73" i="74"/>
  <c r="E74" i="74"/>
  <c r="E75" i="74"/>
  <c r="E76" i="74"/>
  <c r="E77" i="74"/>
  <c r="E78" i="74"/>
  <c r="E79" i="74"/>
  <c r="E80" i="74"/>
  <c r="E81" i="74"/>
  <c r="E82" i="74"/>
  <c r="E83" i="74"/>
  <c r="E84" i="74"/>
  <c r="E85" i="74"/>
  <c r="E86" i="74"/>
  <c r="E87" i="74"/>
  <c r="E88" i="74"/>
  <c r="E89" i="74"/>
  <c r="E90" i="74"/>
  <c r="E91" i="74"/>
  <c r="E92" i="74"/>
  <c r="E93" i="74"/>
  <c r="E94" i="74"/>
  <c r="E95" i="74"/>
  <c r="E96" i="74"/>
  <c r="E97" i="74"/>
  <c r="E98" i="74"/>
  <c r="E99" i="74"/>
  <c r="E100" i="74"/>
  <c r="E101" i="74"/>
  <c r="E102" i="74"/>
  <c r="E103" i="74"/>
  <c r="E104" i="74"/>
  <c r="E105" i="74"/>
  <c r="E106" i="74"/>
  <c r="E107" i="74"/>
  <c r="E108" i="74"/>
  <c r="E109" i="74"/>
  <c r="E111" i="74"/>
  <c r="A112" i="74"/>
  <c r="A114" i="74" s="1"/>
  <c r="E9" i="74"/>
  <c r="E10" i="74"/>
  <c r="E11" i="74"/>
  <c r="E12" i="74"/>
  <c r="E13" i="74"/>
  <c r="E7" i="74"/>
  <c r="E8" i="74"/>
  <c r="E6" i="74"/>
  <c r="G24" i="76"/>
  <c r="I24" i="76" s="1"/>
  <c r="G8" i="76"/>
  <c r="I8" i="76" s="1"/>
  <c r="H101" i="77"/>
  <c r="F101" i="77"/>
  <c r="E101" i="77"/>
  <c r="D101" i="77"/>
  <c r="H100" i="77"/>
  <c r="F100" i="77"/>
  <c r="E100" i="77"/>
  <c r="E102" i="77" s="1"/>
  <c r="D100" i="77"/>
  <c r="H99" i="77"/>
  <c r="H102" i="77"/>
  <c r="F99" i="77"/>
  <c r="F102" i="77" s="1"/>
  <c r="E99" i="77"/>
  <c r="D99" i="77"/>
  <c r="H96" i="77"/>
  <c r="F96" i="77"/>
  <c r="E96" i="77"/>
  <c r="D96" i="77"/>
  <c r="G95" i="77"/>
  <c r="I95" i="77" s="1"/>
  <c r="G94" i="77"/>
  <c r="I94" i="77" s="1"/>
  <c r="G93" i="77"/>
  <c r="I93" i="77" s="1"/>
  <c r="G92" i="77"/>
  <c r="I92" i="77" s="1"/>
  <c r="G91" i="77"/>
  <c r="I91" i="77" s="1"/>
  <c r="G88" i="77"/>
  <c r="I88" i="77" s="1"/>
  <c r="G81" i="77"/>
  <c r="I81" i="77" s="1"/>
  <c r="G80" i="77"/>
  <c r="I80" i="77" s="1"/>
  <c r="G79" i="77"/>
  <c r="I79" i="77" s="1"/>
  <c r="G78" i="77"/>
  <c r="I78" i="77" s="1"/>
  <c r="G77" i="77"/>
  <c r="I77" i="77" s="1"/>
  <c r="G76" i="77"/>
  <c r="I76" i="77" s="1"/>
  <c r="G75" i="77"/>
  <c r="I75" i="77" s="1"/>
  <c r="G74" i="77"/>
  <c r="I74" i="77" s="1"/>
  <c r="G73" i="77"/>
  <c r="I73" i="77" s="1"/>
  <c r="G72" i="77"/>
  <c r="I72" i="77" s="1"/>
  <c r="G71" i="77"/>
  <c r="I71" i="77" s="1"/>
  <c r="G70" i="77"/>
  <c r="I70" i="77" s="1"/>
  <c r="G69" i="77"/>
  <c r="I69" i="77" s="1"/>
  <c r="G68" i="77"/>
  <c r="I68" i="77" s="1"/>
  <c r="G67" i="77"/>
  <c r="I67" i="77" s="1"/>
  <c r="G66" i="77"/>
  <c r="I66" i="77" s="1"/>
  <c r="G65" i="77"/>
  <c r="I65" i="77"/>
  <c r="G64" i="77"/>
  <c r="I64" i="77" s="1"/>
  <c r="G63" i="77"/>
  <c r="I63" i="77"/>
  <c r="G62" i="77"/>
  <c r="I62" i="77" s="1"/>
  <c r="G61" i="77"/>
  <c r="I61" i="77"/>
  <c r="J74" i="77" s="1"/>
  <c r="J76" i="77" s="1"/>
  <c r="G60" i="77"/>
  <c r="I60" i="77" s="1"/>
  <c r="G59" i="77"/>
  <c r="I59" i="77" s="1"/>
  <c r="G58" i="77"/>
  <c r="I58" i="77" s="1"/>
  <c r="G57" i="77"/>
  <c r="I57" i="77" s="1"/>
  <c r="G56" i="77"/>
  <c r="I56" i="77" s="1"/>
  <c r="G54" i="77"/>
  <c r="I54" i="77" s="1"/>
  <c r="G55" i="77"/>
  <c r="G53" i="77"/>
  <c r="I53" i="77" s="1"/>
  <c r="G52" i="77"/>
  <c r="I52" i="77"/>
  <c r="G51" i="77"/>
  <c r="I51" i="77" s="1"/>
  <c r="G50" i="77"/>
  <c r="I50" i="77"/>
  <c r="G49" i="77"/>
  <c r="I49" i="77" s="1"/>
  <c r="G48" i="77"/>
  <c r="I48" i="77" s="1"/>
  <c r="G47" i="77"/>
  <c r="I47" i="77" s="1"/>
  <c r="G46" i="77"/>
  <c r="I46" i="77" s="1"/>
  <c r="G45" i="77"/>
  <c r="I45" i="77" s="1"/>
  <c r="G44" i="77"/>
  <c r="I44" i="77" s="1"/>
  <c r="G43" i="77"/>
  <c r="I43" i="77" s="1"/>
  <c r="C42" i="77"/>
  <c r="G42" i="77" s="1"/>
  <c r="C41" i="77"/>
  <c r="G40" i="77"/>
  <c r="I40" i="77" s="1"/>
  <c r="G39" i="77"/>
  <c r="I39" i="77" s="1"/>
  <c r="G38" i="77"/>
  <c r="I38" i="77" s="1"/>
  <c r="G37" i="77"/>
  <c r="I37" i="77" s="1"/>
  <c r="G36" i="77"/>
  <c r="I36" i="77" s="1"/>
  <c r="G35" i="77"/>
  <c r="I35" i="77" s="1"/>
  <c r="G34" i="77"/>
  <c r="I34" i="77" s="1"/>
  <c r="G33" i="77"/>
  <c r="I33" i="77" s="1"/>
  <c r="G32" i="77"/>
  <c r="I32" i="77" s="1"/>
  <c r="G31" i="77"/>
  <c r="I31" i="77" s="1"/>
  <c r="G30" i="77"/>
  <c r="I30" i="77" s="1"/>
  <c r="G29" i="77"/>
  <c r="I29" i="77" s="1"/>
  <c r="G28" i="77"/>
  <c r="I28" i="77" s="1"/>
  <c r="G27" i="77"/>
  <c r="I27" i="77" s="1"/>
  <c r="G26" i="77"/>
  <c r="I26" i="77" s="1"/>
  <c r="G25" i="77"/>
  <c r="I25" i="77" s="1"/>
  <c r="G24" i="77"/>
  <c r="I24" i="77" s="1"/>
  <c r="G23" i="77"/>
  <c r="I23" i="77" s="1"/>
  <c r="G22" i="77"/>
  <c r="I22" i="77" s="1"/>
  <c r="G21" i="77"/>
  <c r="I21" i="77" s="1"/>
  <c r="G20" i="77"/>
  <c r="I20" i="77" s="1"/>
  <c r="G19" i="77"/>
  <c r="I19" i="77" s="1"/>
  <c r="G18" i="77"/>
  <c r="I18" i="77" s="1"/>
  <c r="G17" i="77"/>
  <c r="I17" i="77" s="1"/>
  <c r="G16" i="77"/>
  <c r="I16" i="77" s="1"/>
  <c r="G15" i="77"/>
  <c r="I15" i="77" s="1"/>
  <c r="G14" i="77"/>
  <c r="I14" i="77" s="1"/>
  <c r="G13" i="77"/>
  <c r="I13" i="77" s="1"/>
  <c r="J11" i="77" s="1"/>
  <c r="J13" i="77" s="1"/>
  <c r="G12" i="77"/>
  <c r="I12" i="77" s="1"/>
  <c r="G11" i="77"/>
  <c r="I11" i="77" s="1"/>
  <c r="G10" i="77"/>
  <c r="I10" i="77" s="1"/>
  <c r="G9" i="77"/>
  <c r="I9" i="77" s="1"/>
  <c r="G8" i="77"/>
  <c r="I8" i="77" s="1"/>
  <c r="G7" i="77"/>
  <c r="I7" i="77" s="1"/>
  <c r="G6" i="77"/>
  <c r="I6" i="77" s="1"/>
  <c r="H102" i="76"/>
  <c r="F102" i="76"/>
  <c r="H101" i="76"/>
  <c r="H100" i="76"/>
  <c r="F100" i="76"/>
  <c r="F103" i="76" s="1"/>
  <c r="E100" i="76"/>
  <c r="E103" i="76" s="1"/>
  <c r="D100" i="76"/>
  <c r="H97" i="76"/>
  <c r="F97" i="76"/>
  <c r="E97" i="76"/>
  <c r="D97" i="76"/>
  <c r="I95" i="76"/>
  <c r="G94" i="76"/>
  <c r="I94" i="76" s="1"/>
  <c r="I93" i="76"/>
  <c r="G71" i="76"/>
  <c r="I71" i="76" s="1"/>
  <c r="G61" i="76"/>
  <c r="I61" i="76" s="1"/>
  <c r="G59" i="76"/>
  <c r="I59" i="76" s="1"/>
  <c r="G57" i="76"/>
  <c r="I57" i="76" s="1"/>
  <c r="G54" i="76"/>
  <c r="I54" i="76" s="1"/>
  <c r="G53" i="76"/>
  <c r="I53" i="76" s="1"/>
  <c r="G52" i="76"/>
  <c r="I52" i="76" s="1"/>
  <c r="G51" i="76"/>
  <c r="I51" i="76" s="1"/>
  <c r="G50" i="76"/>
  <c r="I50" i="76" s="1"/>
  <c r="G49" i="76"/>
  <c r="I49" i="76" s="1"/>
  <c r="G48" i="76"/>
  <c r="I48" i="76" s="1"/>
  <c r="G47" i="76"/>
  <c r="I47" i="76" s="1"/>
  <c r="G46" i="76"/>
  <c r="I46" i="76" s="1"/>
  <c r="G45" i="76"/>
  <c r="I45" i="76" s="1"/>
  <c r="G44" i="76"/>
  <c r="I44" i="76" s="1"/>
  <c r="G43" i="76"/>
  <c r="I43" i="76" s="1"/>
  <c r="G42" i="76"/>
  <c r="I42" i="76" s="1"/>
  <c r="G41" i="76"/>
  <c r="I41" i="76" s="1"/>
  <c r="G40" i="76"/>
  <c r="I40" i="76" s="1"/>
  <c r="G39" i="76"/>
  <c r="I39" i="76" s="1"/>
  <c r="G38" i="76"/>
  <c r="I38" i="76" s="1"/>
  <c r="G37" i="76"/>
  <c r="I37" i="76" s="1"/>
  <c r="G36" i="76"/>
  <c r="I36" i="76" s="1"/>
  <c r="G35" i="76"/>
  <c r="I35" i="76" s="1"/>
  <c r="G34" i="76"/>
  <c r="I34" i="76" s="1"/>
  <c r="G33" i="76"/>
  <c r="I33" i="76" s="1"/>
  <c r="G32" i="76"/>
  <c r="I32" i="76" s="1"/>
  <c r="G31" i="76"/>
  <c r="I31" i="76" s="1"/>
  <c r="G30" i="76"/>
  <c r="I30" i="76" s="1"/>
  <c r="G29" i="76"/>
  <c r="I29" i="76" s="1"/>
  <c r="G28" i="76"/>
  <c r="I28" i="76" s="1"/>
  <c r="G27" i="76"/>
  <c r="I27" i="76" s="1"/>
  <c r="G26" i="76"/>
  <c r="I26" i="76" s="1"/>
  <c r="G23" i="76"/>
  <c r="I23" i="76" s="1"/>
  <c r="G21" i="76"/>
  <c r="I21" i="76" s="1"/>
  <c r="G20" i="76"/>
  <c r="I20" i="76" s="1"/>
  <c r="G19" i="76"/>
  <c r="I19" i="76" s="1"/>
  <c r="G18" i="76"/>
  <c r="I18" i="76" s="1"/>
  <c r="G17" i="76"/>
  <c r="I17" i="76" s="1"/>
  <c r="G16" i="76"/>
  <c r="I16" i="76" s="1"/>
  <c r="G15" i="76"/>
  <c r="I15" i="76" s="1"/>
  <c r="G14" i="76"/>
  <c r="I14" i="76" s="1"/>
  <c r="G13" i="76"/>
  <c r="G12" i="76"/>
  <c r="I12" i="76" s="1"/>
  <c r="G11" i="76"/>
  <c r="I11" i="76" s="1"/>
  <c r="G10" i="76"/>
  <c r="I10" i="76" s="1"/>
  <c r="G9" i="76"/>
  <c r="I9" i="76" s="1"/>
  <c r="G7" i="76"/>
  <c r="I7" i="76" s="1"/>
  <c r="G6" i="76"/>
  <c r="I6" i="76" s="1"/>
  <c r="I40" i="80"/>
  <c r="G41" i="77"/>
  <c r="I41" i="77" s="1"/>
  <c r="D102" i="77"/>
  <c r="G101" i="77"/>
  <c r="C101" i="77"/>
  <c r="L9" i="73"/>
  <c r="P6" i="73" s="1"/>
  <c r="L14" i="73"/>
  <c r="L21" i="73"/>
  <c r="G54" i="52"/>
  <c r="I54" i="52"/>
  <c r="K50" i="51"/>
  <c r="C42" i="51"/>
  <c r="K47" i="51" s="1"/>
  <c r="K49" i="51" s="1"/>
  <c r="K50" i="47"/>
  <c r="K47" i="44"/>
  <c r="K60" i="43"/>
  <c r="K68" i="43"/>
  <c r="G74" i="53"/>
  <c r="I74" i="53" s="1"/>
  <c r="G75" i="51"/>
  <c r="I75" i="51" s="1"/>
  <c r="G77" i="49"/>
  <c r="G76" i="47"/>
  <c r="I76" i="47" s="1"/>
  <c r="G77" i="44"/>
  <c r="I77" i="44" s="1"/>
  <c r="K78" i="53"/>
  <c r="K80" i="53" s="1"/>
  <c r="K44" i="53"/>
  <c r="K79" i="51"/>
  <c r="K81" i="51" s="1"/>
  <c r="K51" i="51"/>
  <c r="K80" i="49"/>
  <c r="K82" i="49" s="1"/>
  <c r="K44" i="49"/>
  <c r="K79" i="47"/>
  <c r="K81" i="47" s="1"/>
  <c r="K80" i="44"/>
  <c r="K82" i="44" s="1"/>
  <c r="K70" i="43"/>
  <c r="K59" i="43"/>
  <c r="G55" i="52"/>
  <c r="I55" i="52" s="1"/>
  <c r="F105" i="52"/>
  <c r="E105" i="52"/>
  <c r="D105" i="52"/>
  <c r="C105" i="52"/>
  <c r="G104" i="52"/>
  <c r="I104" i="52" s="1"/>
  <c r="G103" i="52"/>
  <c r="I103" i="52"/>
  <c r="G102" i="52"/>
  <c r="I102" i="52" s="1"/>
  <c r="G101" i="52"/>
  <c r="I101" i="52"/>
  <c r="G100" i="52"/>
  <c r="I100" i="52" s="1"/>
  <c r="G99" i="52"/>
  <c r="I99" i="52"/>
  <c r="G98" i="52"/>
  <c r="I98" i="52" s="1"/>
  <c r="G97" i="52"/>
  <c r="I97" i="52"/>
  <c r="G96" i="52"/>
  <c r="I96" i="52" s="1"/>
  <c r="G95" i="52"/>
  <c r="I95" i="52"/>
  <c r="G94" i="52"/>
  <c r="I94" i="52" s="1"/>
  <c r="G93" i="52"/>
  <c r="I93" i="52"/>
  <c r="G92" i="52"/>
  <c r="I92" i="52" s="1"/>
  <c r="G91" i="52"/>
  <c r="I91" i="52" s="1"/>
  <c r="G90" i="52"/>
  <c r="I90" i="52" s="1"/>
  <c r="G89" i="52"/>
  <c r="I89" i="52" s="1"/>
  <c r="G88" i="52"/>
  <c r="I88" i="52" s="1"/>
  <c r="G87" i="52"/>
  <c r="I87" i="52" s="1"/>
  <c r="G86" i="52"/>
  <c r="I86" i="52" s="1"/>
  <c r="G85" i="52"/>
  <c r="I85" i="52" s="1"/>
  <c r="G84" i="52"/>
  <c r="I84" i="52" s="1"/>
  <c r="G83" i="52"/>
  <c r="I83" i="52" s="1"/>
  <c r="G82" i="52"/>
  <c r="I82" i="52" s="1"/>
  <c r="G81" i="52"/>
  <c r="I81" i="52" s="1"/>
  <c r="G80" i="52"/>
  <c r="I80" i="52" s="1"/>
  <c r="G79" i="52"/>
  <c r="I79" i="52" s="1"/>
  <c r="G78" i="52"/>
  <c r="I78" i="52" s="1"/>
  <c r="G77" i="52"/>
  <c r="I77" i="52" s="1"/>
  <c r="G76" i="52"/>
  <c r="I76" i="52" s="1"/>
  <c r="G75" i="52"/>
  <c r="I75" i="52" s="1"/>
  <c r="G74" i="52"/>
  <c r="I74" i="52" s="1"/>
  <c r="G73" i="52"/>
  <c r="I73" i="52" s="1"/>
  <c r="G72" i="52"/>
  <c r="I72" i="52" s="1"/>
  <c r="G71" i="52"/>
  <c r="I71" i="52" s="1"/>
  <c r="G70" i="52"/>
  <c r="I70" i="52" s="1"/>
  <c r="G69" i="52"/>
  <c r="I69" i="52" s="1"/>
  <c r="G68" i="52"/>
  <c r="I68" i="52" s="1"/>
  <c r="G67" i="52"/>
  <c r="I67" i="52" s="1"/>
  <c r="G66" i="52"/>
  <c r="I66" i="52" s="1"/>
  <c r="G65" i="52"/>
  <c r="I65" i="52" s="1"/>
  <c r="G64" i="52"/>
  <c r="I64" i="52" s="1"/>
  <c r="G63" i="52"/>
  <c r="I63" i="52" s="1"/>
  <c r="G62" i="52"/>
  <c r="I62" i="52" s="1"/>
  <c r="G61" i="52"/>
  <c r="I61" i="52" s="1"/>
  <c r="G60" i="52"/>
  <c r="I60" i="52" s="1"/>
  <c r="G59" i="52"/>
  <c r="I59" i="52" s="1"/>
  <c r="G58" i="52"/>
  <c r="I58" i="52" s="1"/>
  <c r="G57" i="52"/>
  <c r="I57" i="52" s="1"/>
  <c r="G56" i="52"/>
  <c r="I56" i="52" s="1"/>
  <c r="G53" i="52"/>
  <c r="I53" i="52" s="1"/>
  <c r="G52" i="52"/>
  <c r="I52" i="52" s="1"/>
  <c r="G51" i="52"/>
  <c r="I51" i="52" s="1"/>
  <c r="G50" i="52"/>
  <c r="I50" i="52" s="1"/>
  <c r="G49" i="52"/>
  <c r="I49" i="52" s="1"/>
  <c r="G48" i="52"/>
  <c r="I48" i="52" s="1"/>
  <c r="G47" i="52"/>
  <c r="I47" i="52" s="1"/>
  <c r="G46" i="52"/>
  <c r="I46" i="52"/>
  <c r="G45" i="52"/>
  <c r="I45" i="52" s="1"/>
  <c r="G44" i="52"/>
  <c r="I44" i="52" s="1"/>
  <c r="G43" i="52"/>
  <c r="I43" i="52" s="1"/>
  <c r="G42" i="52"/>
  <c r="I42" i="52"/>
  <c r="G41" i="52"/>
  <c r="I41" i="52" s="1"/>
  <c r="G40" i="52"/>
  <c r="I40" i="52" s="1"/>
  <c r="G39" i="52"/>
  <c r="I39" i="52" s="1"/>
  <c r="G38" i="52"/>
  <c r="I38" i="52"/>
  <c r="G37" i="52"/>
  <c r="I37" i="52" s="1"/>
  <c r="G36" i="52"/>
  <c r="I36" i="52" s="1"/>
  <c r="G35" i="52"/>
  <c r="I35" i="52" s="1"/>
  <c r="G34" i="52"/>
  <c r="I34" i="52"/>
  <c r="G33" i="52"/>
  <c r="I33" i="52" s="1"/>
  <c r="G32" i="52"/>
  <c r="I32" i="52" s="1"/>
  <c r="G31" i="52"/>
  <c r="I31" i="52" s="1"/>
  <c r="G30" i="52"/>
  <c r="I30" i="52"/>
  <c r="G29" i="52"/>
  <c r="I29" i="52" s="1"/>
  <c r="G28" i="52"/>
  <c r="I28" i="52" s="1"/>
  <c r="G27" i="52"/>
  <c r="I27" i="52" s="1"/>
  <c r="G26" i="52"/>
  <c r="I26" i="52"/>
  <c r="G25" i="52"/>
  <c r="I25" i="52" s="1"/>
  <c r="G24" i="52"/>
  <c r="I24" i="52" s="1"/>
  <c r="G23" i="52"/>
  <c r="I23" i="52" s="1"/>
  <c r="G22" i="52"/>
  <c r="I22" i="52"/>
  <c r="G21" i="52"/>
  <c r="I21" i="52" s="1"/>
  <c r="G20" i="52"/>
  <c r="I20" i="52" s="1"/>
  <c r="G19" i="52"/>
  <c r="I19" i="52" s="1"/>
  <c r="G18" i="52"/>
  <c r="I18" i="52" s="1"/>
  <c r="G17" i="52"/>
  <c r="I17" i="52" s="1"/>
  <c r="G16" i="52"/>
  <c r="I16" i="52" s="1"/>
  <c r="G15" i="52"/>
  <c r="I15" i="52" s="1"/>
  <c r="G14" i="52"/>
  <c r="I14" i="52" s="1"/>
  <c r="G13" i="52"/>
  <c r="I13" i="52" s="1"/>
  <c r="G12" i="52"/>
  <c r="I12" i="52" s="1"/>
  <c r="G11" i="52"/>
  <c r="I11" i="52" s="1"/>
  <c r="G10" i="52"/>
  <c r="I10" i="52" s="1"/>
  <c r="G9" i="52"/>
  <c r="I9" i="52" s="1"/>
  <c r="G8" i="52"/>
  <c r="I8" i="52" s="1"/>
  <c r="G7" i="52"/>
  <c r="I7" i="52" s="1"/>
  <c r="G6" i="52"/>
  <c r="C89" i="53"/>
  <c r="C42" i="53"/>
  <c r="C85" i="53"/>
  <c r="G78" i="53"/>
  <c r="I78" i="53"/>
  <c r="H90" i="53"/>
  <c r="F90" i="53"/>
  <c r="E90" i="53"/>
  <c r="D90" i="53"/>
  <c r="C90" i="53"/>
  <c r="H89" i="53"/>
  <c r="F89" i="53"/>
  <c r="E89" i="53"/>
  <c r="D89" i="53"/>
  <c r="H88" i="53"/>
  <c r="H91" i="53" s="1"/>
  <c r="F88" i="53"/>
  <c r="E88" i="53"/>
  <c r="E91" i="53" s="1"/>
  <c r="D88" i="53"/>
  <c r="H85" i="53"/>
  <c r="F85" i="53"/>
  <c r="E85" i="53"/>
  <c r="D85" i="53"/>
  <c r="G84" i="53"/>
  <c r="I84" i="53" s="1"/>
  <c r="G83" i="53"/>
  <c r="I83" i="53" s="1"/>
  <c r="G82" i="53"/>
  <c r="I82" i="53" s="1"/>
  <c r="G81" i="53"/>
  <c r="I81" i="53" s="1"/>
  <c r="G80" i="53"/>
  <c r="G79" i="53"/>
  <c r="I79" i="53" s="1"/>
  <c r="G77" i="53"/>
  <c r="I77" i="53"/>
  <c r="G76" i="53"/>
  <c r="I76" i="53"/>
  <c r="G75" i="53"/>
  <c r="I75" i="53"/>
  <c r="G73" i="53"/>
  <c r="I73" i="53"/>
  <c r="G72" i="53"/>
  <c r="I72" i="53"/>
  <c r="G71" i="53"/>
  <c r="I71" i="53"/>
  <c r="G70" i="53"/>
  <c r="I70" i="53"/>
  <c r="G69" i="53"/>
  <c r="I69" i="53"/>
  <c r="G68" i="53"/>
  <c r="I68" i="53"/>
  <c r="G67" i="53"/>
  <c r="I67" i="53"/>
  <c r="G66" i="53"/>
  <c r="I66" i="53"/>
  <c r="G65" i="53"/>
  <c r="I65" i="53"/>
  <c r="G64" i="53"/>
  <c r="I64" i="53"/>
  <c r="G63" i="53"/>
  <c r="I63" i="53"/>
  <c r="G62" i="53"/>
  <c r="I62" i="53"/>
  <c r="G61" i="53"/>
  <c r="I61" i="53"/>
  <c r="G60" i="53"/>
  <c r="I60" i="53"/>
  <c r="G59" i="53"/>
  <c r="I59" i="53"/>
  <c r="G58" i="53"/>
  <c r="I58" i="53"/>
  <c r="G57" i="53"/>
  <c r="I57" i="53"/>
  <c r="G56" i="53"/>
  <c r="I56" i="53"/>
  <c r="G55" i="53"/>
  <c r="I55" i="53"/>
  <c r="G54" i="53"/>
  <c r="I54" i="53"/>
  <c r="G53" i="53"/>
  <c r="I53" i="53"/>
  <c r="G52" i="53"/>
  <c r="I52" i="53"/>
  <c r="G51" i="53"/>
  <c r="I51" i="53"/>
  <c r="G50" i="53"/>
  <c r="I50" i="53"/>
  <c r="G49" i="53"/>
  <c r="I49" i="53"/>
  <c r="G48" i="53"/>
  <c r="I48" i="53"/>
  <c r="G47" i="53"/>
  <c r="I47" i="53"/>
  <c r="G46" i="53"/>
  <c r="I46" i="53"/>
  <c r="G45" i="53"/>
  <c r="I45" i="53"/>
  <c r="G44" i="53"/>
  <c r="I44" i="53"/>
  <c r="G43" i="53"/>
  <c r="I43" i="53"/>
  <c r="G41" i="53"/>
  <c r="I41" i="53"/>
  <c r="G40" i="53"/>
  <c r="I40" i="53"/>
  <c r="G39" i="53"/>
  <c r="I39" i="53"/>
  <c r="G38" i="53"/>
  <c r="I38" i="53"/>
  <c r="G37" i="53"/>
  <c r="I37" i="53"/>
  <c r="G36" i="53"/>
  <c r="I36" i="53"/>
  <c r="G35" i="53"/>
  <c r="I35" i="53"/>
  <c r="G34" i="53"/>
  <c r="I34" i="53"/>
  <c r="G33" i="53"/>
  <c r="I33" i="53"/>
  <c r="G32" i="53"/>
  <c r="I32" i="53"/>
  <c r="G31" i="53"/>
  <c r="I31" i="53"/>
  <c r="G30" i="53"/>
  <c r="I30" i="53"/>
  <c r="G29" i="53"/>
  <c r="I29" i="53"/>
  <c r="G28" i="53"/>
  <c r="I28" i="53"/>
  <c r="G27" i="53"/>
  <c r="I27" i="53"/>
  <c r="G26" i="53"/>
  <c r="I26" i="53"/>
  <c r="G25" i="53"/>
  <c r="I25" i="53"/>
  <c r="G24" i="53"/>
  <c r="I24" i="53"/>
  <c r="G23" i="53"/>
  <c r="I23" i="53"/>
  <c r="G22" i="53"/>
  <c r="I22" i="53"/>
  <c r="G21" i="53"/>
  <c r="I21" i="53"/>
  <c r="G20" i="53"/>
  <c r="I20" i="53"/>
  <c r="G19" i="53"/>
  <c r="I19" i="53"/>
  <c r="G18" i="53"/>
  <c r="I18" i="53"/>
  <c r="G17" i="53"/>
  <c r="I17" i="53"/>
  <c r="G16" i="53"/>
  <c r="I16" i="53"/>
  <c r="G15" i="53"/>
  <c r="I15" i="53"/>
  <c r="G14" i="53"/>
  <c r="I14" i="53"/>
  <c r="G13" i="53"/>
  <c r="I13" i="53"/>
  <c r="G12" i="53"/>
  <c r="I12" i="53"/>
  <c r="G11" i="53"/>
  <c r="I11" i="53"/>
  <c r="G10" i="53"/>
  <c r="I10" i="53"/>
  <c r="G9" i="53"/>
  <c r="I9" i="53"/>
  <c r="G8" i="53"/>
  <c r="I8" i="53"/>
  <c r="G7" i="53"/>
  <c r="I7" i="53"/>
  <c r="G6" i="53"/>
  <c r="C88" i="53"/>
  <c r="C91" i="53" s="1"/>
  <c r="K41" i="53"/>
  <c r="K43" i="53" s="1"/>
  <c r="K45" i="53" s="1"/>
  <c r="G89" i="53"/>
  <c r="E92" i="53"/>
  <c r="D91" i="53"/>
  <c r="I6" i="53"/>
  <c r="G42" i="53"/>
  <c r="I42" i="53"/>
  <c r="F91" i="53"/>
  <c r="G103" i="50"/>
  <c r="I103" i="50"/>
  <c r="G102" i="50"/>
  <c r="I102" i="50"/>
  <c r="G101" i="50"/>
  <c r="I101" i="50"/>
  <c r="G100" i="50"/>
  <c r="I100" i="50"/>
  <c r="G99" i="50"/>
  <c r="I99" i="50"/>
  <c r="G98" i="50"/>
  <c r="I98" i="50"/>
  <c r="G97" i="50"/>
  <c r="I97" i="50"/>
  <c r="G96" i="50"/>
  <c r="I96" i="50"/>
  <c r="G95" i="50"/>
  <c r="I95" i="50"/>
  <c r="G94" i="50"/>
  <c r="I94" i="50"/>
  <c r="G93" i="50"/>
  <c r="I93" i="50"/>
  <c r="G92" i="50"/>
  <c r="I92" i="50"/>
  <c r="G91" i="50"/>
  <c r="I91" i="50"/>
  <c r="G90" i="50"/>
  <c r="I90" i="50"/>
  <c r="G89" i="50"/>
  <c r="I89" i="50"/>
  <c r="G88" i="50"/>
  <c r="I88" i="50"/>
  <c r="G87" i="50"/>
  <c r="I87" i="50"/>
  <c r="G86" i="50"/>
  <c r="I86" i="50"/>
  <c r="G85" i="50"/>
  <c r="I85" i="50"/>
  <c r="G84" i="50"/>
  <c r="I84" i="50"/>
  <c r="G83" i="50"/>
  <c r="I83" i="50"/>
  <c r="G82" i="50"/>
  <c r="I82" i="50"/>
  <c r="G81" i="50"/>
  <c r="I81" i="50"/>
  <c r="G80" i="50"/>
  <c r="I80" i="50"/>
  <c r="G79" i="50"/>
  <c r="I79" i="50"/>
  <c r="G78" i="50"/>
  <c r="I78" i="50"/>
  <c r="G77" i="50"/>
  <c r="I77" i="50"/>
  <c r="G76" i="50"/>
  <c r="I76" i="50"/>
  <c r="G75" i="50"/>
  <c r="I75" i="50"/>
  <c r="G74" i="50"/>
  <c r="I74" i="50"/>
  <c r="G73" i="50"/>
  <c r="I73" i="50"/>
  <c r="G72" i="50"/>
  <c r="I72" i="50"/>
  <c r="G71" i="50"/>
  <c r="I71" i="50"/>
  <c r="G70" i="50"/>
  <c r="I70" i="50"/>
  <c r="G69" i="50"/>
  <c r="I69" i="50"/>
  <c r="G68" i="50"/>
  <c r="I68" i="50"/>
  <c r="G67" i="50"/>
  <c r="I67" i="50"/>
  <c r="G66" i="50"/>
  <c r="I66" i="50"/>
  <c r="G65" i="50"/>
  <c r="I65" i="50"/>
  <c r="G64" i="50"/>
  <c r="I64" i="50"/>
  <c r="G63" i="50"/>
  <c r="I63" i="50"/>
  <c r="G62" i="50"/>
  <c r="I62" i="50"/>
  <c r="G61" i="50"/>
  <c r="I61" i="50"/>
  <c r="G60" i="50"/>
  <c r="I60" i="50"/>
  <c r="G59" i="50"/>
  <c r="I59" i="50"/>
  <c r="G58" i="50"/>
  <c r="I58" i="50"/>
  <c r="G57" i="50"/>
  <c r="I57" i="50"/>
  <c r="G56" i="50"/>
  <c r="I56" i="50"/>
  <c r="G55" i="50"/>
  <c r="I55" i="50"/>
  <c r="G54" i="50"/>
  <c r="I54" i="50"/>
  <c r="G53" i="50"/>
  <c r="I53" i="50"/>
  <c r="G52" i="50"/>
  <c r="I52" i="50"/>
  <c r="G51" i="50"/>
  <c r="I51" i="50"/>
  <c r="G50" i="50"/>
  <c r="I50" i="50"/>
  <c r="G49" i="50"/>
  <c r="I49" i="50"/>
  <c r="G48" i="50"/>
  <c r="I48" i="50"/>
  <c r="G47" i="50"/>
  <c r="I47" i="50"/>
  <c r="G46" i="50"/>
  <c r="I46" i="50"/>
  <c r="G45" i="50"/>
  <c r="I45" i="50"/>
  <c r="G44" i="50"/>
  <c r="I44" i="50"/>
  <c r="G43" i="50"/>
  <c r="I43" i="50"/>
  <c r="G42" i="50"/>
  <c r="I42" i="50"/>
  <c r="G41" i="50"/>
  <c r="I41" i="50"/>
  <c r="G40" i="50"/>
  <c r="I40" i="50"/>
  <c r="G39" i="50"/>
  <c r="I39" i="50"/>
  <c r="G38" i="50"/>
  <c r="I38" i="50"/>
  <c r="G37" i="50"/>
  <c r="I37" i="50"/>
  <c r="G36" i="50"/>
  <c r="I36" i="50"/>
  <c r="G35" i="50"/>
  <c r="I35" i="50"/>
  <c r="G34" i="50"/>
  <c r="I34" i="50"/>
  <c r="G33" i="50"/>
  <c r="I33" i="50"/>
  <c r="G32" i="50"/>
  <c r="I32" i="50"/>
  <c r="G31" i="50"/>
  <c r="I31" i="50"/>
  <c r="G30" i="50"/>
  <c r="I30" i="50"/>
  <c r="G29" i="50"/>
  <c r="I29" i="50"/>
  <c r="G28" i="50"/>
  <c r="I28" i="50"/>
  <c r="G27" i="50"/>
  <c r="I27" i="50"/>
  <c r="G26" i="50"/>
  <c r="I26" i="50"/>
  <c r="G25" i="50"/>
  <c r="I25" i="50"/>
  <c r="G24" i="50"/>
  <c r="I24" i="50"/>
  <c r="G23" i="50"/>
  <c r="I23" i="50"/>
  <c r="G22" i="50"/>
  <c r="I22" i="50"/>
  <c r="G21" i="50"/>
  <c r="I21" i="50"/>
  <c r="G20" i="50"/>
  <c r="I20" i="50"/>
  <c r="G19" i="50"/>
  <c r="I19" i="50"/>
  <c r="G18" i="50"/>
  <c r="I18" i="50"/>
  <c r="G17" i="50"/>
  <c r="I17" i="50"/>
  <c r="G16" i="50"/>
  <c r="I16" i="50"/>
  <c r="G15" i="50"/>
  <c r="I15" i="50"/>
  <c r="G14" i="50"/>
  <c r="I14" i="50"/>
  <c r="G13" i="50"/>
  <c r="I13" i="50"/>
  <c r="G12" i="50"/>
  <c r="I12" i="50"/>
  <c r="G11" i="50"/>
  <c r="I11" i="50"/>
  <c r="G10" i="50"/>
  <c r="I10" i="50"/>
  <c r="G9" i="50"/>
  <c r="I9" i="50"/>
  <c r="G8" i="50"/>
  <c r="I8" i="50"/>
  <c r="G7" i="50"/>
  <c r="I7" i="50"/>
  <c r="J34" i="50" s="1"/>
  <c r="G6" i="50"/>
  <c r="I6" i="50"/>
  <c r="C90" i="51"/>
  <c r="C89" i="51"/>
  <c r="C91" i="51" s="1"/>
  <c r="C88" i="51"/>
  <c r="G79" i="51"/>
  <c r="I79" i="51" s="1"/>
  <c r="G78" i="51"/>
  <c r="G25" i="51"/>
  <c r="I25" i="51" s="1"/>
  <c r="H90" i="51"/>
  <c r="F90" i="51"/>
  <c r="E90" i="51"/>
  <c r="D90" i="51"/>
  <c r="H89" i="51"/>
  <c r="F89" i="51"/>
  <c r="E89" i="51"/>
  <c r="D89" i="51"/>
  <c r="H88" i="51"/>
  <c r="H91" i="51" s="1"/>
  <c r="F88" i="51"/>
  <c r="E88" i="51"/>
  <c r="E91" i="51" s="1"/>
  <c r="D88" i="51"/>
  <c r="D91" i="51" s="1"/>
  <c r="H85" i="51"/>
  <c r="F85" i="51"/>
  <c r="E85" i="51"/>
  <c r="D85" i="51"/>
  <c r="G84" i="51"/>
  <c r="I84" i="51"/>
  <c r="G83" i="51"/>
  <c r="I83" i="51"/>
  <c r="G82" i="51"/>
  <c r="I82" i="51"/>
  <c r="G81" i="51"/>
  <c r="I81" i="51"/>
  <c r="G80" i="51"/>
  <c r="I80" i="51"/>
  <c r="G77" i="51"/>
  <c r="I77" i="51"/>
  <c r="G76" i="51"/>
  <c r="I76" i="51"/>
  <c r="G74" i="51"/>
  <c r="I74" i="51"/>
  <c r="G73" i="51"/>
  <c r="I73" i="51"/>
  <c r="G72" i="51"/>
  <c r="I72" i="51"/>
  <c r="G71" i="51"/>
  <c r="I71" i="51"/>
  <c r="G70" i="51"/>
  <c r="I70" i="51"/>
  <c r="G69" i="51"/>
  <c r="I69" i="51"/>
  <c r="G68" i="51"/>
  <c r="I68" i="51"/>
  <c r="G67" i="51"/>
  <c r="I67" i="51"/>
  <c r="G66" i="51"/>
  <c r="I66" i="51"/>
  <c r="G65" i="51"/>
  <c r="I65" i="51"/>
  <c r="G64" i="51"/>
  <c r="I64" i="51"/>
  <c r="G63" i="51"/>
  <c r="I63" i="51"/>
  <c r="G62" i="51"/>
  <c r="I62" i="51"/>
  <c r="G61" i="51"/>
  <c r="I61" i="51"/>
  <c r="G60" i="51"/>
  <c r="I60" i="51"/>
  <c r="G59" i="51"/>
  <c r="I59" i="51"/>
  <c r="G58" i="51"/>
  <c r="I58" i="51"/>
  <c r="G57" i="51"/>
  <c r="I57" i="51"/>
  <c r="G56" i="51"/>
  <c r="I56" i="51"/>
  <c r="G55" i="51"/>
  <c r="I55" i="51"/>
  <c r="G54" i="51"/>
  <c r="I54" i="51"/>
  <c r="G53" i="51"/>
  <c r="I53" i="51"/>
  <c r="G52" i="51"/>
  <c r="I52" i="51"/>
  <c r="G51" i="51"/>
  <c r="I51" i="51"/>
  <c r="G50" i="51"/>
  <c r="I50" i="51"/>
  <c r="G49" i="51"/>
  <c r="I49" i="51"/>
  <c r="G48" i="51"/>
  <c r="I48" i="51"/>
  <c r="G47" i="51"/>
  <c r="I47" i="51"/>
  <c r="G46" i="51"/>
  <c r="I46" i="51"/>
  <c r="G45" i="51"/>
  <c r="I45" i="51"/>
  <c r="G44" i="51"/>
  <c r="I44" i="51"/>
  <c r="G43" i="51"/>
  <c r="I43" i="51"/>
  <c r="G41" i="51"/>
  <c r="I41" i="51"/>
  <c r="G40" i="51"/>
  <c r="I40" i="51"/>
  <c r="G39" i="51"/>
  <c r="I39" i="51"/>
  <c r="G38" i="51"/>
  <c r="I38" i="51"/>
  <c r="G37" i="51"/>
  <c r="I37" i="51"/>
  <c r="G36" i="51"/>
  <c r="I36" i="51"/>
  <c r="G35" i="51"/>
  <c r="I35" i="51"/>
  <c r="G34" i="51"/>
  <c r="I34" i="51"/>
  <c r="G33" i="51"/>
  <c r="I33" i="51"/>
  <c r="G32" i="51"/>
  <c r="I32" i="51"/>
  <c r="G31" i="51"/>
  <c r="I31" i="51"/>
  <c r="G30" i="51"/>
  <c r="I30" i="51"/>
  <c r="G29" i="51"/>
  <c r="I29" i="51"/>
  <c r="G28" i="51"/>
  <c r="I28" i="51"/>
  <c r="G27" i="51"/>
  <c r="I27" i="51"/>
  <c r="G26" i="51"/>
  <c r="I26" i="51"/>
  <c r="G24" i="51"/>
  <c r="I24" i="51"/>
  <c r="G23" i="51"/>
  <c r="I23" i="51"/>
  <c r="G22" i="51"/>
  <c r="I22" i="51"/>
  <c r="G21" i="51"/>
  <c r="I21" i="51"/>
  <c r="G20" i="51"/>
  <c r="I20" i="51"/>
  <c r="G19" i="51"/>
  <c r="I19" i="51"/>
  <c r="G18" i="51"/>
  <c r="I18" i="51"/>
  <c r="G17" i="51"/>
  <c r="I17" i="51"/>
  <c r="G16" i="51"/>
  <c r="I16" i="51"/>
  <c r="G15" i="51"/>
  <c r="I15" i="51"/>
  <c r="G14" i="51"/>
  <c r="I14" i="51"/>
  <c r="G13" i="51"/>
  <c r="I13" i="51"/>
  <c r="G12" i="51"/>
  <c r="I12" i="51"/>
  <c r="G11" i="51"/>
  <c r="I11" i="51"/>
  <c r="G10" i="51"/>
  <c r="I10" i="51"/>
  <c r="G9" i="51"/>
  <c r="I9" i="51"/>
  <c r="G8" i="51"/>
  <c r="I8" i="51"/>
  <c r="G7" i="51"/>
  <c r="I7" i="51"/>
  <c r="G6" i="51"/>
  <c r="I6" i="51"/>
  <c r="G90" i="51"/>
  <c r="G88" i="53"/>
  <c r="F91" i="51"/>
  <c r="G42" i="51"/>
  <c r="I42" i="51" s="1"/>
  <c r="C85" i="51"/>
  <c r="E92" i="51"/>
  <c r="G103" i="48"/>
  <c r="I103" i="48"/>
  <c r="G102" i="48"/>
  <c r="I102" i="48"/>
  <c r="G101" i="48"/>
  <c r="I101" i="48"/>
  <c r="G100" i="48"/>
  <c r="I100" i="48"/>
  <c r="G99" i="48"/>
  <c r="I99" i="48"/>
  <c r="G98" i="48"/>
  <c r="I98" i="48"/>
  <c r="G97" i="48"/>
  <c r="I97" i="48"/>
  <c r="G96" i="48"/>
  <c r="I96" i="48"/>
  <c r="G95" i="48"/>
  <c r="I95" i="48"/>
  <c r="G94" i="48"/>
  <c r="I94" i="48"/>
  <c r="G93" i="48"/>
  <c r="I93" i="48"/>
  <c r="G92" i="48"/>
  <c r="I92" i="48"/>
  <c r="G91" i="48"/>
  <c r="I91" i="48"/>
  <c r="G90" i="48"/>
  <c r="I90" i="48"/>
  <c r="G89" i="48"/>
  <c r="I89" i="48"/>
  <c r="G88" i="48"/>
  <c r="I88" i="48"/>
  <c r="G87" i="48"/>
  <c r="I87" i="48"/>
  <c r="G86" i="48"/>
  <c r="I86" i="48"/>
  <c r="G85" i="48"/>
  <c r="I85" i="48"/>
  <c r="G84" i="48"/>
  <c r="I84" i="48"/>
  <c r="G83" i="48"/>
  <c r="I83" i="48"/>
  <c r="G82" i="48"/>
  <c r="I82" i="48"/>
  <c r="G81" i="48"/>
  <c r="I81" i="48"/>
  <c r="G80" i="48"/>
  <c r="I80" i="48"/>
  <c r="G79" i="48"/>
  <c r="I79" i="48"/>
  <c r="G78" i="48"/>
  <c r="I78" i="48"/>
  <c r="G77" i="48"/>
  <c r="I77" i="48"/>
  <c r="G76" i="48"/>
  <c r="I76" i="48"/>
  <c r="G75" i="48"/>
  <c r="I75" i="48"/>
  <c r="G74" i="48"/>
  <c r="I74" i="48"/>
  <c r="G73" i="48"/>
  <c r="I73" i="48"/>
  <c r="G72" i="48"/>
  <c r="I72" i="48"/>
  <c r="G71" i="48"/>
  <c r="I71" i="48"/>
  <c r="G70" i="48"/>
  <c r="I70" i="48"/>
  <c r="G69" i="48"/>
  <c r="I69" i="48"/>
  <c r="G68" i="48"/>
  <c r="I68" i="48"/>
  <c r="G67" i="48"/>
  <c r="I67" i="48"/>
  <c r="G66" i="48"/>
  <c r="I66" i="48"/>
  <c r="G65" i="48"/>
  <c r="I65" i="48"/>
  <c r="G64" i="48"/>
  <c r="I64" i="48"/>
  <c r="G63" i="48"/>
  <c r="I63" i="48"/>
  <c r="G62" i="48"/>
  <c r="I62" i="48"/>
  <c r="G61" i="48"/>
  <c r="I61" i="48"/>
  <c r="G60" i="48"/>
  <c r="I60" i="48"/>
  <c r="G59" i="48"/>
  <c r="I59" i="48"/>
  <c r="G58" i="48"/>
  <c r="I58" i="48"/>
  <c r="G57" i="48"/>
  <c r="I57" i="48"/>
  <c r="G56" i="48"/>
  <c r="I56" i="48"/>
  <c r="G55" i="48"/>
  <c r="I55" i="48"/>
  <c r="G54" i="48"/>
  <c r="I54" i="48"/>
  <c r="G53" i="48"/>
  <c r="I53" i="48"/>
  <c r="G52" i="48"/>
  <c r="I52" i="48"/>
  <c r="G51" i="48"/>
  <c r="I51" i="48"/>
  <c r="G50" i="48"/>
  <c r="I50" i="48"/>
  <c r="G49" i="48"/>
  <c r="I49" i="48"/>
  <c r="G48" i="48"/>
  <c r="I48" i="48"/>
  <c r="G47" i="48"/>
  <c r="I47" i="48"/>
  <c r="G46" i="48"/>
  <c r="I46" i="48"/>
  <c r="G45" i="48"/>
  <c r="I45" i="48"/>
  <c r="G44" i="48"/>
  <c r="I44" i="48"/>
  <c r="G43" i="48"/>
  <c r="I43" i="48"/>
  <c r="G42" i="48"/>
  <c r="I42" i="48"/>
  <c r="G41" i="48"/>
  <c r="I41" i="48"/>
  <c r="G40" i="48"/>
  <c r="I40" i="48"/>
  <c r="G39" i="48"/>
  <c r="I39" i="48"/>
  <c r="G38" i="48"/>
  <c r="I38" i="48"/>
  <c r="G37" i="48"/>
  <c r="I37" i="48"/>
  <c r="G36" i="48"/>
  <c r="I36" i="48"/>
  <c r="G35" i="48"/>
  <c r="I35" i="48"/>
  <c r="G34" i="48"/>
  <c r="I34" i="48"/>
  <c r="G33" i="48"/>
  <c r="I33" i="48"/>
  <c r="G32" i="48"/>
  <c r="I32" i="48"/>
  <c r="G31" i="48"/>
  <c r="I31" i="48"/>
  <c r="G30" i="48"/>
  <c r="I30" i="48"/>
  <c r="G29" i="48"/>
  <c r="I29" i="48"/>
  <c r="G28" i="48"/>
  <c r="I28" i="48"/>
  <c r="G27" i="48"/>
  <c r="I27" i="48"/>
  <c r="G26" i="48"/>
  <c r="I26" i="48"/>
  <c r="G25" i="48"/>
  <c r="I25" i="48"/>
  <c r="G24" i="48"/>
  <c r="I24" i="48"/>
  <c r="G23" i="48"/>
  <c r="I23" i="48"/>
  <c r="G22" i="48"/>
  <c r="I22" i="48"/>
  <c r="G21" i="48"/>
  <c r="I21" i="48"/>
  <c r="G20" i="48"/>
  <c r="I20" i="48"/>
  <c r="G19" i="48"/>
  <c r="I19" i="48"/>
  <c r="G18" i="48"/>
  <c r="I18" i="48"/>
  <c r="G17" i="48"/>
  <c r="I17" i="48"/>
  <c r="G16" i="48"/>
  <c r="I16" i="48"/>
  <c r="G15" i="48"/>
  <c r="I15" i="48"/>
  <c r="G14" i="48"/>
  <c r="I14" i="48"/>
  <c r="G13" i="48"/>
  <c r="I13" i="48"/>
  <c r="G12" i="48"/>
  <c r="I12" i="48"/>
  <c r="G11" i="48"/>
  <c r="I11" i="48"/>
  <c r="G10" i="48"/>
  <c r="I10" i="48"/>
  <c r="G9" i="48"/>
  <c r="I9" i="48"/>
  <c r="G8" i="48"/>
  <c r="I8" i="48"/>
  <c r="G7" i="48"/>
  <c r="I7" i="48"/>
  <c r="G6" i="48"/>
  <c r="I6" i="48"/>
  <c r="D88" i="44"/>
  <c r="E88" i="44"/>
  <c r="F88" i="44"/>
  <c r="H88" i="44"/>
  <c r="D89" i="44"/>
  <c r="E89" i="44"/>
  <c r="F89" i="44"/>
  <c r="H89" i="44"/>
  <c r="D90" i="44"/>
  <c r="E90" i="44"/>
  <c r="F90" i="44"/>
  <c r="H90" i="44"/>
  <c r="C89" i="44"/>
  <c r="D88" i="47"/>
  <c r="E88" i="47"/>
  <c r="F88" i="47"/>
  <c r="H88" i="47"/>
  <c r="D89" i="47"/>
  <c r="E89" i="47"/>
  <c r="F89" i="47"/>
  <c r="H89" i="47"/>
  <c r="D90" i="47"/>
  <c r="E90" i="47"/>
  <c r="F90" i="47"/>
  <c r="H90" i="47"/>
  <c r="C89" i="47"/>
  <c r="D89" i="49"/>
  <c r="E89" i="49"/>
  <c r="F89" i="49"/>
  <c r="H89" i="49"/>
  <c r="D90" i="49"/>
  <c r="E90" i="49"/>
  <c r="F90" i="49"/>
  <c r="H90" i="49"/>
  <c r="D91" i="49"/>
  <c r="E91" i="49"/>
  <c r="F91" i="49"/>
  <c r="H91" i="49"/>
  <c r="D92" i="49"/>
  <c r="C91" i="49"/>
  <c r="C90" i="49"/>
  <c r="G80" i="49"/>
  <c r="I80" i="49"/>
  <c r="G79" i="49"/>
  <c r="I79" i="49"/>
  <c r="C42" i="49"/>
  <c r="K41" i="49"/>
  <c r="K43" i="49" s="1"/>
  <c r="K45" i="49" s="1"/>
  <c r="G25" i="49"/>
  <c r="I25" i="49"/>
  <c r="H86" i="49"/>
  <c r="F86" i="49"/>
  <c r="E86" i="49"/>
  <c r="D86" i="49"/>
  <c r="G85" i="49"/>
  <c r="I85" i="49"/>
  <c r="G84" i="49"/>
  <c r="I84" i="49"/>
  <c r="G83" i="49"/>
  <c r="I83" i="49"/>
  <c r="G82" i="49"/>
  <c r="I82" i="49"/>
  <c r="G81" i="49"/>
  <c r="I81" i="49"/>
  <c r="G78" i="49"/>
  <c r="I78" i="49"/>
  <c r="G76" i="49"/>
  <c r="I76" i="49"/>
  <c r="G75" i="49"/>
  <c r="I75" i="49"/>
  <c r="G74" i="49"/>
  <c r="I74" i="49"/>
  <c r="G73" i="49"/>
  <c r="I73" i="49"/>
  <c r="G72" i="49"/>
  <c r="I72" i="49"/>
  <c r="G71" i="49"/>
  <c r="I71" i="49"/>
  <c r="G70" i="49"/>
  <c r="I70" i="49"/>
  <c r="G69" i="49"/>
  <c r="I69" i="49"/>
  <c r="G68" i="49"/>
  <c r="I68" i="49"/>
  <c r="G67" i="49"/>
  <c r="I67" i="49"/>
  <c r="G66" i="49"/>
  <c r="I66" i="49"/>
  <c r="G65" i="49"/>
  <c r="I65" i="49"/>
  <c r="G64" i="49"/>
  <c r="I64" i="49"/>
  <c r="G63" i="49"/>
  <c r="I63" i="49"/>
  <c r="G62" i="49"/>
  <c r="I62" i="49"/>
  <c r="G61" i="49"/>
  <c r="I61" i="49"/>
  <c r="G60" i="49"/>
  <c r="I60" i="49"/>
  <c r="G59" i="49"/>
  <c r="I59" i="49"/>
  <c r="G58" i="49"/>
  <c r="I58" i="49"/>
  <c r="G57" i="49"/>
  <c r="I57" i="49"/>
  <c r="G56" i="49"/>
  <c r="I56" i="49"/>
  <c r="G55" i="49"/>
  <c r="I55" i="49"/>
  <c r="G54" i="49"/>
  <c r="I54" i="49"/>
  <c r="G53" i="49"/>
  <c r="I53" i="49"/>
  <c r="G52" i="49"/>
  <c r="I52" i="49"/>
  <c r="G51" i="49"/>
  <c r="I51" i="49"/>
  <c r="G50" i="49"/>
  <c r="I50" i="49"/>
  <c r="G49" i="49"/>
  <c r="I49" i="49"/>
  <c r="G48" i="49"/>
  <c r="I48" i="49"/>
  <c r="G47" i="49"/>
  <c r="I47" i="49"/>
  <c r="G46" i="49"/>
  <c r="I46" i="49"/>
  <c r="G45" i="49"/>
  <c r="I45" i="49"/>
  <c r="G44" i="49"/>
  <c r="I44" i="49"/>
  <c r="G43" i="49"/>
  <c r="I43" i="49"/>
  <c r="G41" i="49"/>
  <c r="I41" i="49"/>
  <c r="G40" i="49"/>
  <c r="I40" i="49"/>
  <c r="G39" i="49"/>
  <c r="I39" i="49"/>
  <c r="G38" i="49"/>
  <c r="I38" i="49"/>
  <c r="G37" i="49"/>
  <c r="I37" i="49"/>
  <c r="G36" i="49"/>
  <c r="I36" i="49"/>
  <c r="G35" i="49"/>
  <c r="I35" i="49"/>
  <c r="G34" i="49"/>
  <c r="I34" i="49"/>
  <c r="G33" i="49"/>
  <c r="I33" i="49"/>
  <c r="G32" i="49"/>
  <c r="I32" i="49"/>
  <c r="G31" i="49"/>
  <c r="I31" i="49"/>
  <c r="G30" i="49"/>
  <c r="I30" i="49"/>
  <c r="G29" i="49"/>
  <c r="I29" i="49"/>
  <c r="G28" i="49"/>
  <c r="I28" i="49"/>
  <c r="G27" i="49"/>
  <c r="I27" i="49"/>
  <c r="G26" i="49"/>
  <c r="I26" i="49"/>
  <c r="G24" i="49"/>
  <c r="I24" i="49"/>
  <c r="G23" i="49"/>
  <c r="I23" i="49"/>
  <c r="G22" i="49"/>
  <c r="I22" i="49"/>
  <c r="G21" i="49"/>
  <c r="I21" i="49"/>
  <c r="G20" i="49"/>
  <c r="I20" i="49"/>
  <c r="G19" i="49"/>
  <c r="I19" i="49"/>
  <c r="G18" i="49"/>
  <c r="I18" i="49"/>
  <c r="G17" i="49"/>
  <c r="I17" i="49"/>
  <c r="G16" i="49"/>
  <c r="I16" i="49"/>
  <c r="G15" i="49"/>
  <c r="I15" i="49"/>
  <c r="G14" i="49"/>
  <c r="I14" i="49"/>
  <c r="G13" i="49"/>
  <c r="I13" i="49"/>
  <c r="G12" i="49"/>
  <c r="I12" i="49"/>
  <c r="G11" i="49"/>
  <c r="I11" i="49"/>
  <c r="G10" i="49"/>
  <c r="I10" i="49"/>
  <c r="G9" i="49"/>
  <c r="G8" i="49"/>
  <c r="I8" i="49" s="1"/>
  <c r="G7" i="49"/>
  <c r="I7" i="49" s="1"/>
  <c r="G6" i="49"/>
  <c r="I6" i="49" s="1"/>
  <c r="G54" i="46"/>
  <c r="I54" i="46" s="1"/>
  <c r="G79" i="47"/>
  <c r="I79" i="47" s="1"/>
  <c r="G78" i="47"/>
  <c r="I78" i="47" s="1"/>
  <c r="C41" i="47"/>
  <c r="K47" i="47" s="1"/>
  <c r="K49" i="47" s="1"/>
  <c r="K51" i="47" s="1"/>
  <c r="C90" i="47"/>
  <c r="H85" i="47"/>
  <c r="F85" i="47"/>
  <c r="E85" i="47"/>
  <c r="D85" i="47"/>
  <c r="G84" i="47"/>
  <c r="I84" i="47"/>
  <c r="G83" i="47"/>
  <c r="I83" i="47"/>
  <c r="G82" i="47"/>
  <c r="I82" i="47"/>
  <c r="G81" i="47"/>
  <c r="I81" i="47"/>
  <c r="G80" i="47"/>
  <c r="G77" i="47"/>
  <c r="I77" i="47" s="1"/>
  <c r="G75" i="47"/>
  <c r="I75" i="47" s="1"/>
  <c r="G74" i="47"/>
  <c r="I74" i="47" s="1"/>
  <c r="G73" i="47"/>
  <c r="I73" i="47" s="1"/>
  <c r="G72" i="47"/>
  <c r="I72" i="47" s="1"/>
  <c r="G71" i="47"/>
  <c r="I71" i="47" s="1"/>
  <c r="G70" i="47"/>
  <c r="I70" i="47" s="1"/>
  <c r="G69" i="47"/>
  <c r="I69" i="47" s="1"/>
  <c r="G68" i="47"/>
  <c r="I68" i="47" s="1"/>
  <c r="G67" i="47"/>
  <c r="I67" i="47" s="1"/>
  <c r="G66" i="47"/>
  <c r="I66" i="47" s="1"/>
  <c r="G65" i="47"/>
  <c r="I65" i="47" s="1"/>
  <c r="G64" i="47"/>
  <c r="I64" i="47" s="1"/>
  <c r="G63" i="47"/>
  <c r="I63" i="47" s="1"/>
  <c r="G62" i="47"/>
  <c r="I62" i="47" s="1"/>
  <c r="G61" i="47"/>
  <c r="I61" i="47" s="1"/>
  <c r="G60" i="47"/>
  <c r="I60" i="47" s="1"/>
  <c r="G59" i="47"/>
  <c r="I59" i="47" s="1"/>
  <c r="G58" i="47"/>
  <c r="I58" i="47" s="1"/>
  <c r="G57" i="47"/>
  <c r="I57" i="47" s="1"/>
  <c r="G56" i="47"/>
  <c r="I56" i="47" s="1"/>
  <c r="G55" i="47"/>
  <c r="I55" i="47" s="1"/>
  <c r="G54" i="47"/>
  <c r="I54" i="47" s="1"/>
  <c r="G53" i="47"/>
  <c r="I53" i="47" s="1"/>
  <c r="G52" i="47"/>
  <c r="I52" i="47" s="1"/>
  <c r="G51" i="47"/>
  <c r="I51" i="47" s="1"/>
  <c r="G50" i="47"/>
  <c r="I50" i="47" s="1"/>
  <c r="G49" i="47"/>
  <c r="I49" i="47" s="1"/>
  <c r="G48" i="47"/>
  <c r="I48" i="47" s="1"/>
  <c r="G47" i="47"/>
  <c r="I47" i="47" s="1"/>
  <c r="G46" i="47"/>
  <c r="I46" i="47" s="1"/>
  <c r="G45" i="47"/>
  <c r="I45" i="47" s="1"/>
  <c r="G44" i="47"/>
  <c r="I44" i="47" s="1"/>
  <c r="G43" i="47"/>
  <c r="I43" i="47" s="1"/>
  <c r="G42" i="47"/>
  <c r="I42" i="47" s="1"/>
  <c r="G40" i="47"/>
  <c r="I40" i="47" s="1"/>
  <c r="G39" i="47"/>
  <c r="I39" i="47" s="1"/>
  <c r="G38" i="47"/>
  <c r="I38" i="47" s="1"/>
  <c r="G37" i="47"/>
  <c r="I37" i="47" s="1"/>
  <c r="G36" i="47"/>
  <c r="I36" i="47" s="1"/>
  <c r="G35" i="47"/>
  <c r="I35" i="47" s="1"/>
  <c r="G34" i="47"/>
  <c r="I34" i="47" s="1"/>
  <c r="G33" i="47"/>
  <c r="I33" i="47" s="1"/>
  <c r="G32" i="47"/>
  <c r="I32" i="47" s="1"/>
  <c r="G31" i="47"/>
  <c r="I31" i="47" s="1"/>
  <c r="G30" i="47"/>
  <c r="I30" i="47" s="1"/>
  <c r="G29" i="47"/>
  <c r="I29" i="47" s="1"/>
  <c r="G28" i="47"/>
  <c r="I28" i="47" s="1"/>
  <c r="G27" i="47"/>
  <c r="I27" i="47" s="1"/>
  <c r="G26" i="47"/>
  <c r="I26" i="47" s="1"/>
  <c r="G25" i="47"/>
  <c r="I25" i="47" s="1"/>
  <c r="G24" i="47"/>
  <c r="I24" i="47" s="1"/>
  <c r="G23" i="47"/>
  <c r="I23" i="47" s="1"/>
  <c r="G22" i="47"/>
  <c r="I22" i="47" s="1"/>
  <c r="G21" i="47"/>
  <c r="I21" i="47" s="1"/>
  <c r="G20" i="47"/>
  <c r="I20" i="47" s="1"/>
  <c r="G19" i="47"/>
  <c r="I19" i="47" s="1"/>
  <c r="G18" i="47"/>
  <c r="I18" i="47" s="1"/>
  <c r="G17" i="47"/>
  <c r="I17" i="47" s="1"/>
  <c r="G16" i="47"/>
  <c r="I16" i="47" s="1"/>
  <c r="G15" i="47"/>
  <c r="I15" i="47" s="1"/>
  <c r="G14" i="47"/>
  <c r="I14" i="47" s="1"/>
  <c r="G13" i="47"/>
  <c r="I13" i="47" s="1"/>
  <c r="G12" i="47"/>
  <c r="I12" i="47" s="1"/>
  <c r="G11" i="47"/>
  <c r="I11" i="47" s="1"/>
  <c r="G10" i="47"/>
  <c r="I10" i="47" s="1"/>
  <c r="G9" i="47"/>
  <c r="I9" i="47" s="1"/>
  <c r="G8" i="47"/>
  <c r="I8" i="47" s="1"/>
  <c r="G7" i="47"/>
  <c r="I7" i="47" s="1"/>
  <c r="G6" i="47"/>
  <c r="I6" i="47" s="1"/>
  <c r="C105" i="46"/>
  <c r="G104" i="46"/>
  <c r="I104" i="46"/>
  <c r="G103" i="46"/>
  <c r="I103" i="46"/>
  <c r="G102" i="46"/>
  <c r="I102" i="46"/>
  <c r="G101" i="46"/>
  <c r="I101" i="46"/>
  <c r="G100" i="46"/>
  <c r="I100" i="46"/>
  <c r="G99" i="46"/>
  <c r="I99" i="46"/>
  <c r="G98" i="46"/>
  <c r="I98" i="46"/>
  <c r="G97" i="46"/>
  <c r="I97" i="46"/>
  <c r="G96" i="46"/>
  <c r="I96" i="46"/>
  <c r="G95" i="46"/>
  <c r="I95" i="46"/>
  <c r="G94" i="46"/>
  <c r="I94" i="46"/>
  <c r="G93" i="46"/>
  <c r="I93" i="46"/>
  <c r="G92" i="46"/>
  <c r="I92" i="46"/>
  <c r="G91" i="46"/>
  <c r="I91" i="46"/>
  <c r="G90" i="46"/>
  <c r="I90" i="46"/>
  <c r="G89" i="46"/>
  <c r="I89" i="46"/>
  <c r="G88" i="46"/>
  <c r="I88" i="46"/>
  <c r="G87" i="46"/>
  <c r="I87" i="46"/>
  <c r="G86" i="46"/>
  <c r="I86" i="46"/>
  <c r="G85" i="46"/>
  <c r="I85" i="46"/>
  <c r="G84" i="46"/>
  <c r="I84" i="46"/>
  <c r="G83" i="46"/>
  <c r="I83" i="46"/>
  <c r="G82" i="46"/>
  <c r="I82" i="46"/>
  <c r="G81" i="46"/>
  <c r="I81" i="46"/>
  <c r="G80" i="46"/>
  <c r="I80" i="46"/>
  <c r="G79" i="46"/>
  <c r="I79" i="46"/>
  <c r="G78" i="46"/>
  <c r="I78" i="46"/>
  <c r="G77" i="46"/>
  <c r="I77" i="46"/>
  <c r="G76" i="46"/>
  <c r="I76" i="46"/>
  <c r="G75" i="46"/>
  <c r="I75" i="46"/>
  <c r="G74" i="46"/>
  <c r="I74" i="46"/>
  <c r="G73" i="46"/>
  <c r="I73" i="46"/>
  <c r="G72" i="46"/>
  <c r="I72" i="46"/>
  <c r="G71" i="46"/>
  <c r="I71" i="46"/>
  <c r="G70" i="46"/>
  <c r="I70" i="46"/>
  <c r="G69" i="46"/>
  <c r="I69" i="46"/>
  <c r="G68" i="46"/>
  <c r="I68" i="46"/>
  <c r="G67" i="46"/>
  <c r="I67" i="46"/>
  <c r="G66" i="46"/>
  <c r="I66" i="46"/>
  <c r="G65" i="46"/>
  <c r="I65" i="46"/>
  <c r="G64" i="46"/>
  <c r="I64" i="46"/>
  <c r="G63" i="46"/>
  <c r="I63" i="46"/>
  <c r="G62" i="46"/>
  <c r="I62" i="46"/>
  <c r="G61" i="46"/>
  <c r="I61" i="46"/>
  <c r="G60" i="46"/>
  <c r="I60" i="46"/>
  <c r="G59" i="46"/>
  <c r="I59" i="46"/>
  <c r="G58" i="46"/>
  <c r="I58" i="46"/>
  <c r="G57" i="46"/>
  <c r="I57" i="46"/>
  <c r="G56" i="46"/>
  <c r="I56" i="46"/>
  <c r="G55" i="46"/>
  <c r="I55" i="46"/>
  <c r="G53" i="46"/>
  <c r="I53" i="46"/>
  <c r="G52" i="46"/>
  <c r="I52" i="46"/>
  <c r="G51" i="46"/>
  <c r="I51" i="46"/>
  <c r="G50" i="46"/>
  <c r="I50" i="46"/>
  <c r="G49" i="46"/>
  <c r="I49" i="46"/>
  <c r="G48" i="46"/>
  <c r="I48" i="46"/>
  <c r="G47" i="46"/>
  <c r="I47" i="46"/>
  <c r="G46" i="46"/>
  <c r="I46" i="46"/>
  <c r="G45" i="46"/>
  <c r="I45" i="46"/>
  <c r="G44" i="46"/>
  <c r="I44" i="46"/>
  <c r="G43" i="46"/>
  <c r="I43" i="46"/>
  <c r="G42" i="46"/>
  <c r="I42" i="46"/>
  <c r="G41" i="46"/>
  <c r="I41" i="46"/>
  <c r="G40" i="46"/>
  <c r="I40" i="46"/>
  <c r="G39" i="46"/>
  <c r="I39" i="46"/>
  <c r="G38" i="46"/>
  <c r="I38" i="46"/>
  <c r="G37" i="46"/>
  <c r="I37" i="46"/>
  <c r="G36" i="46"/>
  <c r="I36" i="46"/>
  <c r="G35" i="46"/>
  <c r="I35" i="46"/>
  <c r="G34" i="46"/>
  <c r="I34" i="46"/>
  <c r="G33" i="46"/>
  <c r="I33" i="46"/>
  <c r="G32" i="46"/>
  <c r="I32" i="46"/>
  <c r="G31" i="46"/>
  <c r="I31" i="46"/>
  <c r="G30" i="46"/>
  <c r="I30" i="46"/>
  <c r="G29" i="46"/>
  <c r="I29" i="46"/>
  <c r="G28" i="46"/>
  <c r="I28" i="46"/>
  <c r="G27" i="46"/>
  <c r="I27" i="46"/>
  <c r="G26" i="46"/>
  <c r="I26" i="46"/>
  <c r="G25" i="46"/>
  <c r="I25" i="46"/>
  <c r="G24" i="46"/>
  <c r="I24" i="46"/>
  <c r="G23" i="46"/>
  <c r="I23" i="46"/>
  <c r="G22" i="46"/>
  <c r="I22" i="46"/>
  <c r="G21" i="46"/>
  <c r="I21" i="46"/>
  <c r="G20" i="46"/>
  <c r="I20" i="46"/>
  <c r="G19" i="46"/>
  <c r="I19" i="46"/>
  <c r="G18" i="46"/>
  <c r="I18" i="46"/>
  <c r="G17" i="46"/>
  <c r="I17" i="46"/>
  <c r="G16" i="46"/>
  <c r="I16" i="46"/>
  <c r="G15" i="46"/>
  <c r="I15" i="46"/>
  <c r="G14" i="46"/>
  <c r="I14" i="46"/>
  <c r="G13" i="46"/>
  <c r="I13" i="46"/>
  <c r="G12" i="46"/>
  <c r="I12" i="46"/>
  <c r="G11" i="46"/>
  <c r="I11" i="46"/>
  <c r="G10" i="46"/>
  <c r="I10" i="46"/>
  <c r="G9" i="46"/>
  <c r="I9" i="46"/>
  <c r="G8" i="46"/>
  <c r="I8" i="46"/>
  <c r="G7" i="46"/>
  <c r="I7" i="46"/>
  <c r="G6" i="46"/>
  <c r="I6" i="46"/>
  <c r="G103" i="45"/>
  <c r="I103" i="45"/>
  <c r="G102" i="45"/>
  <c r="I102" i="45" s="1"/>
  <c r="G101" i="45"/>
  <c r="I101" i="45"/>
  <c r="G100" i="45"/>
  <c r="I100" i="45"/>
  <c r="G99" i="45"/>
  <c r="I99" i="45"/>
  <c r="G98" i="45"/>
  <c r="I98" i="45"/>
  <c r="G97" i="45"/>
  <c r="I97" i="45"/>
  <c r="G96" i="45"/>
  <c r="I96" i="45"/>
  <c r="G95" i="45"/>
  <c r="I95" i="45"/>
  <c r="G94" i="45"/>
  <c r="I94" i="45"/>
  <c r="G93" i="45"/>
  <c r="I93" i="45"/>
  <c r="G92" i="45"/>
  <c r="I92" i="45"/>
  <c r="G91" i="45"/>
  <c r="I91" i="45"/>
  <c r="G90" i="45"/>
  <c r="I90" i="45"/>
  <c r="G89" i="45"/>
  <c r="I89" i="45"/>
  <c r="G88" i="45"/>
  <c r="I88" i="45"/>
  <c r="G87" i="45"/>
  <c r="I87" i="45"/>
  <c r="G86" i="45"/>
  <c r="I86" i="45"/>
  <c r="G85" i="45"/>
  <c r="I85" i="45"/>
  <c r="G84" i="45"/>
  <c r="I84" i="45"/>
  <c r="G83" i="45"/>
  <c r="I83" i="45"/>
  <c r="G82" i="45"/>
  <c r="I82" i="45"/>
  <c r="G81" i="45"/>
  <c r="I81" i="45"/>
  <c r="G80" i="45"/>
  <c r="I80" i="45"/>
  <c r="G79" i="45"/>
  <c r="I79" i="45"/>
  <c r="G78" i="45"/>
  <c r="I78" i="45"/>
  <c r="G77" i="45"/>
  <c r="I77" i="45"/>
  <c r="G76" i="45"/>
  <c r="I76" i="45"/>
  <c r="G75" i="45"/>
  <c r="I75" i="45"/>
  <c r="G74" i="45"/>
  <c r="I74" i="45"/>
  <c r="G73" i="45"/>
  <c r="I73" i="45"/>
  <c r="G72" i="45"/>
  <c r="I72" i="45"/>
  <c r="G71" i="45"/>
  <c r="I71" i="45"/>
  <c r="G70" i="45"/>
  <c r="I70" i="45"/>
  <c r="G69" i="45"/>
  <c r="I69" i="45"/>
  <c r="G68" i="45"/>
  <c r="I68" i="45"/>
  <c r="G67" i="45"/>
  <c r="I67" i="45"/>
  <c r="G66" i="45"/>
  <c r="I66" i="45"/>
  <c r="G65" i="45"/>
  <c r="I65" i="45"/>
  <c r="G64" i="45"/>
  <c r="I64" i="45"/>
  <c r="G63" i="45"/>
  <c r="I63" i="45"/>
  <c r="G62" i="45"/>
  <c r="I62" i="45"/>
  <c r="G61" i="45"/>
  <c r="I61" i="45"/>
  <c r="G60" i="45"/>
  <c r="I60" i="45"/>
  <c r="G59" i="45"/>
  <c r="I59" i="45"/>
  <c r="G58" i="45"/>
  <c r="I58" i="45"/>
  <c r="G57" i="45"/>
  <c r="I57" i="45"/>
  <c r="G56" i="45"/>
  <c r="I56" i="45"/>
  <c r="G55" i="45"/>
  <c r="I55" i="45"/>
  <c r="G54" i="45"/>
  <c r="I54" i="45"/>
  <c r="G53" i="45"/>
  <c r="I53" i="45"/>
  <c r="G52" i="45"/>
  <c r="I52" i="45"/>
  <c r="G51" i="45"/>
  <c r="I51" i="45"/>
  <c r="G50" i="45"/>
  <c r="I50" i="45"/>
  <c r="G49" i="45"/>
  <c r="I49" i="45"/>
  <c r="G48" i="45"/>
  <c r="I48" i="45"/>
  <c r="G47" i="45"/>
  <c r="I47" i="45"/>
  <c r="G46" i="45"/>
  <c r="I46" i="45"/>
  <c r="G45" i="45"/>
  <c r="I45" i="45"/>
  <c r="G44" i="45"/>
  <c r="I44" i="45"/>
  <c r="G43" i="45"/>
  <c r="I43" i="45"/>
  <c r="G42" i="45"/>
  <c r="I42" i="45"/>
  <c r="G41" i="45"/>
  <c r="I41" i="45"/>
  <c r="G40" i="45"/>
  <c r="I40" i="45"/>
  <c r="G39" i="45"/>
  <c r="I39" i="45"/>
  <c r="G38" i="45"/>
  <c r="I38" i="45"/>
  <c r="G37" i="45"/>
  <c r="I37" i="45"/>
  <c r="G36" i="45"/>
  <c r="I36" i="45"/>
  <c r="G35" i="45"/>
  <c r="I35" i="45"/>
  <c r="G34" i="45"/>
  <c r="I34" i="45"/>
  <c r="G33" i="45"/>
  <c r="I33" i="45"/>
  <c r="G32" i="45"/>
  <c r="I32" i="45"/>
  <c r="G31" i="45"/>
  <c r="I31" i="45"/>
  <c r="G30" i="45"/>
  <c r="I30" i="45"/>
  <c r="G29" i="45"/>
  <c r="I29" i="45"/>
  <c r="G28" i="45"/>
  <c r="I28" i="45"/>
  <c r="G27" i="45"/>
  <c r="I27" i="45"/>
  <c r="G26" i="45"/>
  <c r="I26" i="45"/>
  <c r="G25" i="45"/>
  <c r="I25" i="45"/>
  <c r="G24" i="45"/>
  <c r="I24" i="45"/>
  <c r="G23" i="45"/>
  <c r="I23" i="45"/>
  <c r="G22" i="45"/>
  <c r="I22" i="45"/>
  <c r="G21" i="45"/>
  <c r="I21" i="45"/>
  <c r="G20" i="45"/>
  <c r="I20" i="45"/>
  <c r="G19" i="45"/>
  <c r="I19" i="45"/>
  <c r="G18" i="45"/>
  <c r="I18" i="45"/>
  <c r="G17" i="45"/>
  <c r="I17" i="45"/>
  <c r="G16" i="45"/>
  <c r="I16" i="45"/>
  <c r="G15" i="45"/>
  <c r="I15" i="45"/>
  <c r="G14" i="45"/>
  <c r="I14" i="45"/>
  <c r="G13" i="45"/>
  <c r="I13" i="45"/>
  <c r="G12" i="45"/>
  <c r="I12" i="45"/>
  <c r="G11" i="45"/>
  <c r="I11" i="45"/>
  <c r="G10" i="45"/>
  <c r="I10" i="45"/>
  <c r="G9" i="45"/>
  <c r="I9" i="45"/>
  <c r="G8" i="45"/>
  <c r="I8" i="45"/>
  <c r="G7" i="45"/>
  <c r="I7" i="45"/>
  <c r="G6" i="45"/>
  <c r="I6" i="45"/>
  <c r="G79" i="44"/>
  <c r="I79" i="44"/>
  <c r="C41" i="44"/>
  <c r="K44" i="44"/>
  <c r="K46" i="44" s="1"/>
  <c r="K48" i="44" s="1"/>
  <c r="C90" i="44"/>
  <c r="H85" i="44"/>
  <c r="F85" i="44"/>
  <c r="E85" i="44"/>
  <c r="D85" i="44"/>
  <c r="G84" i="44"/>
  <c r="I84" i="44" s="1"/>
  <c r="G83" i="44"/>
  <c r="I83" i="44" s="1"/>
  <c r="G82" i="44"/>
  <c r="I82" i="44" s="1"/>
  <c r="G81" i="44"/>
  <c r="I81" i="44" s="1"/>
  <c r="G80" i="44"/>
  <c r="I80" i="44" s="1"/>
  <c r="G78" i="44"/>
  <c r="I78" i="44" s="1"/>
  <c r="G76" i="44"/>
  <c r="I76" i="44" s="1"/>
  <c r="G75" i="44"/>
  <c r="I75" i="44" s="1"/>
  <c r="G74" i="44"/>
  <c r="I74" i="44" s="1"/>
  <c r="G73" i="44"/>
  <c r="I73" i="44" s="1"/>
  <c r="G72" i="44"/>
  <c r="I72" i="44" s="1"/>
  <c r="G71" i="44"/>
  <c r="I71" i="44" s="1"/>
  <c r="G70" i="44"/>
  <c r="I70" i="44" s="1"/>
  <c r="G69" i="44"/>
  <c r="I69" i="44" s="1"/>
  <c r="G68" i="44"/>
  <c r="I68" i="44" s="1"/>
  <c r="G67" i="44"/>
  <c r="I67" i="44" s="1"/>
  <c r="G66" i="44"/>
  <c r="I66" i="44" s="1"/>
  <c r="G65" i="44"/>
  <c r="I65" i="44" s="1"/>
  <c r="G64" i="44"/>
  <c r="I64" i="44" s="1"/>
  <c r="G63" i="44"/>
  <c r="I63" i="44" s="1"/>
  <c r="G62" i="44"/>
  <c r="I62" i="44" s="1"/>
  <c r="G61" i="44"/>
  <c r="I61" i="44" s="1"/>
  <c r="G60" i="44"/>
  <c r="I60" i="44" s="1"/>
  <c r="G59" i="44"/>
  <c r="I59" i="44" s="1"/>
  <c r="G58" i="44"/>
  <c r="I58" i="44" s="1"/>
  <c r="G57" i="44"/>
  <c r="I57" i="44" s="1"/>
  <c r="G56" i="44"/>
  <c r="I56" i="44" s="1"/>
  <c r="G55" i="44"/>
  <c r="I55" i="44" s="1"/>
  <c r="G54" i="44"/>
  <c r="I54" i="44" s="1"/>
  <c r="G53" i="44"/>
  <c r="I53" i="44" s="1"/>
  <c r="G52" i="44"/>
  <c r="I52" i="44" s="1"/>
  <c r="G51" i="44"/>
  <c r="I51" i="44" s="1"/>
  <c r="G50" i="44"/>
  <c r="I50" i="44"/>
  <c r="G49" i="44"/>
  <c r="I49" i="44" s="1"/>
  <c r="G48" i="44"/>
  <c r="I48" i="44"/>
  <c r="G47" i="44"/>
  <c r="I47" i="44" s="1"/>
  <c r="G46" i="44"/>
  <c r="I46" i="44"/>
  <c r="G45" i="44"/>
  <c r="I45" i="44" s="1"/>
  <c r="G44" i="44"/>
  <c r="I44" i="44"/>
  <c r="G43" i="44"/>
  <c r="I43" i="44" s="1"/>
  <c r="G42" i="44"/>
  <c r="I42" i="44"/>
  <c r="G40" i="44"/>
  <c r="I40" i="44" s="1"/>
  <c r="G39" i="44"/>
  <c r="I39" i="44"/>
  <c r="G38" i="44"/>
  <c r="I38" i="44" s="1"/>
  <c r="G37" i="44"/>
  <c r="I37" i="44"/>
  <c r="G36" i="44"/>
  <c r="I36" i="44" s="1"/>
  <c r="G35" i="44"/>
  <c r="I35" i="44"/>
  <c r="G34" i="44"/>
  <c r="I34" i="44" s="1"/>
  <c r="G33" i="44"/>
  <c r="I33" i="44"/>
  <c r="G32" i="44"/>
  <c r="I32" i="44" s="1"/>
  <c r="G31" i="44"/>
  <c r="I31" i="44"/>
  <c r="G30" i="44"/>
  <c r="I30" i="44" s="1"/>
  <c r="G29" i="44"/>
  <c r="I29" i="44"/>
  <c r="G28" i="44"/>
  <c r="I28" i="44" s="1"/>
  <c r="G27" i="44"/>
  <c r="I27" i="44"/>
  <c r="G26" i="44"/>
  <c r="I26" i="44" s="1"/>
  <c r="G25" i="44"/>
  <c r="I25" i="44"/>
  <c r="G24" i="44"/>
  <c r="I24" i="44" s="1"/>
  <c r="G23" i="44"/>
  <c r="I23" i="44"/>
  <c r="G22" i="44"/>
  <c r="I22" i="44" s="1"/>
  <c r="G21" i="44"/>
  <c r="I21" i="44"/>
  <c r="G20" i="44"/>
  <c r="I20" i="44" s="1"/>
  <c r="G19" i="44"/>
  <c r="I19" i="44"/>
  <c r="G18" i="44"/>
  <c r="I18" i="44" s="1"/>
  <c r="G17" i="44"/>
  <c r="I17" i="44"/>
  <c r="G16" i="44"/>
  <c r="I16" i="44" s="1"/>
  <c r="G15" i="44"/>
  <c r="I15" i="44"/>
  <c r="G14" i="44"/>
  <c r="I14" i="44" s="1"/>
  <c r="G13" i="44"/>
  <c r="I13" i="44"/>
  <c r="G12" i="44"/>
  <c r="I12" i="44" s="1"/>
  <c r="G11" i="44"/>
  <c r="I11" i="44"/>
  <c r="G10" i="44"/>
  <c r="G9" i="44"/>
  <c r="I9" i="44"/>
  <c r="G8" i="44"/>
  <c r="I8" i="44" s="1"/>
  <c r="G7" i="44"/>
  <c r="I7" i="44"/>
  <c r="G6" i="44"/>
  <c r="D104" i="42"/>
  <c r="E104" i="42"/>
  <c r="F104" i="42"/>
  <c r="H104" i="42"/>
  <c r="C104" i="42"/>
  <c r="G103" i="42"/>
  <c r="I103" i="42"/>
  <c r="G102" i="42"/>
  <c r="I102" i="42" s="1"/>
  <c r="G101" i="42"/>
  <c r="I101" i="42"/>
  <c r="G100" i="42"/>
  <c r="I100" i="42" s="1"/>
  <c r="G99" i="42"/>
  <c r="I99" i="42"/>
  <c r="G98" i="42"/>
  <c r="I98" i="42" s="1"/>
  <c r="G97" i="42"/>
  <c r="I97" i="42"/>
  <c r="G96" i="42"/>
  <c r="I96" i="42" s="1"/>
  <c r="G95" i="42"/>
  <c r="I95" i="42"/>
  <c r="G94" i="42"/>
  <c r="I94" i="42" s="1"/>
  <c r="G93" i="42"/>
  <c r="I93" i="42"/>
  <c r="G92" i="42"/>
  <c r="I92" i="42" s="1"/>
  <c r="G91" i="42"/>
  <c r="I91" i="42"/>
  <c r="G90" i="42"/>
  <c r="I90" i="42" s="1"/>
  <c r="G89" i="42"/>
  <c r="I89" i="42"/>
  <c r="G88" i="42"/>
  <c r="I88" i="42" s="1"/>
  <c r="G87" i="42"/>
  <c r="I87" i="42"/>
  <c r="G86" i="42"/>
  <c r="I86" i="42" s="1"/>
  <c r="G85" i="42"/>
  <c r="I85" i="42"/>
  <c r="G84" i="42"/>
  <c r="I84" i="42" s="1"/>
  <c r="G83" i="42"/>
  <c r="I83" i="42"/>
  <c r="G82" i="42"/>
  <c r="I82" i="42" s="1"/>
  <c r="G81" i="42"/>
  <c r="I81" i="42"/>
  <c r="G80" i="42"/>
  <c r="I80" i="42" s="1"/>
  <c r="G79" i="42"/>
  <c r="I79" i="42"/>
  <c r="G78" i="42"/>
  <c r="I78" i="42" s="1"/>
  <c r="G77" i="42"/>
  <c r="I77" i="42"/>
  <c r="G76" i="42"/>
  <c r="I76" i="42" s="1"/>
  <c r="G75" i="42"/>
  <c r="I75" i="42"/>
  <c r="G74" i="42"/>
  <c r="I74" i="42" s="1"/>
  <c r="G73" i="42"/>
  <c r="I73" i="42"/>
  <c r="G72" i="42"/>
  <c r="I72" i="42" s="1"/>
  <c r="G71" i="42"/>
  <c r="I71" i="42"/>
  <c r="G70" i="42"/>
  <c r="I70" i="42" s="1"/>
  <c r="G69" i="42"/>
  <c r="I69" i="42"/>
  <c r="G68" i="42"/>
  <c r="I68" i="42" s="1"/>
  <c r="G67" i="42"/>
  <c r="I67" i="42"/>
  <c r="G66" i="42"/>
  <c r="I66" i="42" s="1"/>
  <c r="G65" i="42"/>
  <c r="I65" i="42"/>
  <c r="G64" i="42"/>
  <c r="I64" i="42" s="1"/>
  <c r="G63" i="42"/>
  <c r="I63" i="42"/>
  <c r="G62" i="42"/>
  <c r="I62" i="42" s="1"/>
  <c r="G61" i="42"/>
  <c r="I61" i="42"/>
  <c r="G60" i="42"/>
  <c r="I60" i="42" s="1"/>
  <c r="G59" i="42"/>
  <c r="I59" i="42"/>
  <c r="G58" i="42"/>
  <c r="I58" i="42" s="1"/>
  <c r="G57" i="42"/>
  <c r="I57" i="42"/>
  <c r="G56" i="42"/>
  <c r="I56" i="42" s="1"/>
  <c r="G55" i="42"/>
  <c r="I55" i="42"/>
  <c r="G54" i="42"/>
  <c r="I54" i="42" s="1"/>
  <c r="G53" i="42"/>
  <c r="I53" i="42"/>
  <c r="G52" i="42"/>
  <c r="I52" i="42" s="1"/>
  <c r="G51" i="42"/>
  <c r="I51" i="42"/>
  <c r="G50" i="42"/>
  <c r="I50" i="42" s="1"/>
  <c r="G49" i="42"/>
  <c r="I49" i="42"/>
  <c r="G48" i="42"/>
  <c r="I48" i="42" s="1"/>
  <c r="G47" i="42"/>
  <c r="I47" i="42"/>
  <c r="G46" i="42"/>
  <c r="I46" i="42" s="1"/>
  <c r="G45" i="42"/>
  <c r="I45" i="42"/>
  <c r="G44" i="42"/>
  <c r="I44" i="42" s="1"/>
  <c r="G43" i="42"/>
  <c r="I43" i="42"/>
  <c r="G42" i="42"/>
  <c r="I42" i="42" s="1"/>
  <c r="G41" i="42"/>
  <c r="I41" i="42"/>
  <c r="G40" i="42"/>
  <c r="I40" i="42" s="1"/>
  <c r="G39" i="42"/>
  <c r="I39" i="42"/>
  <c r="G38" i="42"/>
  <c r="I38" i="42" s="1"/>
  <c r="G37" i="42"/>
  <c r="I37" i="42"/>
  <c r="G36" i="42"/>
  <c r="I36" i="42" s="1"/>
  <c r="G35" i="42"/>
  <c r="I35" i="42"/>
  <c r="G34" i="42"/>
  <c r="I34" i="42" s="1"/>
  <c r="G33" i="42"/>
  <c r="I33" i="42"/>
  <c r="G32" i="42"/>
  <c r="I32" i="42" s="1"/>
  <c r="G31" i="42"/>
  <c r="I31" i="42"/>
  <c r="G30" i="42"/>
  <c r="I30" i="42" s="1"/>
  <c r="G29" i="42"/>
  <c r="I29" i="42"/>
  <c r="G28" i="42"/>
  <c r="I28" i="42" s="1"/>
  <c r="G27" i="42"/>
  <c r="I27" i="42"/>
  <c r="G26" i="42"/>
  <c r="I26" i="42" s="1"/>
  <c r="G25" i="42"/>
  <c r="I25" i="42"/>
  <c r="G24" i="42"/>
  <c r="I24" i="42" s="1"/>
  <c r="G23" i="42"/>
  <c r="I23" i="42"/>
  <c r="G22" i="42"/>
  <c r="I22" i="42" s="1"/>
  <c r="G21" i="42"/>
  <c r="I21" i="42"/>
  <c r="G20" i="42"/>
  <c r="I20" i="42" s="1"/>
  <c r="G19" i="42"/>
  <c r="I19" i="42"/>
  <c r="G18" i="42"/>
  <c r="I18" i="42" s="1"/>
  <c r="G17" i="42"/>
  <c r="I17" i="42"/>
  <c r="G16" i="42"/>
  <c r="I16" i="42" s="1"/>
  <c r="G15" i="42"/>
  <c r="I15" i="42"/>
  <c r="G14" i="42"/>
  <c r="I14" i="42" s="1"/>
  <c r="G13" i="42"/>
  <c r="I13" i="42"/>
  <c r="G12" i="42"/>
  <c r="I12" i="42" s="1"/>
  <c r="G11" i="42"/>
  <c r="I11" i="42"/>
  <c r="G10" i="42"/>
  <c r="I10" i="42" s="1"/>
  <c r="G9" i="42"/>
  <c r="I9" i="42"/>
  <c r="G8" i="42"/>
  <c r="I8" i="42" s="1"/>
  <c r="G7" i="42"/>
  <c r="I7" i="42"/>
  <c r="G6" i="42"/>
  <c r="I6" i="42" s="1"/>
  <c r="G75" i="43"/>
  <c r="I75" i="43"/>
  <c r="C41" i="43"/>
  <c r="G41" i="43" s="1"/>
  <c r="I41" i="43" s="1"/>
  <c r="G15" i="43"/>
  <c r="I15" i="43" s="1"/>
  <c r="D86" i="43"/>
  <c r="E86" i="43"/>
  <c r="F86" i="43"/>
  <c r="H86" i="43"/>
  <c r="D87" i="43"/>
  <c r="E87" i="43"/>
  <c r="F87" i="43"/>
  <c r="H87" i="43"/>
  <c r="D88" i="43"/>
  <c r="D89" i="43"/>
  <c r="E88" i="43"/>
  <c r="E89" i="43" s="1"/>
  <c r="F88" i="43"/>
  <c r="H88" i="43"/>
  <c r="C88" i="43"/>
  <c r="C87" i="43"/>
  <c r="D83" i="43"/>
  <c r="E83" i="43"/>
  <c r="F83" i="43"/>
  <c r="H83" i="43"/>
  <c r="G82" i="43"/>
  <c r="I82" i="43" s="1"/>
  <c r="G81" i="43"/>
  <c r="I81" i="43"/>
  <c r="G80" i="43"/>
  <c r="I80" i="43" s="1"/>
  <c r="G79" i="43"/>
  <c r="I79" i="43"/>
  <c r="I88" i="43" s="1"/>
  <c r="G78" i="43"/>
  <c r="I78" i="43" s="1"/>
  <c r="G77" i="43"/>
  <c r="I77" i="43"/>
  <c r="G76" i="43"/>
  <c r="I76" i="43" s="1"/>
  <c r="G74" i="43"/>
  <c r="I74" i="43"/>
  <c r="G73" i="43"/>
  <c r="I73" i="43" s="1"/>
  <c r="G72" i="43"/>
  <c r="I72" i="43" s="1"/>
  <c r="G71" i="43"/>
  <c r="I71" i="43" s="1"/>
  <c r="G70" i="43"/>
  <c r="I70" i="43"/>
  <c r="G69" i="43"/>
  <c r="I69" i="43" s="1"/>
  <c r="G68" i="43"/>
  <c r="I68" i="43" s="1"/>
  <c r="G67" i="43"/>
  <c r="I67" i="43" s="1"/>
  <c r="G66" i="43"/>
  <c r="I66" i="43"/>
  <c r="G65" i="43"/>
  <c r="I65" i="43" s="1"/>
  <c r="G64" i="43"/>
  <c r="G63" i="43"/>
  <c r="I63" i="43" s="1"/>
  <c r="G62" i="43"/>
  <c r="I62" i="43"/>
  <c r="G61" i="43"/>
  <c r="I61" i="43" s="1"/>
  <c r="G60" i="43"/>
  <c r="I60" i="43" s="1"/>
  <c r="G59" i="43"/>
  <c r="I59" i="43" s="1"/>
  <c r="G58" i="43"/>
  <c r="I58" i="43"/>
  <c r="G57" i="43"/>
  <c r="I57" i="43" s="1"/>
  <c r="G56" i="43"/>
  <c r="I56" i="43" s="1"/>
  <c r="G55" i="43"/>
  <c r="I55" i="43" s="1"/>
  <c r="G54" i="43"/>
  <c r="I54" i="43"/>
  <c r="G53" i="43"/>
  <c r="I53" i="43"/>
  <c r="G52" i="43"/>
  <c r="I52" i="43"/>
  <c r="G51" i="43"/>
  <c r="I51" i="43"/>
  <c r="G50" i="43"/>
  <c r="I50" i="43"/>
  <c r="G49" i="43"/>
  <c r="I49" i="43"/>
  <c r="G48" i="43"/>
  <c r="I48" i="43"/>
  <c r="G47" i="43"/>
  <c r="I47" i="43"/>
  <c r="G46" i="43"/>
  <c r="I46" i="43"/>
  <c r="G45" i="43"/>
  <c r="I45" i="43"/>
  <c r="G44" i="43"/>
  <c r="I44" i="43"/>
  <c r="G43" i="43"/>
  <c r="I43" i="43"/>
  <c r="G42" i="43"/>
  <c r="I42" i="43"/>
  <c r="G40" i="43"/>
  <c r="I40" i="43"/>
  <c r="G39" i="43"/>
  <c r="I39" i="43"/>
  <c r="G38" i="43"/>
  <c r="I38" i="43"/>
  <c r="G37" i="43"/>
  <c r="I37" i="43"/>
  <c r="G36" i="43"/>
  <c r="I36" i="43"/>
  <c r="G35" i="43"/>
  <c r="I35" i="43"/>
  <c r="G34" i="43"/>
  <c r="I34" i="43"/>
  <c r="G33" i="43"/>
  <c r="I33" i="43"/>
  <c r="G32" i="43"/>
  <c r="I32" i="43"/>
  <c r="G31" i="43"/>
  <c r="I31" i="43"/>
  <c r="G30" i="43"/>
  <c r="I30" i="43"/>
  <c r="G29" i="43"/>
  <c r="I29" i="43"/>
  <c r="G28" i="43"/>
  <c r="I28" i="43"/>
  <c r="G27" i="43"/>
  <c r="I27" i="43"/>
  <c r="G26" i="43"/>
  <c r="I26" i="43"/>
  <c r="G25" i="43"/>
  <c r="I25" i="43"/>
  <c r="G24" i="43"/>
  <c r="I24" i="43"/>
  <c r="G23" i="43"/>
  <c r="I23" i="43"/>
  <c r="G22" i="43"/>
  <c r="I22" i="43"/>
  <c r="G21" i="43"/>
  <c r="I21" i="43"/>
  <c r="G20" i="43"/>
  <c r="I20" i="43"/>
  <c r="G19" i="43"/>
  <c r="I19" i="43"/>
  <c r="G18" i="43"/>
  <c r="I18" i="43"/>
  <c r="G17" i="43"/>
  <c r="I17" i="43"/>
  <c r="G16" i="43"/>
  <c r="I16" i="43"/>
  <c r="G14" i="43"/>
  <c r="I14" i="43"/>
  <c r="G13" i="43"/>
  <c r="I13" i="43"/>
  <c r="G12" i="43"/>
  <c r="I12" i="43"/>
  <c r="G11" i="43"/>
  <c r="I11" i="43"/>
  <c r="G10" i="43"/>
  <c r="I10" i="43"/>
  <c r="G9" i="43"/>
  <c r="I9" i="43"/>
  <c r="G8" i="43"/>
  <c r="I8" i="43"/>
  <c r="G7" i="43"/>
  <c r="I7" i="43"/>
  <c r="G6" i="43"/>
  <c r="G86" i="43" s="1"/>
  <c r="I6" i="43"/>
  <c r="F91" i="44"/>
  <c r="G41" i="44"/>
  <c r="I41" i="44" s="1"/>
  <c r="C89" i="49"/>
  <c r="C85" i="44"/>
  <c r="C85" i="47"/>
  <c r="E92" i="47" s="1"/>
  <c r="E91" i="47"/>
  <c r="C88" i="44"/>
  <c r="D91" i="47"/>
  <c r="J35" i="45"/>
  <c r="H92" i="49"/>
  <c r="C88" i="47"/>
  <c r="C91" i="47" s="1"/>
  <c r="E91" i="44"/>
  <c r="J36" i="46"/>
  <c r="F92" i="49"/>
  <c r="D91" i="44"/>
  <c r="I90" i="44"/>
  <c r="E92" i="49"/>
  <c r="I88" i="51"/>
  <c r="I91" i="49"/>
  <c r="H91" i="47"/>
  <c r="G90" i="47"/>
  <c r="H91" i="44"/>
  <c r="J40" i="48"/>
  <c r="G91" i="49"/>
  <c r="I89" i="47"/>
  <c r="G89" i="47"/>
  <c r="I89" i="44"/>
  <c r="G90" i="44"/>
  <c r="G89" i="44"/>
  <c r="G88" i="51"/>
  <c r="C92" i="49"/>
  <c r="C86" i="49"/>
  <c r="E93" i="49"/>
  <c r="G42" i="49"/>
  <c r="G89" i="49" s="1"/>
  <c r="I42" i="49"/>
  <c r="I9" i="49"/>
  <c r="I80" i="47"/>
  <c r="I90" i="47"/>
  <c r="G41" i="47"/>
  <c r="I41" i="47"/>
  <c r="I88" i="47" s="1"/>
  <c r="C91" i="44"/>
  <c r="I6" i="44"/>
  <c r="I104" i="42"/>
  <c r="H89" i="43"/>
  <c r="C86" i="43"/>
  <c r="F89" i="43"/>
  <c r="C83" i="43"/>
  <c r="G88" i="43"/>
  <c r="G88" i="47"/>
  <c r="G91" i="47"/>
  <c r="I85" i="47"/>
  <c r="G85" i="47"/>
  <c r="E149" i="71"/>
  <c r="D149" i="71"/>
  <c r="C149" i="71"/>
  <c r="I148" i="71"/>
  <c r="K148" i="71" s="1"/>
  <c r="I147" i="71"/>
  <c r="K147" i="71" s="1"/>
  <c r="I146" i="71"/>
  <c r="K146" i="71" s="1"/>
  <c r="I145" i="71"/>
  <c r="K145" i="71" s="1"/>
  <c r="I144" i="71"/>
  <c r="K144" i="71" s="1"/>
  <c r="I143" i="71"/>
  <c r="K143" i="71" s="1"/>
  <c r="I142" i="71"/>
  <c r="K142" i="71" s="1"/>
  <c r="F141" i="71"/>
  <c r="I141" i="71" s="1"/>
  <c r="K141" i="71" s="1"/>
  <c r="G140" i="71"/>
  <c r="I140" i="71"/>
  <c r="K140" i="71" s="1"/>
  <c r="G139" i="71"/>
  <c r="I139" i="71" s="1"/>
  <c r="K139" i="71" s="1"/>
  <c r="G138" i="71"/>
  <c r="I138" i="71"/>
  <c r="K138" i="71" s="1"/>
  <c r="G137" i="71"/>
  <c r="G136" i="71"/>
  <c r="I136" i="71"/>
  <c r="K136" i="71" s="1"/>
  <c r="I134" i="71"/>
  <c r="K134" i="71" s="1"/>
  <c r="I133" i="71"/>
  <c r="K133" i="71" s="1"/>
  <c r="I132" i="71"/>
  <c r="K132" i="71" s="1"/>
  <c r="I131" i="71"/>
  <c r="K131" i="71" s="1"/>
  <c r="I130" i="71"/>
  <c r="K130" i="71" s="1"/>
  <c r="I129" i="71"/>
  <c r="K129" i="71" s="1"/>
  <c r="I128" i="71"/>
  <c r="K128" i="71" s="1"/>
  <c r="I127" i="71"/>
  <c r="K127" i="71" s="1"/>
  <c r="I126" i="71"/>
  <c r="K126" i="71" s="1"/>
  <c r="I125" i="71"/>
  <c r="K125" i="71" s="1"/>
  <c r="I124" i="71"/>
  <c r="K124" i="71" s="1"/>
  <c r="I123" i="71"/>
  <c r="K123" i="71" s="1"/>
  <c r="I122" i="71"/>
  <c r="K122" i="71" s="1"/>
  <c r="I121" i="71"/>
  <c r="K121" i="71" s="1"/>
  <c r="I120" i="71"/>
  <c r="K120" i="71" s="1"/>
  <c r="I119" i="71"/>
  <c r="K119" i="71" s="1"/>
  <c r="I118" i="71"/>
  <c r="K118" i="71" s="1"/>
  <c r="I117" i="71"/>
  <c r="K117" i="71" s="1"/>
  <c r="I116" i="71"/>
  <c r="K116" i="71" s="1"/>
  <c r="I115" i="71"/>
  <c r="K115" i="71" s="1"/>
  <c r="I114" i="71"/>
  <c r="K114" i="71" s="1"/>
  <c r="I113" i="71"/>
  <c r="K113" i="71" s="1"/>
  <c r="I112" i="71"/>
  <c r="K112" i="71" s="1"/>
  <c r="I111" i="71"/>
  <c r="K111" i="71" s="1"/>
  <c r="I110" i="71"/>
  <c r="K110" i="71" s="1"/>
  <c r="I109" i="71"/>
  <c r="K109" i="71" s="1"/>
  <c r="I108" i="71"/>
  <c r="K108" i="71" s="1"/>
  <c r="I107" i="71"/>
  <c r="K107" i="71" s="1"/>
  <c r="I106" i="71"/>
  <c r="K106" i="71" s="1"/>
  <c r="I105" i="71"/>
  <c r="K105" i="71" s="1"/>
  <c r="I104" i="71"/>
  <c r="K104" i="71" s="1"/>
  <c r="I103" i="71"/>
  <c r="K103" i="71" s="1"/>
  <c r="I102" i="71"/>
  <c r="K102" i="71" s="1"/>
  <c r="I101" i="71"/>
  <c r="K101" i="71" s="1"/>
  <c r="I100" i="71"/>
  <c r="K100" i="71" s="1"/>
  <c r="I99" i="71"/>
  <c r="K99" i="71" s="1"/>
  <c r="I98" i="71"/>
  <c r="K98" i="71" s="1"/>
  <c r="I97" i="71"/>
  <c r="K97" i="71" s="1"/>
  <c r="I96" i="71"/>
  <c r="K96" i="71" s="1"/>
  <c r="I95" i="71"/>
  <c r="K95" i="71" s="1"/>
  <c r="I94" i="71"/>
  <c r="K94" i="71" s="1"/>
  <c r="I93" i="71"/>
  <c r="K93" i="71" s="1"/>
  <c r="I92" i="71"/>
  <c r="K92" i="71" s="1"/>
  <c r="I91" i="71"/>
  <c r="K91" i="71" s="1"/>
  <c r="I90" i="71"/>
  <c r="K90" i="71" s="1"/>
  <c r="I89" i="71"/>
  <c r="K89" i="71" s="1"/>
  <c r="I88" i="71"/>
  <c r="K88" i="71" s="1"/>
  <c r="I87" i="71"/>
  <c r="K87" i="71" s="1"/>
  <c r="I86" i="71"/>
  <c r="K86" i="71" s="1"/>
  <c r="I85" i="71"/>
  <c r="K85" i="71" s="1"/>
  <c r="I84" i="71"/>
  <c r="K84" i="71" s="1"/>
  <c r="I83" i="71"/>
  <c r="K83" i="71" s="1"/>
  <c r="I82" i="71"/>
  <c r="K82" i="71" s="1"/>
  <c r="I81" i="71"/>
  <c r="K81" i="71" s="1"/>
  <c r="I80" i="71"/>
  <c r="K80" i="71" s="1"/>
  <c r="I79" i="71"/>
  <c r="K79" i="71" s="1"/>
  <c r="I78" i="71"/>
  <c r="K78" i="71" s="1"/>
  <c r="I77" i="71"/>
  <c r="K77" i="71" s="1"/>
  <c r="I76" i="71"/>
  <c r="K76" i="71" s="1"/>
  <c r="I75" i="71"/>
  <c r="K75" i="71" s="1"/>
  <c r="I74" i="71"/>
  <c r="K74" i="71" s="1"/>
  <c r="I73" i="71"/>
  <c r="K73" i="71" s="1"/>
  <c r="I72" i="71"/>
  <c r="K72" i="71" s="1"/>
  <c r="I71" i="71"/>
  <c r="K71" i="71" s="1"/>
  <c r="I70" i="71"/>
  <c r="K70" i="71" s="1"/>
  <c r="I69" i="71"/>
  <c r="K69" i="71" s="1"/>
  <c r="I68" i="71"/>
  <c r="K68" i="71" s="1"/>
  <c r="I67" i="71"/>
  <c r="K67" i="71" s="1"/>
  <c r="I66" i="71"/>
  <c r="K66" i="71" s="1"/>
  <c r="I65" i="71"/>
  <c r="K65" i="71" s="1"/>
  <c r="I64" i="71"/>
  <c r="K64" i="71" s="1"/>
  <c r="I63" i="71"/>
  <c r="K63" i="71" s="1"/>
  <c r="I62" i="71"/>
  <c r="K62" i="71" s="1"/>
  <c r="I61" i="71"/>
  <c r="K61" i="71" s="1"/>
  <c r="I60" i="71"/>
  <c r="K60" i="71"/>
  <c r="I59" i="71"/>
  <c r="K59" i="71"/>
  <c r="I58" i="71"/>
  <c r="K58" i="71"/>
  <c r="I57" i="71"/>
  <c r="K57" i="71"/>
  <c r="I56" i="71"/>
  <c r="K56" i="71"/>
  <c r="I55" i="71"/>
  <c r="K55" i="71"/>
  <c r="I54" i="71"/>
  <c r="K54" i="71"/>
  <c r="I53" i="71"/>
  <c r="K53" i="71"/>
  <c r="I52" i="71"/>
  <c r="K52" i="71"/>
  <c r="I51" i="71"/>
  <c r="K51" i="71"/>
  <c r="I50" i="71"/>
  <c r="K50" i="71"/>
  <c r="I49" i="71"/>
  <c r="K49" i="71"/>
  <c r="I48" i="71"/>
  <c r="K48" i="71"/>
  <c r="I47" i="71"/>
  <c r="K47" i="71"/>
  <c r="I46" i="71"/>
  <c r="K46" i="71"/>
  <c r="I45" i="71"/>
  <c r="K45" i="71"/>
  <c r="I44" i="71"/>
  <c r="K44" i="71"/>
  <c r="I43" i="71"/>
  <c r="K43" i="71"/>
  <c r="I42" i="71"/>
  <c r="K42" i="71"/>
  <c r="H41" i="71"/>
  <c r="I41" i="71"/>
  <c r="K41" i="71" s="1"/>
  <c r="I40" i="71"/>
  <c r="K40" i="71" s="1"/>
  <c r="I39" i="71"/>
  <c r="K39" i="71" s="1"/>
  <c r="I38" i="71"/>
  <c r="K38" i="71" s="1"/>
  <c r="I37" i="71"/>
  <c r="K37" i="71" s="1"/>
  <c r="I36" i="71"/>
  <c r="K36" i="71" s="1"/>
  <c r="I35" i="71"/>
  <c r="K35" i="71" s="1"/>
  <c r="I34" i="71"/>
  <c r="K34" i="71" s="1"/>
  <c r="I33" i="71"/>
  <c r="K33" i="71" s="1"/>
  <c r="I32" i="71"/>
  <c r="K32" i="71" s="1"/>
  <c r="I31" i="71"/>
  <c r="K31" i="71" s="1"/>
  <c r="I30" i="71"/>
  <c r="K30" i="71" s="1"/>
  <c r="I29" i="71"/>
  <c r="K29" i="71" s="1"/>
  <c r="I28" i="71"/>
  <c r="K28" i="71" s="1"/>
  <c r="I27" i="71"/>
  <c r="K27" i="71" s="1"/>
  <c r="I26" i="71"/>
  <c r="K26" i="71" s="1"/>
  <c r="I25" i="71"/>
  <c r="K25" i="71" s="1"/>
  <c r="I24" i="71"/>
  <c r="K24" i="71" s="1"/>
  <c r="I23" i="71"/>
  <c r="K23" i="71" s="1"/>
  <c r="I22" i="71"/>
  <c r="K22" i="71" s="1"/>
  <c r="I21" i="71"/>
  <c r="K21" i="71" s="1"/>
  <c r="I20" i="71"/>
  <c r="K20" i="71" s="1"/>
  <c r="I19" i="71"/>
  <c r="K19" i="71" s="1"/>
  <c r="I18" i="71"/>
  <c r="K18" i="71" s="1"/>
  <c r="I17" i="71"/>
  <c r="K17" i="71" s="1"/>
  <c r="I16" i="71"/>
  <c r="K16" i="71" s="1"/>
  <c r="I15" i="71"/>
  <c r="K15" i="71" s="1"/>
  <c r="I14" i="71"/>
  <c r="K14" i="71" s="1"/>
  <c r="I13" i="71"/>
  <c r="K13" i="71" s="1"/>
  <c r="I12" i="71"/>
  <c r="K12" i="71" s="1"/>
  <c r="H11" i="71"/>
  <c r="I10" i="71"/>
  <c r="K10" i="71"/>
  <c r="I9" i="71"/>
  <c r="K9" i="71"/>
  <c r="I8" i="71"/>
  <c r="K8" i="71"/>
  <c r="I7" i="71"/>
  <c r="K7" i="71"/>
  <c r="I6" i="71"/>
  <c r="K6" i="71"/>
  <c r="E215" i="70"/>
  <c r="D215" i="70"/>
  <c r="E214" i="70"/>
  <c r="D214" i="70"/>
  <c r="C214" i="70"/>
  <c r="E213" i="70"/>
  <c r="E216" i="70" s="1"/>
  <c r="D213" i="70"/>
  <c r="J210" i="70"/>
  <c r="E210" i="70"/>
  <c r="D210" i="70"/>
  <c r="I208" i="70"/>
  <c r="K208" i="70"/>
  <c r="I207" i="70"/>
  <c r="K207" i="70"/>
  <c r="F206" i="70"/>
  <c r="I206" i="70"/>
  <c r="K206" i="70" s="1"/>
  <c r="I205" i="70"/>
  <c r="K205" i="70" s="1"/>
  <c r="I203" i="70"/>
  <c r="K203" i="70" s="1"/>
  <c r="I202" i="70"/>
  <c r="K202" i="70" s="1"/>
  <c r="G201" i="70"/>
  <c r="I201" i="70" s="1"/>
  <c r="K201" i="70" s="1"/>
  <c r="G200" i="70"/>
  <c r="I200" i="70"/>
  <c r="K200" i="70" s="1"/>
  <c r="I199" i="70"/>
  <c r="K199" i="70" s="1"/>
  <c r="I198" i="70"/>
  <c r="K198" i="70" s="1"/>
  <c r="I197" i="70"/>
  <c r="K197" i="70" s="1"/>
  <c r="I196" i="70"/>
  <c r="K196" i="70" s="1"/>
  <c r="I195" i="70"/>
  <c r="K195" i="70" s="1"/>
  <c r="I194" i="70"/>
  <c r="K194" i="70" s="1"/>
  <c r="I193" i="70"/>
  <c r="K193" i="70" s="1"/>
  <c r="I192" i="70"/>
  <c r="K192" i="70" s="1"/>
  <c r="I191" i="70"/>
  <c r="K191" i="70" s="1"/>
  <c r="I190" i="70"/>
  <c r="K190" i="70" s="1"/>
  <c r="I189" i="70"/>
  <c r="K189" i="70" s="1"/>
  <c r="I188" i="70"/>
  <c r="K188" i="70" s="1"/>
  <c r="I187" i="70"/>
  <c r="K187" i="70" s="1"/>
  <c r="I186" i="70"/>
  <c r="K186" i="70" s="1"/>
  <c r="I185" i="70"/>
  <c r="K185" i="70" s="1"/>
  <c r="I184" i="70"/>
  <c r="K184" i="70" s="1"/>
  <c r="I183" i="70"/>
  <c r="K183" i="70" s="1"/>
  <c r="I182" i="70"/>
  <c r="K182" i="70" s="1"/>
  <c r="I181" i="70"/>
  <c r="K181" i="70" s="1"/>
  <c r="I180" i="70"/>
  <c r="K180" i="70" s="1"/>
  <c r="I179" i="70"/>
  <c r="K179" i="70" s="1"/>
  <c r="I178" i="70"/>
  <c r="K178" i="70" s="1"/>
  <c r="I177" i="70"/>
  <c r="K177" i="70" s="1"/>
  <c r="I176" i="70"/>
  <c r="K176" i="70" s="1"/>
  <c r="I175" i="70"/>
  <c r="K175" i="70" s="1"/>
  <c r="I174" i="70"/>
  <c r="K174" i="70" s="1"/>
  <c r="I173" i="70"/>
  <c r="K173" i="70" s="1"/>
  <c r="I172" i="70"/>
  <c r="K172" i="70" s="1"/>
  <c r="I171" i="70"/>
  <c r="K171" i="70" s="1"/>
  <c r="I170" i="70"/>
  <c r="K170" i="70" s="1"/>
  <c r="I169" i="70"/>
  <c r="K169" i="70" s="1"/>
  <c r="I168" i="70"/>
  <c r="K168" i="70" s="1"/>
  <c r="I167" i="70"/>
  <c r="K167" i="70" s="1"/>
  <c r="I166" i="70"/>
  <c r="K166" i="70" s="1"/>
  <c r="I165" i="70"/>
  <c r="K165" i="70" s="1"/>
  <c r="I164" i="70"/>
  <c r="K164" i="70" s="1"/>
  <c r="I163" i="70"/>
  <c r="K163" i="70" s="1"/>
  <c r="I162" i="70"/>
  <c r="K162" i="70" s="1"/>
  <c r="I161" i="70"/>
  <c r="K161" i="70" s="1"/>
  <c r="I160" i="70"/>
  <c r="K160" i="70" s="1"/>
  <c r="I159" i="70"/>
  <c r="K159" i="70" s="1"/>
  <c r="I158" i="70"/>
  <c r="K158" i="70" s="1"/>
  <c r="I157" i="70"/>
  <c r="K157" i="70" s="1"/>
  <c r="I156" i="70"/>
  <c r="K156" i="70" s="1"/>
  <c r="I155" i="70"/>
  <c r="K155" i="70" s="1"/>
  <c r="I154" i="70"/>
  <c r="K154" i="70" s="1"/>
  <c r="I153" i="70"/>
  <c r="K153" i="70" s="1"/>
  <c r="I152" i="70"/>
  <c r="K152" i="70" s="1"/>
  <c r="I151" i="70"/>
  <c r="K151" i="70" s="1"/>
  <c r="I150" i="70"/>
  <c r="K150" i="70" s="1"/>
  <c r="I149" i="70"/>
  <c r="K149" i="70" s="1"/>
  <c r="I148" i="70"/>
  <c r="K148" i="70" s="1"/>
  <c r="I147" i="70"/>
  <c r="K147" i="70" s="1"/>
  <c r="I146" i="70"/>
  <c r="K146" i="70" s="1"/>
  <c r="I145" i="70"/>
  <c r="K145" i="70" s="1"/>
  <c r="I144" i="70"/>
  <c r="K144" i="70" s="1"/>
  <c r="I143" i="70"/>
  <c r="K143" i="70" s="1"/>
  <c r="I142" i="70"/>
  <c r="K142" i="70" s="1"/>
  <c r="I141" i="70"/>
  <c r="K141" i="70" s="1"/>
  <c r="I140" i="70"/>
  <c r="K140" i="70" s="1"/>
  <c r="I139" i="70"/>
  <c r="K139" i="70" s="1"/>
  <c r="I138" i="70"/>
  <c r="K138" i="70" s="1"/>
  <c r="I137" i="70"/>
  <c r="K137" i="70" s="1"/>
  <c r="I136" i="70"/>
  <c r="K136" i="70" s="1"/>
  <c r="I135" i="70"/>
  <c r="K135" i="70" s="1"/>
  <c r="I134" i="70"/>
  <c r="K134" i="70" s="1"/>
  <c r="I133" i="70"/>
  <c r="K133" i="70" s="1"/>
  <c r="I132" i="70"/>
  <c r="K132" i="70" s="1"/>
  <c r="I131" i="70"/>
  <c r="K131" i="70" s="1"/>
  <c r="I130" i="70"/>
  <c r="K130" i="70" s="1"/>
  <c r="I129" i="70"/>
  <c r="K129" i="70" s="1"/>
  <c r="I128" i="70"/>
  <c r="K128" i="70" s="1"/>
  <c r="I127" i="70"/>
  <c r="K127" i="70" s="1"/>
  <c r="I126" i="70"/>
  <c r="K126" i="70" s="1"/>
  <c r="I125" i="70"/>
  <c r="K125" i="70" s="1"/>
  <c r="I124" i="70"/>
  <c r="K124" i="70" s="1"/>
  <c r="I123" i="70"/>
  <c r="K123" i="70" s="1"/>
  <c r="I122" i="70"/>
  <c r="K122" i="70" s="1"/>
  <c r="I121" i="70"/>
  <c r="K121" i="70" s="1"/>
  <c r="I120" i="70"/>
  <c r="K120" i="70" s="1"/>
  <c r="I119" i="70"/>
  <c r="K119" i="70" s="1"/>
  <c r="I118" i="70"/>
  <c r="K118" i="70" s="1"/>
  <c r="I117" i="70"/>
  <c r="K117" i="70" s="1"/>
  <c r="I116" i="70"/>
  <c r="K116" i="70" s="1"/>
  <c r="I115" i="70"/>
  <c r="K115" i="70" s="1"/>
  <c r="I114" i="70"/>
  <c r="K114" i="70" s="1"/>
  <c r="I113" i="70"/>
  <c r="K113" i="70" s="1"/>
  <c r="I112" i="70"/>
  <c r="K112" i="70" s="1"/>
  <c r="I111" i="70"/>
  <c r="K111" i="70" s="1"/>
  <c r="I110" i="70"/>
  <c r="K110" i="70" s="1"/>
  <c r="I109" i="70"/>
  <c r="K109" i="70" s="1"/>
  <c r="I108" i="70"/>
  <c r="K108" i="70" s="1"/>
  <c r="I107" i="70"/>
  <c r="K107" i="70" s="1"/>
  <c r="I106" i="70"/>
  <c r="K106" i="70" s="1"/>
  <c r="I105" i="70"/>
  <c r="K105" i="70" s="1"/>
  <c r="I104" i="70"/>
  <c r="K104" i="70" s="1"/>
  <c r="I103" i="70"/>
  <c r="K103" i="70" s="1"/>
  <c r="I102" i="70"/>
  <c r="K102" i="70" s="1"/>
  <c r="I101" i="70"/>
  <c r="K101" i="70" s="1"/>
  <c r="I100" i="70"/>
  <c r="K100" i="70" s="1"/>
  <c r="I99" i="70"/>
  <c r="K99" i="70" s="1"/>
  <c r="I98" i="70"/>
  <c r="K98" i="70" s="1"/>
  <c r="I97" i="70"/>
  <c r="K97" i="70" s="1"/>
  <c r="I96" i="70"/>
  <c r="K96" i="70" s="1"/>
  <c r="I95" i="70"/>
  <c r="K95" i="70" s="1"/>
  <c r="I94" i="70"/>
  <c r="K94" i="70" s="1"/>
  <c r="I93" i="70"/>
  <c r="K93" i="70" s="1"/>
  <c r="I92" i="70"/>
  <c r="K92" i="70" s="1"/>
  <c r="I91" i="70"/>
  <c r="K91" i="70" s="1"/>
  <c r="I90" i="70"/>
  <c r="K90" i="70" s="1"/>
  <c r="I89" i="70"/>
  <c r="K89" i="70" s="1"/>
  <c r="I88" i="70"/>
  <c r="K88" i="70" s="1"/>
  <c r="F87" i="70"/>
  <c r="F86" i="70"/>
  <c r="I85" i="70"/>
  <c r="K85" i="70" s="1"/>
  <c r="I84" i="70"/>
  <c r="K84" i="70" s="1"/>
  <c r="I83" i="70"/>
  <c r="K83" i="70" s="1"/>
  <c r="I82" i="70"/>
  <c r="K82" i="70" s="1"/>
  <c r="I81" i="70"/>
  <c r="K81" i="70" s="1"/>
  <c r="I80" i="70"/>
  <c r="K80" i="70" s="1"/>
  <c r="G79" i="70"/>
  <c r="I79" i="70" s="1"/>
  <c r="K79" i="70" s="1"/>
  <c r="G78" i="70"/>
  <c r="I78" i="70" s="1"/>
  <c r="K78" i="70" s="1"/>
  <c r="I77" i="70"/>
  <c r="K77" i="70"/>
  <c r="I76" i="70"/>
  <c r="K76" i="70"/>
  <c r="I75" i="70"/>
  <c r="K75" i="70"/>
  <c r="I74" i="70"/>
  <c r="K74" i="70"/>
  <c r="I73" i="70"/>
  <c r="K73" i="70"/>
  <c r="I72" i="70"/>
  <c r="K72" i="70"/>
  <c r="I71" i="70"/>
  <c r="K71" i="70"/>
  <c r="I70" i="70"/>
  <c r="K70" i="70"/>
  <c r="I69" i="70"/>
  <c r="K69" i="70"/>
  <c r="I68" i="70"/>
  <c r="K68" i="70"/>
  <c r="I67" i="70"/>
  <c r="K67" i="70"/>
  <c r="I66" i="70"/>
  <c r="K66" i="70"/>
  <c r="I65" i="70"/>
  <c r="K65" i="70"/>
  <c r="I64" i="70"/>
  <c r="K64" i="70"/>
  <c r="I63" i="70"/>
  <c r="K63" i="70"/>
  <c r="I62" i="70"/>
  <c r="K62" i="70"/>
  <c r="I61" i="70"/>
  <c r="K61" i="70"/>
  <c r="I60" i="70"/>
  <c r="K60" i="70"/>
  <c r="I59" i="70"/>
  <c r="K59" i="70"/>
  <c r="I58" i="70"/>
  <c r="K58" i="70"/>
  <c r="I57" i="70"/>
  <c r="K57" i="70"/>
  <c r="I56" i="70"/>
  <c r="K56" i="70"/>
  <c r="I55" i="70"/>
  <c r="K55" i="70"/>
  <c r="I54" i="70"/>
  <c r="K54" i="70"/>
  <c r="I53" i="70"/>
  <c r="K53" i="70"/>
  <c r="I52" i="70"/>
  <c r="K52" i="70"/>
  <c r="I51" i="70"/>
  <c r="K51" i="70"/>
  <c r="I50" i="70"/>
  <c r="K50" i="70"/>
  <c r="I49" i="70"/>
  <c r="K49" i="70"/>
  <c r="I48" i="70"/>
  <c r="K48" i="70"/>
  <c r="I47" i="70"/>
  <c r="K47" i="70"/>
  <c r="I46" i="70"/>
  <c r="K46" i="70"/>
  <c r="I45" i="70"/>
  <c r="K45" i="70"/>
  <c r="I43" i="70"/>
  <c r="K43" i="70"/>
  <c r="H42" i="70"/>
  <c r="I42" i="70"/>
  <c r="K42" i="70" s="1"/>
  <c r="I41" i="70"/>
  <c r="K41" i="70" s="1"/>
  <c r="I40" i="70"/>
  <c r="K40" i="70" s="1"/>
  <c r="I39" i="70"/>
  <c r="K39" i="70" s="1"/>
  <c r="I38" i="70"/>
  <c r="K38" i="70" s="1"/>
  <c r="I37" i="70"/>
  <c r="K37" i="70" s="1"/>
  <c r="I36" i="70"/>
  <c r="K36" i="70" s="1"/>
  <c r="I35" i="70"/>
  <c r="K35" i="70" s="1"/>
  <c r="I34" i="70"/>
  <c r="K34" i="70" s="1"/>
  <c r="I33" i="70"/>
  <c r="K33" i="70" s="1"/>
  <c r="I32" i="70"/>
  <c r="K32" i="70" s="1"/>
  <c r="I31" i="70"/>
  <c r="K31" i="70" s="1"/>
  <c r="I30" i="70"/>
  <c r="K30" i="70" s="1"/>
  <c r="I29" i="70"/>
  <c r="K29" i="70" s="1"/>
  <c r="I28" i="70"/>
  <c r="K28" i="70" s="1"/>
  <c r="I27" i="70"/>
  <c r="K27" i="70" s="1"/>
  <c r="I26" i="70"/>
  <c r="K26" i="70" s="1"/>
  <c r="I25" i="70"/>
  <c r="K25" i="70" s="1"/>
  <c r="I24" i="70"/>
  <c r="K24" i="70" s="1"/>
  <c r="I23" i="70"/>
  <c r="K23" i="70" s="1"/>
  <c r="I22" i="70"/>
  <c r="K22" i="70" s="1"/>
  <c r="I21" i="70"/>
  <c r="K21" i="70" s="1"/>
  <c r="I20" i="70"/>
  <c r="K20" i="70" s="1"/>
  <c r="I19" i="70"/>
  <c r="K19" i="70" s="1"/>
  <c r="I18" i="70"/>
  <c r="K18" i="70" s="1"/>
  <c r="I17" i="70"/>
  <c r="K17" i="70" s="1"/>
  <c r="I16" i="70"/>
  <c r="K16" i="70" s="1"/>
  <c r="I15" i="70"/>
  <c r="K15" i="70" s="1"/>
  <c r="I14" i="70"/>
  <c r="K14" i="70" s="1"/>
  <c r="I13" i="70"/>
  <c r="K13" i="70" s="1"/>
  <c r="I12" i="70"/>
  <c r="K12" i="70" s="1"/>
  <c r="I11" i="70"/>
  <c r="K11" i="70" s="1"/>
  <c r="I10" i="70"/>
  <c r="K10" i="70" s="1"/>
  <c r="I9" i="70"/>
  <c r="K9" i="70" s="1"/>
  <c r="I8" i="70"/>
  <c r="K8" i="70" s="1"/>
  <c r="I7" i="70"/>
  <c r="K7" i="70" s="1"/>
  <c r="I6" i="70"/>
  <c r="E164" i="71"/>
  <c r="H44" i="70"/>
  <c r="I44" i="70" s="1"/>
  <c r="K44" i="70"/>
  <c r="F135" i="71"/>
  <c r="F149" i="71" s="1"/>
  <c r="D216" i="70"/>
  <c r="I86" i="70"/>
  <c r="K86" i="70" s="1"/>
  <c r="C213" i="70"/>
  <c r="C216" i="70" s="1"/>
  <c r="G210" i="70"/>
  <c r="I74" i="68"/>
  <c r="K74" i="68"/>
  <c r="I65" i="69"/>
  <c r="K65" i="69"/>
  <c r="I48" i="69"/>
  <c r="K48" i="69"/>
  <c r="I41" i="69"/>
  <c r="K41" i="69"/>
  <c r="C210" i="70"/>
  <c r="I135" i="71"/>
  <c r="K135" i="71" s="1"/>
  <c r="I70" i="69"/>
  <c r="K70" i="69" s="1"/>
  <c r="I54" i="69"/>
  <c r="K54" i="69" s="1"/>
  <c r="I209" i="70"/>
  <c r="K209" i="70" s="1"/>
  <c r="C215" i="70"/>
  <c r="H214" i="70"/>
  <c r="I151" i="69"/>
  <c r="K151" i="69"/>
  <c r="I199" i="69"/>
  <c r="K199" i="69"/>
  <c r="I33" i="69"/>
  <c r="K33" i="69" s="1"/>
  <c r="E215" i="69"/>
  <c r="D215" i="69"/>
  <c r="E214" i="69"/>
  <c r="D214" i="69"/>
  <c r="E213" i="69"/>
  <c r="D213" i="69"/>
  <c r="J210" i="69"/>
  <c r="E210" i="69"/>
  <c r="D210" i="69"/>
  <c r="I208" i="69"/>
  <c r="K208" i="69"/>
  <c r="I207" i="69"/>
  <c r="K207" i="69"/>
  <c r="F206" i="69"/>
  <c r="I206" i="69"/>
  <c r="K206" i="69" s="1"/>
  <c r="I205" i="69"/>
  <c r="K205" i="69" s="1"/>
  <c r="I203" i="69"/>
  <c r="K203" i="69" s="1"/>
  <c r="I202" i="69"/>
  <c r="K202" i="69" s="1"/>
  <c r="G201" i="69"/>
  <c r="G210" i="69" s="1"/>
  <c r="I201" i="69"/>
  <c r="K201" i="69" s="1"/>
  <c r="G200" i="69"/>
  <c r="I200" i="69"/>
  <c r="K200" i="69"/>
  <c r="I198" i="69"/>
  <c r="K198" i="69" s="1"/>
  <c r="I197" i="69"/>
  <c r="K197" i="69"/>
  <c r="I196" i="69"/>
  <c r="K196" i="69" s="1"/>
  <c r="I195" i="69"/>
  <c r="K195" i="69" s="1"/>
  <c r="I194" i="69"/>
  <c r="K194" i="69" s="1"/>
  <c r="I193" i="69"/>
  <c r="K193" i="69" s="1"/>
  <c r="I192" i="69"/>
  <c r="K192" i="69" s="1"/>
  <c r="I191" i="69"/>
  <c r="K191" i="69"/>
  <c r="I190" i="69"/>
  <c r="K190" i="69" s="1"/>
  <c r="I189" i="69"/>
  <c r="K189" i="69"/>
  <c r="I188" i="69"/>
  <c r="K188" i="69" s="1"/>
  <c r="I187" i="69"/>
  <c r="K187" i="69"/>
  <c r="I186" i="69"/>
  <c r="K186" i="69" s="1"/>
  <c r="I185" i="69"/>
  <c r="K185" i="69"/>
  <c r="I184" i="69"/>
  <c r="K184" i="69" s="1"/>
  <c r="I183" i="69"/>
  <c r="K183" i="69"/>
  <c r="I182" i="69"/>
  <c r="K182" i="69" s="1"/>
  <c r="I181" i="69"/>
  <c r="K181" i="69"/>
  <c r="I180" i="69"/>
  <c r="K180" i="69" s="1"/>
  <c r="I179" i="69"/>
  <c r="K179" i="69"/>
  <c r="I178" i="69"/>
  <c r="K178" i="69" s="1"/>
  <c r="I177" i="69"/>
  <c r="K177" i="69"/>
  <c r="I176" i="69"/>
  <c r="K176" i="69" s="1"/>
  <c r="I175" i="69"/>
  <c r="K175" i="69"/>
  <c r="I174" i="69"/>
  <c r="K174" i="69" s="1"/>
  <c r="I173" i="69"/>
  <c r="K173" i="69"/>
  <c r="I172" i="69"/>
  <c r="K172" i="69" s="1"/>
  <c r="I171" i="69"/>
  <c r="K171" i="69"/>
  <c r="I170" i="69"/>
  <c r="K170" i="69" s="1"/>
  <c r="I169" i="69"/>
  <c r="K169" i="69"/>
  <c r="I168" i="69"/>
  <c r="K168" i="69" s="1"/>
  <c r="I167" i="69"/>
  <c r="K167" i="69"/>
  <c r="I166" i="69"/>
  <c r="K166" i="69" s="1"/>
  <c r="I165" i="69"/>
  <c r="K165" i="69"/>
  <c r="I164" i="69"/>
  <c r="K164" i="69" s="1"/>
  <c r="I163" i="69"/>
  <c r="K163" i="69"/>
  <c r="I162" i="69"/>
  <c r="K162" i="69" s="1"/>
  <c r="I161" i="69"/>
  <c r="K161" i="69"/>
  <c r="I160" i="69"/>
  <c r="K160" i="69" s="1"/>
  <c r="I159" i="69"/>
  <c r="K159" i="69"/>
  <c r="I158" i="69"/>
  <c r="K158" i="69" s="1"/>
  <c r="I157" i="69"/>
  <c r="K157" i="69"/>
  <c r="I156" i="69"/>
  <c r="K156" i="69" s="1"/>
  <c r="I155" i="69"/>
  <c r="K155" i="69"/>
  <c r="I154" i="69"/>
  <c r="K154" i="69" s="1"/>
  <c r="I153" i="69"/>
  <c r="K153" i="69"/>
  <c r="I152" i="69"/>
  <c r="K152" i="69" s="1"/>
  <c r="I150" i="69"/>
  <c r="K150" i="69"/>
  <c r="I149" i="69"/>
  <c r="K149" i="69" s="1"/>
  <c r="I148" i="69"/>
  <c r="K148" i="69"/>
  <c r="I147" i="69"/>
  <c r="K147" i="69" s="1"/>
  <c r="I146" i="69"/>
  <c r="K146" i="69"/>
  <c r="I145" i="69"/>
  <c r="K145" i="69" s="1"/>
  <c r="I144" i="69"/>
  <c r="K144" i="69"/>
  <c r="I143" i="69"/>
  <c r="K143" i="69" s="1"/>
  <c r="I142" i="69"/>
  <c r="K142" i="69"/>
  <c r="I141" i="69"/>
  <c r="K141" i="69" s="1"/>
  <c r="I140" i="69"/>
  <c r="K140" i="69"/>
  <c r="I139" i="69"/>
  <c r="K139" i="69" s="1"/>
  <c r="I138" i="69"/>
  <c r="K138" i="69"/>
  <c r="I137" i="69"/>
  <c r="K137" i="69" s="1"/>
  <c r="I136" i="69"/>
  <c r="K136" i="69"/>
  <c r="I135" i="69"/>
  <c r="K135" i="69" s="1"/>
  <c r="I134" i="69"/>
  <c r="K134" i="69"/>
  <c r="I133" i="69"/>
  <c r="K133" i="69" s="1"/>
  <c r="I132" i="69"/>
  <c r="K132" i="69"/>
  <c r="I131" i="69"/>
  <c r="K131" i="69" s="1"/>
  <c r="I130" i="69"/>
  <c r="K130" i="69"/>
  <c r="I129" i="69"/>
  <c r="K129" i="69" s="1"/>
  <c r="I128" i="69"/>
  <c r="K128" i="69"/>
  <c r="I127" i="69"/>
  <c r="K127" i="69" s="1"/>
  <c r="I126" i="69"/>
  <c r="K126" i="69"/>
  <c r="I125" i="69"/>
  <c r="K125" i="69" s="1"/>
  <c r="I124" i="69"/>
  <c r="K124" i="69"/>
  <c r="I123" i="69"/>
  <c r="K123" i="69" s="1"/>
  <c r="I122" i="69"/>
  <c r="K122" i="69"/>
  <c r="I121" i="69"/>
  <c r="K121" i="69" s="1"/>
  <c r="I120" i="69"/>
  <c r="K120" i="69"/>
  <c r="I119" i="69"/>
  <c r="K119" i="69" s="1"/>
  <c r="I118" i="69"/>
  <c r="K118" i="69"/>
  <c r="I117" i="69"/>
  <c r="K117" i="69" s="1"/>
  <c r="I116" i="69"/>
  <c r="K116" i="69"/>
  <c r="I115" i="69"/>
  <c r="K115" i="69" s="1"/>
  <c r="I114" i="69"/>
  <c r="K114" i="69"/>
  <c r="I113" i="69"/>
  <c r="K113" i="69" s="1"/>
  <c r="I112" i="69"/>
  <c r="K112" i="69"/>
  <c r="I111" i="69"/>
  <c r="K111" i="69" s="1"/>
  <c r="I110" i="69"/>
  <c r="K110" i="69"/>
  <c r="I109" i="69"/>
  <c r="K109" i="69" s="1"/>
  <c r="I108" i="69"/>
  <c r="K108" i="69"/>
  <c r="I107" i="69"/>
  <c r="K107" i="69" s="1"/>
  <c r="I106" i="69"/>
  <c r="K106" i="69"/>
  <c r="I105" i="69"/>
  <c r="K105" i="69" s="1"/>
  <c r="I104" i="69"/>
  <c r="K104" i="69"/>
  <c r="I103" i="69"/>
  <c r="K103" i="69" s="1"/>
  <c r="I102" i="69"/>
  <c r="K102" i="69"/>
  <c r="I101" i="69"/>
  <c r="K101" i="69" s="1"/>
  <c r="I100" i="69"/>
  <c r="K100" i="69"/>
  <c r="I99" i="69"/>
  <c r="K99" i="69" s="1"/>
  <c r="I98" i="69"/>
  <c r="K98" i="69"/>
  <c r="I97" i="69"/>
  <c r="K97" i="69" s="1"/>
  <c r="I96" i="69"/>
  <c r="K96" i="69"/>
  <c r="I95" i="69"/>
  <c r="K95" i="69" s="1"/>
  <c r="I94" i="69"/>
  <c r="K94" i="69"/>
  <c r="I93" i="69"/>
  <c r="K93" i="69" s="1"/>
  <c r="I92" i="69"/>
  <c r="K92" i="69"/>
  <c r="I91" i="69"/>
  <c r="K91" i="69" s="1"/>
  <c r="I90" i="69"/>
  <c r="K90" i="69"/>
  <c r="C214" i="69"/>
  <c r="I88" i="69"/>
  <c r="K88" i="69"/>
  <c r="F87" i="69"/>
  <c r="I87" i="69" s="1"/>
  <c r="K87" i="69" s="1"/>
  <c r="F86" i="69"/>
  <c r="F210" i="69" s="1"/>
  <c r="I86" i="69"/>
  <c r="K86" i="69" s="1"/>
  <c r="I85" i="69"/>
  <c r="K85" i="69"/>
  <c r="I84" i="69"/>
  <c r="K84" i="69" s="1"/>
  <c r="I83" i="69"/>
  <c r="K83" i="69"/>
  <c r="I82" i="69"/>
  <c r="K82" i="69" s="1"/>
  <c r="I81" i="69"/>
  <c r="K81" i="69"/>
  <c r="I80" i="69"/>
  <c r="K80" i="69" s="1"/>
  <c r="G79" i="69"/>
  <c r="I79" i="69"/>
  <c r="K79" i="69"/>
  <c r="G78" i="69"/>
  <c r="I77" i="69"/>
  <c r="K77" i="69"/>
  <c r="I76" i="69"/>
  <c r="K76" i="69" s="1"/>
  <c r="I75" i="69"/>
  <c r="K75" i="69"/>
  <c r="I74" i="69"/>
  <c r="K74" i="69" s="1"/>
  <c r="I73" i="69"/>
  <c r="K73" i="69"/>
  <c r="I72" i="69"/>
  <c r="K72" i="69" s="1"/>
  <c r="I71" i="69"/>
  <c r="K71" i="69"/>
  <c r="I69" i="69"/>
  <c r="K69" i="69" s="1"/>
  <c r="I68" i="69"/>
  <c r="K68" i="69"/>
  <c r="I67" i="69"/>
  <c r="K67" i="69" s="1"/>
  <c r="I66" i="69"/>
  <c r="K66" i="69"/>
  <c r="I64" i="69"/>
  <c r="K64" i="69" s="1"/>
  <c r="I63" i="69"/>
  <c r="K63" i="69"/>
  <c r="I62" i="69"/>
  <c r="K62" i="69" s="1"/>
  <c r="I61" i="69"/>
  <c r="K61" i="69"/>
  <c r="I60" i="69"/>
  <c r="K60" i="69" s="1"/>
  <c r="I59" i="69"/>
  <c r="K59" i="69"/>
  <c r="I58" i="69"/>
  <c r="K58" i="69" s="1"/>
  <c r="I57" i="69"/>
  <c r="K57" i="69"/>
  <c r="I56" i="69"/>
  <c r="K56" i="69" s="1"/>
  <c r="I55" i="69"/>
  <c r="K55" i="69"/>
  <c r="I53" i="69"/>
  <c r="K53" i="69" s="1"/>
  <c r="I52" i="69"/>
  <c r="K52" i="69"/>
  <c r="I51" i="69"/>
  <c r="K51" i="69" s="1"/>
  <c r="I50" i="69"/>
  <c r="K50" i="69"/>
  <c r="I49" i="69"/>
  <c r="K49" i="69" s="1"/>
  <c r="I47" i="69"/>
  <c r="K47" i="69"/>
  <c r="I46" i="69"/>
  <c r="K46" i="69" s="1"/>
  <c r="I45" i="69"/>
  <c r="K45" i="69"/>
  <c r="I43" i="69"/>
  <c r="K43" i="69" s="1"/>
  <c r="H42" i="69"/>
  <c r="H44" i="69"/>
  <c r="I44" i="69"/>
  <c r="K44" i="69" s="1"/>
  <c r="I40" i="69"/>
  <c r="K40" i="69"/>
  <c r="I39" i="69"/>
  <c r="K39" i="69" s="1"/>
  <c r="I38" i="69"/>
  <c r="K38" i="69"/>
  <c r="I37" i="69"/>
  <c r="K37" i="69" s="1"/>
  <c r="I36" i="69"/>
  <c r="K36" i="69"/>
  <c r="I35" i="69"/>
  <c r="K35" i="69" s="1"/>
  <c r="I34" i="69"/>
  <c r="K34" i="69"/>
  <c r="I32" i="69"/>
  <c r="K32" i="69" s="1"/>
  <c r="I31" i="69"/>
  <c r="K31" i="69"/>
  <c r="I30" i="69"/>
  <c r="K30" i="69" s="1"/>
  <c r="I29" i="69"/>
  <c r="K29" i="69"/>
  <c r="I28" i="69"/>
  <c r="K28" i="69" s="1"/>
  <c r="I26" i="69"/>
  <c r="K26" i="69"/>
  <c r="I25" i="69"/>
  <c r="K25" i="69" s="1"/>
  <c r="I24" i="69"/>
  <c r="K24" i="69"/>
  <c r="I23" i="69"/>
  <c r="K23" i="69" s="1"/>
  <c r="I22" i="69"/>
  <c r="K22" i="69"/>
  <c r="I21" i="69"/>
  <c r="K21" i="69" s="1"/>
  <c r="I20" i="69"/>
  <c r="K20" i="69"/>
  <c r="I19" i="69"/>
  <c r="K19" i="69" s="1"/>
  <c r="I18" i="69"/>
  <c r="K18" i="69"/>
  <c r="I17" i="69"/>
  <c r="K17" i="69" s="1"/>
  <c r="I16" i="69"/>
  <c r="K16" i="69"/>
  <c r="I15" i="69"/>
  <c r="K15" i="69" s="1"/>
  <c r="I14" i="69"/>
  <c r="K14" i="69"/>
  <c r="I13" i="69"/>
  <c r="K13" i="69" s="1"/>
  <c r="I12" i="69"/>
  <c r="K12" i="69"/>
  <c r="I11" i="69"/>
  <c r="K11" i="69" s="1"/>
  <c r="I10" i="69"/>
  <c r="K10" i="69"/>
  <c r="I9" i="69"/>
  <c r="K9" i="69" s="1"/>
  <c r="I8" i="69"/>
  <c r="K8" i="69"/>
  <c r="I7" i="69"/>
  <c r="I6" i="69"/>
  <c r="K6" i="69"/>
  <c r="E149" i="68"/>
  <c r="C149" i="68"/>
  <c r="I148" i="68"/>
  <c r="K148" i="68"/>
  <c r="I147" i="68"/>
  <c r="K147" i="68" s="1"/>
  <c r="I146" i="68"/>
  <c r="K146" i="68"/>
  <c r="I145" i="68"/>
  <c r="K145" i="68" s="1"/>
  <c r="I144" i="68"/>
  <c r="K144" i="68"/>
  <c r="I143" i="68"/>
  <c r="K143" i="68" s="1"/>
  <c r="I142" i="68"/>
  <c r="K142" i="68"/>
  <c r="F141" i="68"/>
  <c r="G140" i="68"/>
  <c r="I140" i="68"/>
  <c r="K140" i="68" s="1"/>
  <c r="G139" i="68"/>
  <c r="I139" i="68"/>
  <c r="K139" i="68"/>
  <c r="G138" i="68"/>
  <c r="I138" i="68" s="1"/>
  <c r="K138" i="68" s="1"/>
  <c r="G137" i="68"/>
  <c r="G136" i="68"/>
  <c r="I134" i="68"/>
  <c r="K134" i="68" s="1"/>
  <c r="I133" i="68"/>
  <c r="K133" i="68"/>
  <c r="I132" i="68"/>
  <c r="K132" i="68" s="1"/>
  <c r="I131" i="68"/>
  <c r="K131" i="68"/>
  <c r="I130" i="68"/>
  <c r="K130" i="68" s="1"/>
  <c r="I129" i="68"/>
  <c r="K129" i="68"/>
  <c r="I128" i="68"/>
  <c r="K128" i="68" s="1"/>
  <c r="I127" i="68"/>
  <c r="K127" i="68"/>
  <c r="I126" i="68"/>
  <c r="K126" i="68" s="1"/>
  <c r="I125" i="68"/>
  <c r="K125" i="68"/>
  <c r="I124" i="68"/>
  <c r="K124" i="68" s="1"/>
  <c r="I123" i="68"/>
  <c r="K123" i="68"/>
  <c r="I122" i="68"/>
  <c r="K122" i="68" s="1"/>
  <c r="I121" i="68"/>
  <c r="K121" i="68"/>
  <c r="I120" i="68"/>
  <c r="K120" i="68" s="1"/>
  <c r="I119" i="68"/>
  <c r="K119" i="68"/>
  <c r="I118" i="68"/>
  <c r="K118" i="68" s="1"/>
  <c r="I117" i="68"/>
  <c r="K117" i="68"/>
  <c r="I116" i="68"/>
  <c r="K116" i="68" s="1"/>
  <c r="I115" i="68"/>
  <c r="K115" i="68"/>
  <c r="I114" i="68"/>
  <c r="K114" i="68" s="1"/>
  <c r="I113" i="68"/>
  <c r="K113" i="68"/>
  <c r="I112" i="68"/>
  <c r="K112" i="68" s="1"/>
  <c r="I111" i="68"/>
  <c r="K111" i="68"/>
  <c r="I110" i="68"/>
  <c r="K110" i="68" s="1"/>
  <c r="I109" i="68"/>
  <c r="K109" i="68"/>
  <c r="I108" i="68"/>
  <c r="K108" i="68" s="1"/>
  <c r="I107" i="68"/>
  <c r="K107" i="68"/>
  <c r="I106" i="68"/>
  <c r="K106" i="68" s="1"/>
  <c r="I105" i="68"/>
  <c r="K105" i="68"/>
  <c r="I104" i="68"/>
  <c r="K104" i="68" s="1"/>
  <c r="I103" i="68"/>
  <c r="K103" i="68"/>
  <c r="I102" i="68"/>
  <c r="K102" i="68" s="1"/>
  <c r="I101" i="68"/>
  <c r="K101" i="68"/>
  <c r="I100" i="68"/>
  <c r="K100" i="68" s="1"/>
  <c r="I99" i="68"/>
  <c r="K99" i="68"/>
  <c r="I98" i="68"/>
  <c r="K98" i="68" s="1"/>
  <c r="I97" i="68"/>
  <c r="K97" i="68"/>
  <c r="I96" i="68"/>
  <c r="K96" i="68" s="1"/>
  <c r="I95" i="68"/>
  <c r="K95" i="68"/>
  <c r="I94" i="68"/>
  <c r="K94" i="68" s="1"/>
  <c r="I93" i="68"/>
  <c r="K93" i="68"/>
  <c r="I92" i="68"/>
  <c r="K92" i="68" s="1"/>
  <c r="I91" i="68"/>
  <c r="K91" i="68"/>
  <c r="I90" i="68"/>
  <c r="K90" i="68" s="1"/>
  <c r="I89" i="68"/>
  <c r="K89" i="68"/>
  <c r="I88" i="68"/>
  <c r="K88" i="68" s="1"/>
  <c r="I87" i="68"/>
  <c r="K87" i="68"/>
  <c r="I86" i="68"/>
  <c r="K86" i="68" s="1"/>
  <c r="I85" i="68"/>
  <c r="K85" i="68"/>
  <c r="I84" i="68"/>
  <c r="K84" i="68" s="1"/>
  <c r="I83" i="68"/>
  <c r="K83" i="68"/>
  <c r="I82" i="68"/>
  <c r="K82" i="68" s="1"/>
  <c r="I81" i="68"/>
  <c r="K81" i="68"/>
  <c r="I80" i="68"/>
  <c r="K80" i="68" s="1"/>
  <c r="I79" i="68"/>
  <c r="K79" i="68"/>
  <c r="I78" i="68"/>
  <c r="K78" i="68" s="1"/>
  <c r="I77" i="68"/>
  <c r="K77" i="68"/>
  <c r="I76" i="68"/>
  <c r="K76" i="68" s="1"/>
  <c r="I75" i="68"/>
  <c r="K75" i="68"/>
  <c r="I73" i="68"/>
  <c r="K73" i="68" s="1"/>
  <c r="I72" i="68"/>
  <c r="K72" i="68"/>
  <c r="I71" i="68"/>
  <c r="K71" i="68" s="1"/>
  <c r="I70" i="68"/>
  <c r="K70" i="68"/>
  <c r="I69" i="68"/>
  <c r="K69" i="68" s="1"/>
  <c r="I68" i="68"/>
  <c r="K68" i="68"/>
  <c r="I67" i="68"/>
  <c r="K67" i="68" s="1"/>
  <c r="I66" i="68"/>
  <c r="K66" i="68"/>
  <c r="I65" i="68"/>
  <c r="K65" i="68" s="1"/>
  <c r="I64" i="68"/>
  <c r="K64" i="68"/>
  <c r="I63" i="68"/>
  <c r="K63" i="68" s="1"/>
  <c r="I62" i="68"/>
  <c r="K62" i="68"/>
  <c r="I61" i="68"/>
  <c r="K61" i="68" s="1"/>
  <c r="I60" i="68"/>
  <c r="K60" i="68"/>
  <c r="I59" i="68"/>
  <c r="K59" i="68" s="1"/>
  <c r="I58" i="68"/>
  <c r="K58" i="68"/>
  <c r="I57" i="68"/>
  <c r="K57" i="68" s="1"/>
  <c r="I56" i="68"/>
  <c r="K56" i="68"/>
  <c r="I55" i="68"/>
  <c r="K55" i="68" s="1"/>
  <c r="I54" i="68"/>
  <c r="K54" i="68"/>
  <c r="I53" i="68"/>
  <c r="K53" i="68" s="1"/>
  <c r="I52" i="68"/>
  <c r="K52" i="68"/>
  <c r="I51" i="68"/>
  <c r="K51" i="68" s="1"/>
  <c r="I50" i="68"/>
  <c r="K50" i="68"/>
  <c r="I49" i="68"/>
  <c r="K49" i="68" s="1"/>
  <c r="I48" i="68"/>
  <c r="K48" i="68"/>
  <c r="I47" i="68"/>
  <c r="K47" i="68" s="1"/>
  <c r="I46" i="68"/>
  <c r="K46" i="68"/>
  <c r="I45" i="68"/>
  <c r="K45" i="68" s="1"/>
  <c r="I44" i="68"/>
  <c r="K44" i="68"/>
  <c r="I43" i="68"/>
  <c r="K43" i="68" s="1"/>
  <c r="I42" i="68"/>
  <c r="K42" i="68"/>
  <c r="H41" i="68"/>
  <c r="I41" i="68" s="1"/>
  <c r="K41" i="68" s="1"/>
  <c r="I40" i="68"/>
  <c r="K40" i="68" s="1"/>
  <c r="I39" i="68"/>
  <c r="K39" i="68"/>
  <c r="I38" i="68"/>
  <c r="K38" i="68" s="1"/>
  <c r="I37" i="68"/>
  <c r="K37" i="68"/>
  <c r="I36" i="68"/>
  <c r="K36" i="68" s="1"/>
  <c r="I35" i="68"/>
  <c r="K35" i="68"/>
  <c r="I34" i="68"/>
  <c r="K34" i="68" s="1"/>
  <c r="I33" i="68"/>
  <c r="K33" i="68"/>
  <c r="I32" i="68"/>
  <c r="K32" i="68" s="1"/>
  <c r="I31" i="68"/>
  <c r="K31" i="68"/>
  <c r="I30" i="68"/>
  <c r="K30" i="68" s="1"/>
  <c r="I29" i="68"/>
  <c r="K29" i="68"/>
  <c r="I28" i="68"/>
  <c r="K28" i="68" s="1"/>
  <c r="I27" i="68"/>
  <c r="K27" i="68"/>
  <c r="I26" i="68"/>
  <c r="K26" i="68" s="1"/>
  <c r="I25" i="68"/>
  <c r="K25" i="68"/>
  <c r="I24" i="68"/>
  <c r="K24" i="68" s="1"/>
  <c r="I23" i="68"/>
  <c r="K23" i="68"/>
  <c r="I22" i="68"/>
  <c r="K22" i="68" s="1"/>
  <c r="I21" i="68"/>
  <c r="K21" i="68"/>
  <c r="I20" i="68"/>
  <c r="K20" i="68" s="1"/>
  <c r="I19" i="68"/>
  <c r="K19" i="68"/>
  <c r="I18" i="68"/>
  <c r="K18" i="68" s="1"/>
  <c r="I17" i="68"/>
  <c r="K17" i="68"/>
  <c r="I16" i="68"/>
  <c r="K16" i="68" s="1"/>
  <c r="I15" i="68"/>
  <c r="K15" i="68"/>
  <c r="I14" i="68"/>
  <c r="K14" i="68" s="1"/>
  <c r="I13" i="68"/>
  <c r="K13" i="68"/>
  <c r="I12" i="68"/>
  <c r="K12" i="68" s="1"/>
  <c r="H11" i="68"/>
  <c r="H149" i="68" s="1"/>
  <c r="I11" i="68"/>
  <c r="K11" i="68" s="1"/>
  <c r="I10" i="68"/>
  <c r="K10" i="68"/>
  <c r="I9" i="68"/>
  <c r="K9" i="68" s="1"/>
  <c r="I8" i="68"/>
  <c r="K8" i="68"/>
  <c r="I7" i="68"/>
  <c r="I6" i="68"/>
  <c r="K6" i="68"/>
  <c r="E164" i="68"/>
  <c r="C213" i="69"/>
  <c r="D216" i="69"/>
  <c r="I27" i="69"/>
  <c r="K27" i="69" s="1"/>
  <c r="I78" i="69"/>
  <c r="K78" i="69"/>
  <c r="I89" i="69"/>
  <c r="K89" i="69" s="1"/>
  <c r="K214" i="69" s="1"/>
  <c r="E216" i="69"/>
  <c r="I42" i="69"/>
  <c r="K42" i="69" s="1"/>
  <c r="I136" i="68"/>
  <c r="K136" i="68" s="1"/>
  <c r="D149" i="68"/>
  <c r="C215" i="69"/>
  <c r="C216" i="69"/>
  <c r="H214" i="69"/>
  <c r="I209" i="69"/>
  <c r="K209" i="69"/>
  <c r="C210" i="69"/>
  <c r="I145" i="66"/>
  <c r="K145" i="66" s="1"/>
  <c r="I98" i="66"/>
  <c r="K98" i="66"/>
  <c r="E207" i="67"/>
  <c r="D207" i="67"/>
  <c r="E206" i="67"/>
  <c r="D206" i="67"/>
  <c r="E205" i="67"/>
  <c r="E208" i="67" s="1"/>
  <c r="D205" i="67"/>
  <c r="J202" i="67"/>
  <c r="E202" i="67"/>
  <c r="D202" i="67"/>
  <c r="I200" i="67"/>
  <c r="K200" i="67"/>
  <c r="I199" i="67"/>
  <c r="K199" i="67"/>
  <c r="F198" i="67"/>
  <c r="I198" i="67"/>
  <c r="K198" i="67"/>
  <c r="I197" i="67"/>
  <c r="K197" i="67" s="1"/>
  <c r="I195" i="67"/>
  <c r="K195" i="67"/>
  <c r="I194" i="67"/>
  <c r="K194" i="67" s="1"/>
  <c r="G193" i="67"/>
  <c r="I193" i="67"/>
  <c r="K193" i="67"/>
  <c r="G192" i="67"/>
  <c r="I191" i="67"/>
  <c r="K191" i="67"/>
  <c r="I190" i="67"/>
  <c r="K190" i="67" s="1"/>
  <c r="I189" i="67"/>
  <c r="K189" i="67"/>
  <c r="I188" i="67"/>
  <c r="K188" i="67" s="1"/>
  <c r="I187" i="67"/>
  <c r="K187" i="67"/>
  <c r="I186" i="67"/>
  <c r="K186" i="67" s="1"/>
  <c r="I185" i="67"/>
  <c r="K185" i="67"/>
  <c r="I184" i="67"/>
  <c r="K184" i="67" s="1"/>
  <c r="I183" i="67"/>
  <c r="K183" i="67"/>
  <c r="I182" i="67"/>
  <c r="K182" i="67" s="1"/>
  <c r="I181" i="67"/>
  <c r="K181" i="67"/>
  <c r="I180" i="67"/>
  <c r="K180" i="67" s="1"/>
  <c r="I179" i="67"/>
  <c r="K179" i="67"/>
  <c r="I178" i="67"/>
  <c r="K178" i="67" s="1"/>
  <c r="I177" i="67"/>
  <c r="K177" i="67"/>
  <c r="I176" i="67"/>
  <c r="K176" i="67" s="1"/>
  <c r="I175" i="67"/>
  <c r="K175" i="67"/>
  <c r="I174" i="67"/>
  <c r="K174" i="67" s="1"/>
  <c r="I173" i="67"/>
  <c r="K173" i="67"/>
  <c r="I172" i="67"/>
  <c r="K172" i="67" s="1"/>
  <c r="I171" i="67"/>
  <c r="K171" i="67"/>
  <c r="I170" i="67"/>
  <c r="K170" i="67" s="1"/>
  <c r="I169" i="67"/>
  <c r="K169" i="67"/>
  <c r="I168" i="67"/>
  <c r="K168" i="67" s="1"/>
  <c r="I167" i="67"/>
  <c r="K167" i="67"/>
  <c r="I166" i="67"/>
  <c r="K166" i="67" s="1"/>
  <c r="I165" i="67"/>
  <c r="K165" i="67"/>
  <c r="I164" i="67"/>
  <c r="K164" i="67" s="1"/>
  <c r="I163" i="67"/>
  <c r="K163" i="67"/>
  <c r="I162" i="67"/>
  <c r="K162" i="67" s="1"/>
  <c r="I161" i="67"/>
  <c r="K161" i="67"/>
  <c r="I160" i="67"/>
  <c r="K160" i="67" s="1"/>
  <c r="I159" i="67"/>
  <c r="K159" i="67"/>
  <c r="I158" i="67"/>
  <c r="K158" i="67" s="1"/>
  <c r="I157" i="67"/>
  <c r="K157" i="67"/>
  <c r="I156" i="67"/>
  <c r="K156" i="67" s="1"/>
  <c r="I155" i="67"/>
  <c r="K155" i="67"/>
  <c r="I154" i="67"/>
  <c r="K154" i="67" s="1"/>
  <c r="I153" i="67"/>
  <c r="K153" i="67"/>
  <c r="I152" i="67"/>
  <c r="K152" i="67" s="1"/>
  <c r="I151" i="67"/>
  <c r="K151" i="67"/>
  <c r="I150" i="67"/>
  <c r="K150" i="67" s="1"/>
  <c r="I149" i="67"/>
  <c r="K149" i="67"/>
  <c r="I148" i="67"/>
  <c r="K148" i="67" s="1"/>
  <c r="I147" i="67"/>
  <c r="K147" i="67"/>
  <c r="I146" i="67"/>
  <c r="K146" i="67" s="1"/>
  <c r="I145" i="67"/>
  <c r="K145" i="67"/>
  <c r="I144" i="67"/>
  <c r="K144" i="67" s="1"/>
  <c r="I143" i="67"/>
  <c r="K143" i="67"/>
  <c r="I142" i="67"/>
  <c r="K142" i="67" s="1"/>
  <c r="I141" i="67"/>
  <c r="K141" i="67"/>
  <c r="I140" i="67"/>
  <c r="K140" i="67" s="1"/>
  <c r="I139" i="67"/>
  <c r="K139" i="67"/>
  <c r="I138" i="67"/>
  <c r="K138" i="67" s="1"/>
  <c r="I137" i="67"/>
  <c r="K137" i="67"/>
  <c r="I136" i="67"/>
  <c r="K136" i="67" s="1"/>
  <c r="I135" i="67"/>
  <c r="K135" i="67"/>
  <c r="I134" i="67"/>
  <c r="K134" i="67" s="1"/>
  <c r="I133" i="67"/>
  <c r="K133" i="67"/>
  <c r="I132" i="67"/>
  <c r="K132" i="67" s="1"/>
  <c r="I131" i="67"/>
  <c r="K131" i="67"/>
  <c r="I130" i="67"/>
  <c r="K130" i="67" s="1"/>
  <c r="I129" i="67"/>
  <c r="K129" i="67"/>
  <c r="I128" i="67"/>
  <c r="K128" i="67" s="1"/>
  <c r="I127" i="67"/>
  <c r="K127" i="67"/>
  <c r="I126" i="67"/>
  <c r="K126" i="67" s="1"/>
  <c r="I125" i="67"/>
  <c r="K125" i="67"/>
  <c r="I124" i="67"/>
  <c r="K124" i="67" s="1"/>
  <c r="I123" i="67"/>
  <c r="K123" i="67"/>
  <c r="I122" i="67"/>
  <c r="K122" i="67" s="1"/>
  <c r="I121" i="67"/>
  <c r="K121" i="67"/>
  <c r="I120" i="67"/>
  <c r="K120" i="67" s="1"/>
  <c r="I119" i="67"/>
  <c r="K119" i="67"/>
  <c r="I118" i="67"/>
  <c r="K118" i="67" s="1"/>
  <c r="I117" i="67"/>
  <c r="K117" i="67"/>
  <c r="I116" i="67"/>
  <c r="K116" i="67" s="1"/>
  <c r="I115" i="67"/>
  <c r="K115" i="67"/>
  <c r="I114" i="67"/>
  <c r="K114" i="67" s="1"/>
  <c r="I113" i="67"/>
  <c r="K113" i="67"/>
  <c r="I112" i="67"/>
  <c r="K112" i="67" s="1"/>
  <c r="I111" i="67"/>
  <c r="K111" i="67"/>
  <c r="I110" i="67"/>
  <c r="K110" i="67" s="1"/>
  <c r="I109" i="67"/>
  <c r="K109" i="67"/>
  <c r="I108" i="67"/>
  <c r="K108" i="67" s="1"/>
  <c r="I107" i="67"/>
  <c r="K107" i="67"/>
  <c r="I106" i="67"/>
  <c r="K106" i="67" s="1"/>
  <c r="I105" i="67"/>
  <c r="K105" i="67"/>
  <c r="I104" i="67"/>
  <c r="K104" i="67" s="1"/>
  <c r="I103" i="67"/>
  <c r="K103" i="67"/>
  <c r="I102" i="67"/>
  <c r="K102" i="67" s="1"/>
  <c r="I101" i="67"/>
  <c r="K101" i="67"/>
  <c r="I100" i="67"/>
  <c r="K100" i="67" s="1"/>
  <c r="I99" i="67"/>
  <c r="K99" i="67"/>
  <c r="I98" i="67"/>
  <c r="K98" i="67" s="1"/>
  <c r="I97" i="67"/>
  <c r="K97" i="67"/>
  <c r="I96" i="67"/>
  <c r="K96" i="67" s="1"/>
  <c r="I95" i="67"/>
  <c r="K95" i="67"/>
  <c r="I94" i="67"/>
  <c r="K94" i="67" s="1"/>
  <c r="I93" i="67"/>
  <c r="K93" i="67"/>
  <c r="I92" i="67"/>
  <c r="K92" i="67" s="1"/>
  <c r="I91" i="67"/>
  <c r="K91" i="67"/>
  <c r="I90" i="67"/>
  <c r="K90" i="67" s="1"/>
  <c r="I89" i="67"/>
  <c r="K89" i="67"/>
  <c r="I88" i="67"/>
  <c r="K88" i="67" s="1"/>
  <c r="I87" i="67"/>
  <c r="K87" i="67"/>
  <c r="I86" i="67"/>
  <c r="K86" i="67" s="1"/>
  <c r="I84" i="67"/>
  <c r="K84" i="67"/>
  <c r="I83" i="67"/>
  <c r="K83" i="67" s="1"/>
  <c r="I82" i="67"/>
  <c r="K82" i="67"/>
  <c r="F81" i="67"/>
  <c r="I81" i="67" s="1"/>
  <c r="K81" i="67" s="1"/>
  <c r="F80" i="67"/>
  <c r="I80" i="67"/>
  <c r="K80" i="67" s="1"/>
  <c r="I79" i="67"/>
  <c r="K79" i="67"/>
  <c r="I78" i="67"/>
  <c r="K78" i="67" s="1"/>
  <c r="I77" i="67"/>
  <c r="K77" i="67"/>
  <c r="I76" i="67"/>
  <c r="K76" i="67" s="1"/>
  <c r="I75" i="67"/>
  <c r="K75" i="67"/>
  <c r="I74" i="67"/>
  <c r="K74" i="67" s="1"/>
  <c r="G73" i="67"/>
  <c r="I73" i="67"/>
  <c r="K73" i="67"/>
  <c r="G72" i="67"/>
  <c r="I72" i="67"/>
  <c r="K72" i="67"/>
  <c r="I71" i="67"/>
  <c r="K71" i="67" s="1"/>
  <c r="I70" i="67"/>
  <c r="K70" i="67"/>
  <c r="I69" i="67"/>
  <c r="K69" i="67" s="1"/>
  <c r="I68" i="67"/>
  <c r="K68" i="67"/>
  <c r="I67" i="67"/>
  <c r="K67" i="67" s="1"/>
  <c r="I66" i="67"/>
  <c r="K66" i="67"/>
  <c r="I65" i="67"/>
  <c r="K65" i="67" s="1"/>
  <c r="I64" i="67"/>
  <c r="K64" i="67"/>
  <c r="I63" i="67"/>
  <c r="K63" i="67" s="1"/>
  <c r="I62" i="67"/>
  <c r="K62" i="67"/>
  <c r="I61" i="67"/>
  <c r="K61" i="67" s="1"/>
  <c r="I60" i="67"/>
  <c r="K60" i="67"/>
  <c r="I59" i="67"/>
  <c r="K59" i="67" s="1"/>
  <c r="I58" i="67"/>
  <c r="K58" i="67"/>
  <c r="I57" i="67"/>
  <c r="K57" i="67" s="1"/>
  <c r="I56" i="67"/>
  <c r="K56" i="67"/>
  <c r="I55" i="67"/>
  <c r="K55" i="67" s="1"/>
  <c r="I54" i="67"/>
  <c r="K54" i="67"/>
  <c r="I53" i="67"/>
  <c r="K53" i="67" s="1"/>
  <c r="I52" i="67"/>
  <c r="K52" i="67"/>
  <c r="I51" i="67"/>
  <c r="K51" i="67" s="1"/>
  <c r="I50" i="67"/>
  <c r="K50" i="67"/>
  <c r="I49" i="67"/>
  <c r="K49" i="67" s="1"/>
  <c r="I48" i="67"/>
  <c r="K48" i="67"/>
  <c r="I47" i="67"/>
  <c r="K47" i="67" s="1"/>
  <c r="I46" i="67"/>
  <c r="K46" i="67"/>
  <c r="I45" i="67"/>
  <c r="K45" i="67" s="1"/>
  <c r="I44" i="67"/>
  <c r="K44" i="67"/>
  <c r="I43" i="67"/>
  <c r="K43" i="67" s="1"/>
  <c r="I41" i="67"/>
  <c r="K41" i="67"/>
  <c r="H40" i="67"/>
  <c r="I39" i="67"/>
  <c r="K39" i="67"/>
  <c r="I38" i="67"/>
  <c r="K38" i="67"/>
  <c r="I37" i="67"/>
  <c r="K37" i="67"/>
  <c r="I36" i="67"/>
  <c r="K36" i="67"/>
  <c r="I35" i="67"/>
  <c r="K35" i="67"/>
  <c r="I34" i="67"/>
  <c r="K34" i="67"/>
  <c r="I33" i="67"/>
  <c r="K33" i="67"/>
  <c r="I32" i="67"/>
  <c r="K32" i="67"/>
  <c r="I31" i="67"/>
  <c r="K31" i="67"/>
  <c r="I30" i="67"/>
  <c r="K30" i="67"/>
  <c r="I29" i="67"/>
  <c r="K29" i="67"/>
  <c r="I28" i="67"/>
  <c r="K28" i="67"/>
  <c r="I27" i="67"/>
  <c r="K27" i="67"/>
  <c r="I26" i="67"/>
  <c r="K26" i="67"/>
  <c r="I25" i="67"/>
  <c r="K25" i="67"/>
  <c r="I24" i="67"/>
  <c r="K24" i="67"/>
  <c r="I23" i="67"/>
  <c r="K23" i="67"/>
  <c r="I22" i="67"/>
  <c r="K22" i="67"/>
  <c r="I21" i="67"/>
  <c r="K21" i="67"/>
  <c r="I20" i="67"/>
  <c r="K20" i="67"/>
  <c r="I19" i="67"/>
  <c r="K19" i="67"/>
  <c r="I18" i="67"/>
  <c r="K18" i="67"/>
  <c r="I17" i="67"/>
  <c r="K17" i="67"/>
  <c r="I16" i="67"/>
  <c r="K16" i="67"/>
  <c r="I15" i="67"/>
  <c r="K15" i="67"/>
  <c r="I14" i="67"/>
  <c r="K14" i="67"/>
  <c r="I13" i="67"/>
  <c r="K13" i="67"/>
  <c r="I12" i="67"/>
  <c r="K12" i="67"/>
  <c r="I11" i="67"/>
  <c r="K11" i="67"/>
  <c r="I10" i="67"/>
  <c r="K10" i="67"/>
  <c r="I9" i="67"/>
  <c r="K9" i="67"/>
  <c r="I8" i="67"/>
  <c r="K8" i="67"/>
  <c r="I7" i="67"/>
  <c r="K7" i="67"/>
  <c r="I6" i="67"/>
  <c r="K6" i="67"/>
  <c r="E148" i="66"/>
  <c r="I147" i="66"/>
  <c r="K147" i="66"/>
  <c r="I146" i="66"/>
  <c r="K146" i="66" s="1"/>
  <c r="I144" i="66"/>
  <c r="K144" i="66"/>
  <c r="I143" i="66"/>
  <c r="K143" i="66" s="1"/>
  <c r="I142" i="66"/>
  <c r="K142" i="66"/>
  <c r="I141" i="66"/>
  <c r="K141" i="66" s="1"/>
  <c r="F140" i="66"/>
  <c r="F134" i="66"/>
  <c r="F148" i="66" s="1"/>
  <c r="G139" i="66"/>
  <c r="I139" i="66" s="1"/>
  <c r="K139" i="66" s="1"/>
  <c r="G138" i="66"/>
  <c r="I138" i="66"/>
  <c r="K138" i="66" s="1"/>
  <c r="G137" i="66"/>
  <c r="I137" i="66"/>
  <c r="K137" i="66"/>
  <c r="G136" i="66"/>
  <c r="I136" i="66"/>
  <c r="K136" i="66"/>
  <c r="G135" i="66"/>
  <c r="I133" i="66"/>
  <c r="K133" i="66"/>
  <c r="I132" i="66"/>
  <c r="K132" i="66"/>
  <c r="I131" i="66"/>
  <c r="K131" i="66"/>
  <c r="I130" i="66"/>
  <c r="K130" i="66"/>
  <c r="I129" i="66"/>
  <c r="K129" i="66"/>
  <c r="I128" i="66"/>
  <c r="K128" i="66"/>
  <c r="I127" i="66"/>
  <c r="K127" i="66"/>
  <c r="I126" i="66"/>
  <c r="K126" i="66"/>
  <c r="I125" i="66"/>
  <c r="K125" i="66"/>
  <c r="I124" i="66"/>
  <c r="K124" i="66"/>
  <c r="I123" i="66"/>
  <c r="K123" i="66"/>
  <c r="I122" i="66"/>
  <c r="K122" i="66"/>
  <c r="I121" i="66"/>
  <c r="K121" i="66"/>
  <c r="I120" i="66"/>
  <c r="K120" i="66"/>
  <c r="I119" i="66"/>
  <c r="K119" i="66"/>
  <c r="I118" i="66"/>
  <c r="K118" i="66"/>
  <c r="I117" i="66"/>
  <c r="K117" i="66"/>
  <c r="I116" i="66"/>
  <c r="K116" i="66"/>
  <c r="I115" i="66"/>
  <c r="K115" i="66"/>
  <c r="I114" i="66"/>
  <c r="K114" i="66"/>
  <c r="I113" i="66"/>
  <c r="K113" i="66"/>
  <c r="I112" i="66"/>
  <c r="K112" i="66"/>
  <c r="I111" i="66"/>
  <c r="K111" i="66"/>
  <c r="I110" i="66"/>
  <c r="K110" i="66"/>
  <c r="I109" i="66"/>
  <c r="K109" i="66"/>
  <c r="I108" i="66"/>
  <c r="K108" i="66"/>
  <c r="I107" i="66"/>
  <c r="K107" i="66"/>
  <c r="I106" i="66"/>
  <c r="K106" i="66"/>
  <c r="I105" i="66"/>
  <c r="K105" i="66"/>
  <c r="I104" i="66"/>
  <c r="K104" i="66"/>
  <c r="I103" i="66"/>
  <c r="K103" i="66"/>
  <c r="I102" i="66"/>
  <c r="K102" i="66"/>
  <c r="I101" i="66"/>
  <c r="K101" i="66"/>
  <c r="I100" i="66"/>
  <c r="K100" i="66"/>
  <c r="I99" i="66"/>
  <c r="K99" i="66"/>
  <c r="I97" i="66"/>
  <c r="K97" i="66"/>
  <c r="I96" i="66"/>
  <c r="K96" i="66"/>
  <c r="I95" i="66"/>
  <c r="K95" i="66"/>
  <c r="I94" i="66"/>
  <c r="K94" i="66"/>
  <c r="I93" i="66"/>
  <c r="K93" i="66"/>
  <c r="I92" i="66"/>
  <c r="K92" i="66"/>
  <c r="I91" i="66"/>
  <c r="K91" i="66"/>
  <c r="I89" i="66"/>
  <c r="K89" i="66"/>
  <c r="I88" i="66"/>
  <c r="K88" i="66"/>
  <c r="I87" i="66"/>
  <c r="K87" i="66"/>
  <c r="I86" i="66"/>
  <c r="K86" i="66"/>
  <c r="I85" i="66"/>
  <c r="K85" i="66"/>
  <c r="I84" i="66"/>
  <c r="K84" i="66"/>
  <c r="I83" i="66"/>
  <c r="K83" i="66"/>
  <c r="I82" i="66"/>
  <c r="K82" i="66"/>
  <c r="I81" i="66"/>
  <c r="K81" i="66"/>
  <c r="I80" i="66"/>
  <c r="K80" i="66"/>
  <c r="I79" i="66"/>
  <c r="K79" i="66"/>
  <c r="I78" i="66"/>
  <c r="K78" i="66"/>
  <c r="I77" i="66"/>
  <c r="K77" i="66"/>
  <c r="I76" i="66"/>
  <c r="K76" i="66"/>
  <c r="I75" i="66"/>
  <c r="K75" i="66"/>
  <c r="I74" i="66"/>
  <c r="K74" i="66"/>
  <c r="I73" i="66"/>
  <c r="K73" i="66"/>
  <c r="I72" i="66"/>
  <c r="K72" i="66"/>
  <c r="I71" i="66"/>
  <c r="K71" i="66"/>
  <c r="I70" i="66"/>
  <c r="K70" i="66"/>
  <c r="I69" i="66"/>
  <c r="K69" i="66"/>
  <c r="I68" i="66"/>
  <c r="K68" i="66"/>
  <c r="I67" i="66"/>
  <c r="K67" i="66"/>
  <c r="I66" i="66"/>
  <c r="K66" i="66"/>
  <c r="I65" i="66"/>
  <c r="K65" i="66"/>
  <c r="I64" i="66"/>
  <c r="K64" i="66"/>
  <c r="I63" i="66"/>
  <c r="K63" i="66"/>
  <c r="I62" i="66"/>
  <c r="K62" i="66"/>
  <c r="I61" i="66"/>
  <c r="K61" i="66"/>
  <c r="I60" i="66"/>
  <c r="K60" i="66"/>
  <c r="I59" i="66"/>
  <c r="K59" i="66"/>
  <c r="I58" i="66"/>
  <c r="K58" i="66"/>
  <c r="I57" i="66"/>
  <c r="K57" i="66"/>
  <c r="I56" i="66"/>
  <c r="K56" i="66"/>
  <c r="I55" i="66"/>
  <c r="K55" i="66"/>
  <c r="I54" i="66"/>
  <c r="K54" i="66"/>
  <c r="I53" i="66"/>
  <c r="K53" i="66"/>
  <c r="I52" i="66"/>
  <c r="K52" i="66"/>
  <c r="I51" i="66"/>
  <c r="K51" i="66"/>
  <c r="I50" i="66"/>
  <c r="K50" i="66"/>
  <c r="I49" i="66"/>
  <c r="K49" i="66"/>
  <c r="I48" i="66"/>
  <c r="K48" i="66"/>
  <c r="I47" i="66"/>
  <c r="K47" i="66"/>
  <c r="I46" i="66"/>
  <c r="K46" i="66"/>
  <c r="I45" i="66"/>
  <c r="K45" i="66"/>
  <c r="I44" i="66"/>
  <c r="K44" i="66"/>
  <c r="I43" i="66"/>
  <c r="K43" i="66"/>
  <c r="I42" i="66"/>
  <c r="K42" i="66" s="1"/>
  <c r="H41" i="66"/>
  <c r="I41" i="66"/>
  <c r="K41" i="66"/>
  <c r="I40" i="66"/>
  <c r="K40" i="66" s="1"/>
  <c r="I39" i="66"/>
  <c r="K39" i="66"/>
  <c r="I38" i="66"/>
  <c r="K38" i="66" s="1"/>
  <c r="I37" i="66"/>
  <c r="K37" i="66"/>
  <c r="I36" i="66"/>
  <c r="K36" i="66" s="1"/>
  <c r="I35" i="66"/>
  <c r="K35" i="66"/>
  <c r="I34" i="66"/>
  <c r="K34" i="66" s="1"/>
  <c r="I33" i="66"/>
  <c r="K33" i="66"/>
  <c r="I32" i="66"/>
  <c r="K32" i="66" s="1"/>
  <c r="I31" i="66"/>
  <c r="K31" i="66"/>
  <c r="I29" i="66"/>
  <c r="K29" i="66" s="1"/>
  <c r="I28" i="66"/>
  <c r="K28" i="66"/>
  <c r="I27" i="66"/>
  <c r="K27" i="66" s="1"/>
  <c r="I26" i="66"/>
  <c r="K26" i="66"/>
  <c r="I25" i="66"/>
  <c r="K25" i="66" s="1"/>
  <c r="I24" i="66"/>
  <c r="K24" i="66"/>
  <c r="I23" i="66"/>
  <c r="K23" i="66" s="1"/>
  <c r="I22" i="66"/>
  <c r="K22" i="66"/>
  <c r="I21" i="66"/>
  <c r="K21" i="66" s="1"/>
  <c r="I20" i="66"/>
  <c r="K20" i="66"/>
  <c r="I19" i="66"/>
  <c r="K19" i="66" s="1"/>
  <c r="I18" i="66"/>
  <c r="K18" i="66"/>
  <c r="I17" i="66"/>
  <c r="K17" i="66" s="1"/>
  <c r="I16" i="66"/>
  <c r="K16" i="66"/>
  <c r="I15" i="66"/>
  <c r="K15" i="66" s="1"/>
  <c r="I14" i="66"/>
  <c r="K14" i="66"/>
  <c r="I13" i="66"/>
  <c r="K13" i="66" s="1"/>
  <c r="I12" i="66"/>
  <c r="K12" i="66"/>
  <c r="H11" i="66"/>
  <c r="I10" i="66"/>
  <c r="K10" i="66" s="1"/>
  <c r="I9" i="66"/>
  <c r="K9" i="66"/>
  <c r="I8" i="66"/>
  <c r="K8" i="66" s="1"/>
  <c r="I7" i="66"/>
  <c r="K7" i="66"/>
  <c r="I6" i="66"/>
  <c r="K6" i="66" s="1"/>
  <c r="C148" i="66"/>
  <c r="G202" i="67"/>
  <c r="D148" i="66"/>
  <c r="I90" i="66"/>
  <c r="K90" i="66"/>
  <c r="I30" i="66"/>
  <c r="K30" i="66" s="1"/>
  <c r="D208" i="67"/>
  <c r="I140" i="66"/>
  <c r="K140" i="66" s="1"/>
  <c r="G148" i="66"/>
  <c r="I192" i="67"/>
  <c r="K192" i="67" s="1"/>
  <c r="C206" i="67"/>
  <c r="C208" i="67" s="1"/>
  <c r="I85" i="67"/>
  <c r="K85" i="67"/>
  <c r="C205" i="67"/>
  <c r="K241" i="67"/>
  <c r="I135" i="66"/>
  <c r="K135" i="66" s="1"/>
  <c r="K206" i="67"/>
  <c r="C202" i="67"/>
  <c r="I7" i="63"/>
  <c r="K7" i="63"/>
  <c r="H39" i="58"/>
  <c r="H41" i="58"/>
  <c r="I41" i="58" s="1"/>
  <c r="G71" i="58"/>
  <c r="G72" i="58"/>
  <c r="F79" i="58"/>
  <c r="F80" i="58"/>
  <c r="I80" i="58" s="1"/>
  <c r="K80" i="58" s="1"/>
  <c r="G194" i="58"/>
  <c r="G195" i="58"/>
  <c r="F200" i="58"/>
  <c r="I200" i="58" s="1"/>
  <c r="F140" i="57"/>
  <c r="G139" i="57"/>
  <c r="G138" i="57"/>
  <c r="I138" i="57" s="1"/>
  <c r="K138" i="57" s="1"/>
  <c r="G137" i="57"/>
  <c r="G136" i="57"/>
  <c r="G135" i="57"/>
  <c r="H41" i="57"/>
  <c r="I41" i="57" s="1"/>
  <c r="K41" i="57" s="1"/>
  <c r="H11" i="57"/>
  <c r="I11" i="57" s="1"/>
  <c r="K11" i="57" s="1"/>
  <c r="C148" i="64"/>
  <c r="E209" i="63"/>
  <c r="D209" i="63"/>
  <c r="E208" i="63"/>
  <c r="E210" i="63" s="1"/>
  <c r="D208" i="63"/>
  <c r="E207" i="63"/>
  <c r="D207" i="63"/>
  <c r="J204" i="63"/>
  <c r="E204" i="63"/>
  <c r="D204" i="63"/>
  <c r="I202" i="63"/>
  <c r="K202" i="63"/>
  <c r="I201" i="63"/>
  <c r="K201" i="63" s="1"/>
  <c r="F200" i="63"/>
  <c r="F204" i="63" s="1"/>
  <c r="I200" i="63"/>
  <c r="K200" i="63" s="1"/>
  <c r="I199" i="63"/>
  <c r="K199" i="63"/>
  <c r="I197" i="63"/>
  <c r="K197" i="63" s="1"/>
  <c r="I196" i="63"/>
  <c r="K196" i="63"/>
  <c r="G195" i="63"/>
  <c r="I195" i="63" s="1"/>
  <c r="K195" i="63" s="1"/>
  <c r="G194" i="63"/>
  <c r="I194" i="63" s="1"/>
  <c r="K194" i="63" s="1"/>
  <c r="I193" i="63"/>
  <c r="K193" i="63"/>
  <c r="I192" i="63"/>
  <c r="K192" i="63" s="1"/>
  <c r="I191" i="63"/>
  <c r="K191" i="63"/>
  <c r="I190" i="63"/>
  <c r="K190" i="63" s="1"/>
  <c r="I189" i="63"/>
  <c r="K189" i="63"/>
  <c r="I188" i="63"/>
  <c r="K188" i="63" s="1"/>
  <c r="I187" i="63"/>
  <c r="K187" i="63"/>
  <c r="I186" i="63"/>
  <c r="K186" i="63" s="1"/>
  <c r="I185" i="63"/>
  <c r="K185" i="63"/>
  <c r="I184" i="63"/>
  <c r="K184" i="63" s="1"/>
  <c r="I183" i="63"/>
  <c r="K183" i="63"/>
  <c r="I182" i="63"/>
  <c r="K182" i="63" s="1"/>
  <c r="I181" i="63"/>
  <c r="K181" i="63"/>
  <c r="I180" i="63"/>
  <c r="K180" i="63" s="1"/>
  <c r="I179" i="63"/>
  <c r="K179" i="63"/>
  <c r="I178" i="63"/>
  <c r="K178" i="63" s="1"/>
  <c r="I177" i="63"/>
  <c r="K177" i="63"/>
  <c r="I176" i="63"/>
  <c r="K176" i="63" s="1"/>
  <c r="I175" i="63"/>
  <c r="K175" i="63"/>
  <c r="I174" i="63"/>
  <c r="K174" i="63" s="1"/>
  <c r="I173" i="63"/>
  <c r="K173" i="63"/>
  <c r="I172" i="63"/>
  <c r="K172" i="63" s="1"/>
  <c r="I171" i="63"/>
  <c r="K171" i="63"/>
  <c r="I170" i="63"/>
  <c r="K170" i="63" s="1"/>
  <c r="I169" i="63"/>
  <c r="K169" i="63"/>
  <c r="I168" i="63"/>
  <c r="K168" i="63" s="1"/>
  <c r="I167" i="63"/>
  <c r="K167" i="63"/>
  <c r="I166" i="63"/>
  <c r="K166" i="63" s="1"/>
  <c r="I165" i="63"/>
  <c r="K165" i="63"/>
  <c r="I164" i="63"/>
  <c r="K164" i="63" s="1"/>
  <c r="I163" i="63"/>
  <c r="K163" i="63"/>
  <c r="I162" i="63"/>
  <c r="K162" i="63" s="1"/>
  <c r="I161" i="63"/>
  <c r="K161" i="63"/>
  <c r="I160" i="63"/>
  <c r="K160" i="63" s="1"/>
  <c r="I159" i="63"/>
  <c r="K159" i="63"/>
  <c r="I158" i="63"/>
  <c r="K158" i="63" s="1"/>
  <c r="I157" i="63"/>
  <c r="K157" i="63"/>
  <c r="I156" i="63"/>
  <c r="K156" i="63" s="1"/>
  <c r="I155" i="63"/>
  <c r="K155" i="63"/>
  <c r="I154" i="63"/>
  <c r="K154" i="63" s="1"/>
  <c r="I153" i="63"/>
  <c r="K153" i="63"/>
  <c r="I152" i="63"/>
  <c r="K152" i="63" s="1"/>
  <c r="I151" i="63"/>
  <c r="K151" i="63"/>
  <c r="I150" i="63"/>
  <c r="K150" i="63" s="1"/>
  <c r="I149" i="63"/>
  <c r="K149" i="63"/>
  <c r="I148" i="63"/>
  <c r="K148" i="63" s="1"/>
  <c r="I147" i="63"/>
  <c r="K147" i="63"/>
  <c r="I146" i="63"/>
  <c r="K146" i="63" s="1"/>
  <c r="I145" i="63"/>
  <c r="K145" i="63"/>
  <c r="I144" i="63"/>
  <c r="K144" i="63" s="1"/>
  <c r="I143" i="63"/>
  <c r="K143" i="63"/>
  <c r="I142" i="63"/>
  <c r="K142" i="63" s="1"/>
  <c r="I141" i="63"/>
  <c r="K141" i="63"/>
  <c r="I140" i="63"/>
  <c r="K140" i="63" s="1"/>
  <c r="I139" i="63"/>
  <c r="K139" i="63"/>
  <c r="I138" i="63"/>
  <c r="K138" i="63" s="1"/>
  <c r="I137" i="63"/>
  <c r="K137" i="63"/>
  <c r="I136" i="63"/>
  <c r="K136" i="63" s="1"/>
  <c r="I135" i="63"/>
  <c r="K135" i="63"/>
  <c r="I134" i="63"/>
  <c r="K134" i="63" s="1"/>
  <c r="I133" i="63"/>
  <c r="K133" i="63"/>
  <c r="I132" i="63"/>
  <c r="K132" i="63" s="1"/>
  <c r="I131" i="63"/>
  <c r="K131" i="63"/>
  <c r="I130" i="63"/>
  <c r="K130" i="63" s="1"/>
  <c r="I129" i="63"/>
  <c r="K129" i="63"/>
  <c r="I128" i="63"/>
  <c r="K128" i="63" s="1"/>
  <c r="I127" i="63"/>
  <c r="K127" i="63"/>
  <c r="I126" i="63"/>
  <c r="K126" i="63" s="1"/>
  <c r="I125" i="63"/>
  <c r="K125" i="63"/>
  <c r="I124" i="63"/>
  <c r="K124" i="63" s="1"/>
  <c r="I123" i="63"/>
  <c r="K123" i="63"/>
  <c r="I122" i="63"/>
  <c r="K122" i="63" s="1"/>
  <c r="I121" i="63"/>
  <c r="K121" i="63"/>
  <c r="I120" i="63"/>
  <c r="K120" i="63" s="1"/>
  <c r="I119" i="63"/>
  <c r="K119" i="63"/>
  <c r="I118" i="63"/>
  <c r="K118" i="63" s="1"/>
  <c r="I117" i="63"/>
  <c r="K117" i="63"/>
  <c r="I116" i="63"/>
  <c r="K116" i="63" s="1"/>
  <c r="I115" i="63"/>
  <c r="K115" i="63"/>
  <c r="I114" i="63"/>
  <c r="K114" i="63" s="1"/>
  <c r="I113" i="63"/>
  <c r="K113" i="63"/>
  <c r="I112" i="63"/>
  <c r="K112" i="63" s="1"/>
  <c r="I111" i="63"/>
  <c r="K111" i="63"/>
  <c r="I110" i="63"/>
  <c r="K110" i="63" s="1"/>
  <c r="I109" i="63"/>
  <c r="K109" i="63"/>
  <c r="I108" i="63"/>
  <c r="K108" i="63" s="1"/>
  <c r="I107" i="63"/>
  <c r="K107" i="63"/>
  <c r="I106" i="63"/>
  <c r="K106" i="63" s="1"/>
  <c r="I105" i="63"/>
  <c r="K105" i="63"/>
  <c r="I104" i="63"/>
  <c r="K104" i="63" s="1"/>
  <c r="I103" i="63"/>
  <c r="K103" i="63"/>
  <c r="I102" i="63"/>
  <c r="K102" i="63" s="1"/>
  <c r="I101" i="63"/>
  <c r="K101" i="63"/>
  <c r="I100" i="63"/>
  <c r="K100" i="63" s="1"/>
  <c r="I99" i="63"/>
  <c r="K99" i="63"/>
  <c r="I98" i="63"/>
  <c r="K98" i="63" s="1"/>
  <c r="I97" i="63"/>
  <c r="K97" i="63"/>
  <c r="I96" i="63"/>
  <c r="K96" i="63" s="1"/>
  <c r="I95" i="63"/>
  <c r="K95" i="63"/>
  <c r="I94" i="63"/>
  <c r="K94" i="63" s="1"/>
  <c r="I93" i="63"/>
  <c r="K93" i="63"/>
  <c r="I92" i="63"/>
  <c r="K92" i="63" s="1"/>
  <c r="I91" i="63"/>
  <c r="K91" i="63"/>
  <c r="I90" i="63"/>
  <c r="K90" i="63" s="1"/>
  <c r="I89" i="63"/>
  <c r="K89" i="63"/>
  <c r="K243" i="63" s="1"/>
  <c r="I88" i="63"/>
  <c r="K88" i="63" s="1"/>
  <c r="I87" i="63"/>
  <c r="K87" i="63"/>
  <c r="I86" i="63"/>
  <c r="K86" i="63" s="1"/>
  <c r="I85" i="63"/>
  <c r="K85" i="63"/>
  <c r="I84" i="63"/>
  <c r="K84" i="63" s="1"/>
  <c r="I83" i="63"/>
  <c r="K83" i="63"/>
  <c r="I82" i="63"/>
  <c r="K82" i="63" s="1"/>
  <c r="F81" i="63"/>
  <c r="I81" i="63"/>
  <c r="K81" i="63" s="1"/>
  <c r="F80" i="63"/>
  <c r="I80" i="63"/>
  <c r="K80" i="63"/>
  <c r="I79" i="63"/>
  <c r="K79" i="63" s="1"/>
  <c r="I78" i="63"/>
  <c r="K78" i="63"/>
  <c r="I77" i="63"/>
  <c r="K77" i="63" s="1"/>
  <c r="I76" i="63"/>
  <c r="K76" i="63"/>
  <c r="I75" i="63"/>
  <c r="K75" i="63" s="1"/>
  <c r="I74" i="63"/>
  <c r="K74" i="63"/>
  <c r="G73" i="63"/>
  <c r="I73" i="63" s="1"/>
  <c r="K73" i="63" s="1"/>
  <c r="G72" i="63"/>
  <c r="I72" i="63"/>
  <c r="K72" i="63" s="1"/>
  <c r="I71" i="63"/>
  <c r="K71" i="63"/>
  <c r="I70" i="63"/>
  <c r="K70" i="63" s="1"/>
  <c r="I69" i="63"/>
  <c r="K69" i="63"/>
  <c r="I68" i="63"/>
  <c r="K68" i="63" s="1"/>
  <c r="I67" i="63"/>
  <c r="K67" i="63"/>
  <c r="I66" i="63"/>
  <c r="K66" i="63" s="1"/>
  <c r="I65" i="63"/>
  <c r="K65" i="63"/>
  <c r="I64" i="63"/>
  <c r="K64" i="63" s="1"/>
  <c r="I63" i="63"/>
  <c r="K63" i="63"/>
  <c r="I62" i="63"/>
  <c r="K62" i="63" s="1"/>
  <c r="I61" i="63"/>
  <c r="K61" i="63"/>
  <c r="I60" i="63"/>
  <c r="K60" i="63" s="1"/>
  <c r="I59" i="63"/>
  <c r="K59" i="63"/>
  <c r="I58" i="63"/>
  <c r="K58" i="63" s="1"/>
  <c r="I57" i="63"/>
  <c r="K57" i="63"/>
  <c r="I56" i="63"/>
  <c r="K56" i="63" s="1"/>
  <c r="I55" i="63"/>
  <c r="K55" i="63"/>
  <c r="I54" i="63"/>
  <c r="K54" i="63" s="1"/>
  <c r="I53" i="63"/>
  <c r="K53" i="63"/>
  <c r="I52" i="63"/>
  <c r="K52" i="63" s="1"/>
  <c r="I51" i="63"/>
  <c r="K51" i="63"/>
  <c r="I50" i="63"/>
  <c r="K50" i="63" s="1"/>
  <c r="I49" i="63"/>
  <c r="K49" i="63"/>
  <c r="I48" i="63"/>
  <c r="K48" i="63" s="1"/>
  <c r="I47" i="63"/>
  <c r="K47" i="63"/>
  <c r="I46" i="63"/>
  <c r="K46" i="63" s="1"/>
  <c r="I45" i="63"/>
  <c r="K45" i="63"/>
  <c r="I44" i="63"/>
  <c r="K44" i="63" s="1"/>
  <c r="I43" i="63"/>
  <c r="K43" i="63"/>
  <c r="I41" i="63"/>
  <c r="K41" i="63" s="1"/>
  <c r="H40" i="63"/>
  <c r="I39" i="63"/>
  <c r="K39" i="63"/>
  <c r="I38" i="63"/>
  <c r="K38" i="63"/>
  <c r="I37" i="63"/>
  <c r="K37" i="63"/>
  <c r="I36" i="63"/>
  <c r="K36" i="63"/>
  <c r="I35" i="63"/>
  <c r="K35" i="63"/>
  <c r="I34" i="63"/>
  <c r="K34" i="63"/>
  <c r="I33" i="63"/>
  <c r="K33" i="63"/>
  <c r="I32" i="63"/>
  <c r="K32" i="63"/>
  <c r="I31" i="63"/>
  <c r="K31" i="63"/>
  <c r="I30" i="63"/>
  <c r="K30" i="63"/>
  <c r="I29" i="63"/>
  <c r="K29" i="63"/>
  <c r="I28" i="63"/>
  <c r="K28" i="63"/>
  <c r="C207" i="63"/>
  <c r="I26" i="63"/>
  <c r="K26" i="63" s="1"/>
  <c r="I25" i="63"/>
  <c r="K25" i="63"/>
  <c r="I24" i="63"/>
  <c r="K24" i="63" s="1"/>
  <c r="I23" i="63"/>
  <c r="K23" i="63"/>
  <c r="I22" i="63"/>
  <c r="K22" i="63" s="1"/>
  <c r="I21" i="63"/>
  <c r="K21" i="63"/>
  <c r="I20" i="63"/>
  <c r="K20" i="63" s="1"/>
  <c r="I19" i="63"/>
  <c r="K19" i="63"/>
  <c r="I18" i="63"/>
  <c r="K18" i="63" s="1"/>
  <c r="I17" i="63"/>
  <c r="K17" i="63"/>
  <c r="I16" i="63"/>
  <c r="K16" i="63" s="1"/>
  <c r="I15" i="63"/>
  <c r="K15" i="63"/>
  <c r="I14" i="63"/>
  <c r="K14" i="63" s="1"/>
  <c r="I13" i="63"/>
  <c r="K13" i="63"/>
  <c r="I12" i="63"/>
  <c r="K12" i="63" s="1"/>
  <c r="I11" i="63"/>
  <c r="K11" i="63"/>
  <c r="I10" i="63"/>
  <c r="K10" i="63" s="1"/>
  <c r="I9" i="63"/>
  <c r="K9" i="63"/>
  <c r="I8" i="63"/>
  <c r="K8" i="63" s="1"/>
  <c r="I6" i="63"/>
  <c r="K6" i="63"/>
  <c r="I147" i="64"/>
  <c r="K147" i="64" s="1"/>
  <c r="I146" i="64"/>
  <c r="K146" i="64"/>
  <c r="I145" i="64"/>
  <c r="K145" i="64" s="1"/>
  <c r="I144" i="64"/>
  <c r="K144" i="64"/>
  <c r="I143" i="64"/>
  <c r="K143" i="64" s="1"/>
  <c r="I142" i="64"/>
  <c r="K142" i="64"/>
  <c r="I141" i="64"/>
  <c r="K141" i="64" s="1"/>
  <c r="F140" i="64"/>
  <c r="F134" i="64"/>
  <c r="I134" i="64" s="1"/>
  <c r="K134" i="64" s="1"/>
  <c r="G139" i="64"/>
  <c r="I139" i="64"/>
  <c r="K139" i="64" s="1"/>
  <c r="G138" i="64"/>
  <c r="I138" i="64"/>
  <c r="K138" i="64"/>
  <c r="G137" i="64"/>
  <c r="I137" i="64" s="1"/>
  <c r="K137" i="64" s="1"/>
  <c r="G136" i="64"/>
  <c r="I136" i="64"/>
  <c r="K136" i="64" s="1"/>
  <c r="G135" i="64"/>
  <c r="I135" i="64"/>
  <c r="K135" i="64" s="1"/>
  <c r="I133" i="64"/>
  <c r="K133" i="64"/>
  <c r="I132" i="64"/>
  <c r="K132" i="64" s="1"/>
  <c r="I131" i="64"/>
  <c r="K131" i="64"/>
  <c r="I130" i="64"/>
  <c r="K130" i="64" s="1"/>
  <c r="I129" i="64"/>
  <c r="K129" i="64"/>
  <c r="I128" i="64"/>
  <c r="K128" i="64" s="1"/>
  <c r="I127" i="64"/>
  <c r="K127" i="64"/>
  <c r="I126" i="64"/>
  <c r="K126" i="64" s="1"/>
  <c r="I125" i="64"/>
  <c r="K125" i="64"/>
  <c r="I124" i="64"/>
  <c r="K124" i="64" s="1"/>
  <c r="I123" i="64"/>
  <c r="K123" i="64"/>
  <c r="I122" i="64"/>
  <c r="K122" i="64" s="1"/>
  <c r="I121" i="64"/>
  <c r="K121" i="64"/>
  <c r="I120" i="64"/>
  <c r="K120" i="64" s="1"/>
  <c r="I119" i="64"/>
  <c r="K119" i="64"/>
  <c r="I118" i="64"/>
  <c r="K118" i="64" s="1"/>
  <c r="I117" i="64"/>
  <c r="K117" i="64"/>
  <c r="I116" i="64"/>
  <c r="K116" i="64" s="1"/>
  <c r="I115" i="64"/>
  <c r="K115" i="64"/>
  <c r="I114" i="64"/>
  <c r="K114" i="64" s="1"/>
  <c r="I113" i="64"/>
  <c r="K113" i="64"/>
  <c r="I112" i="64"/>
  <c r="K112" i="64" s="1"/>
  <c r="I111" i="64"/>
  <c r="K111" i="64"/>
  <c r="I110" i="64"/>
  <c r="K110" i="64" s="1"/>
  <c r="I109" i="64"/>
  <c r="K109" i="64"/>
  <c r="I108" i="64"/>
  <c r="K108" i="64" s="1"/>
  <c r="I107" i="64"/>
  <c r="K107" i="64"/>
  <c r="I106" i="64"/>
  <c r="K106" i="64" s="1"/>
  <c r="I105" i="64"/>
  <c r="K105" i="64"/>
  <c r="I104" i="64"/>
  <c r="K104" i="64" s="1"/>
  <c r="I103" i="64"/>
  <c r="K103" i="64"/>
  <c r="I102" i="64"/>
  <c r="K102" i="64" s="1"/>
  <c r="I101" i="64"/>
  <c r="K101" i="64"/>
  <c r="I100" i="64"/>
  <c r="K100" i="64" s="1"/>
  <c r="I99" i="64"/>
  <c r="K99" i="64"/>
  <c r="I98" i="64"/>
  <c r="K98" i="64" s="1"/>
  <c r="I97" i="64"/>
  <c r="K97" i="64"/>
  <c r="I96" i="64"/>
  <c r="K96" i="64" s="1"/>
  <c r="I95" i="64"/>
  <c r="K95" i="64"/>
  <c r="I94" i="64"/>
  <c r="K94" i="64" s="1"/>
  <c r="I93" i="64"/>
  <c r="K93" i="64"/>
  <c r="I92" i="64"/>
  <c r="K92" i="64" s="1"/>
  <c r="I91" i="64"/>
  <c r="K91" i="64"/>
  <c r="I90" i="64"/>
  <c r="K90" i="64" s="1"/>
  <c r="I89" i="64"/>
  <c r="K89" i="64"/>
  <c r="I88" i="64"/>
  <c r="K88" i="64" s="1"/>
  <c r="I87" i="64"/>
  <c r="K87" i="64"/>
  <c r="I86" i="64"/>
  <c r="K86" i="64" s="1"/>
  <c r="I85" i="64"/>
  <c r="K85" i="64"/>
  <c r="I84" i="64"/>
  <c r="K84" i="64" s="1"/>
  <c r="I83" i="64"/>
  <c r="K83" i="64"/>
  <c r="I82" i="64"/>
  <c r="K82" i="64" s="1"/>
  <c r="I81" i="64"/>
  <c r="K81" i="64"/>
  <c r="I80" i="64"/>
  <c r="K80" i="64" s="1"/>
  <c r="I79" i="64"/>
  <c r="K79" i="64"/>
  <c r="I78" i="64"/>
  <c r="K78" i="64" s="1"/>
  <c r="I77" i="64"/>
  <c r="K77" i="64"/>
  <c r="I76" i="64"/>
  <c r="K76" i="64" s="1"/>
  <c r="I75" i="64"/>
  <c r="K75" i="64"/>
  <c r="I74" i="64"/>
  <c r="K74" i="64" s="1"/>
  <c r="I73" i="64"/>
  <c r="K73" i="64"/>
  <c r="I72" i="64"/>
  <c r="K72" i="64" s="1"/>
  <c r="I71" i="64"/>
  <c r="K71" i="64"/>
  <c r="I70" i="64"/>
  <c r="K70" i="64" s="1"/>
  <c r="I69" i="64"/>
  <c r="K69" i="64"/>
  <c r="I68" i="64"/>
  <c r="K68" i="64" s="1"/>
  <c r="I67" i="64"/>
  <c r="K67" i="64"/>
  <c r="I66" i="64"/>
  <c r="K66" i="64" s="1"/>
  <c r="I65" i="64"/>
  <c r="K65" i="64"/>
  <c r="I64" i="64"/>
  <c r="K64" i="64" s="1"/>
  <c r="I63" i="64"/>
  <c r="K63" i="64"/>
  <c r="I62" i="64"/>
  <c r="K62" i="64" s="1"/>
  <c r="I61" i="64"/>
  <c r="K61" i="64"/>
  <c r="I60" i="64"/>
  <c r="K60" i="64" s="1"/>
  <c r="I59" i="64"/>
  <c r="K59" i="64"/>
  <c r="I58" i="64"/>
  <c r="K58" i="64" s="1"/>
  <c r="I57" i="64"/>
  <c r="K57" i="64"/>
  <c r="I56" i="64"/>
  <c r="K56" i="64" s="1"/>
  <c r="I55" i="64"/>
  <c r="K55" i="64"/>
  <c r="I54" i="64"/>
  <c r="K54" i="64" s="1"/>
  <c r="I53" i="64"/>
  <c r="K53" i="64"/>
  <c r="I52" i="64"/>
  <c r="K52" i="64" s="1"/>
  <c r="I51" i="64"/>
  <c r="K51" i="64"/>
  <c r="I50" i="64"/>
  <c r="K50" i="64" s="1"/>
  <c r="I49" i="64"/>
  <c r="K49" i="64"/>
  <c r="I48" i="64"/>
  <c r="K48" i="64" s="1"/>
  <c r="I47" i="64"/>
  <c r="K47" i="64"/>
  <c r="I46" i="64"/>
  <c r="K46" i="64" s="1"/>
  <c r="I45" i="64"/>
  <c r="K45" i="64"/>
  <c r="I44" i="64"/>
  <c r="K44" i="64" s="1"/>
  <c r="I43" i="64"/>
  <c r="K43" i="64"/>
  <c r="I42" i="64"/>
  <c r="K42" i="64" s="1"/>
  <c r="H41" i="64"/>
  <c r="I41" i="64"/>
  <c r="K41" i="64"/>
  <c r="I40" i="64"/>
  <c r="K40" i="64" s="1"/>
  <c r="I39" i="64"/>
  <c r="K39" i="64"/>
  <c r="I38" i="64"/>
  <c r="K38" i="64" s="1"/>
  <c r="I37" i="64"/>
  <c r="K37" i="64"/>
  <c r="I36" i="64"/>
  <c r="K36" i="64" s="1"/>
  <c r="I35" i="64"/>
  <c r="K35" i="64"/>
  <c r="I34" i="64"/>
  <c r="K34" i="64" s="1"/>
  <c r="I33" i="64"/>
  <c r="K33" i="64"/>
  <c r="I32" i="64"/>
  <c r="K32" i="64" s="1"/>
  <c r="I31" i="64"/>
  <c r="K31" i="64"/>
  <c r="I30" i="64"/>
  <c r="I29" i="64"/>
  <c r="K29" i="64"/>
  <c r="I28" i="64"/>
  <c r="K28" i="64" s="1"/>
  <c r="I27" i="64"/>
  <c r="K27" i="64"/>
  <c r="I26" i="64"/>
  <c r="K26" i="64" s="1"/>
  <c r="I25" i="64"/>
  <c r="K25" i="64"/>
  <c r="I24" i="64"/>
  <c r="K24" i="64" s="1"/>
  <c r="I23" i="64"/>
  <c r="K23" i="64"/>
  <c r="I22" i="64"/>
  <c r="K22" i="64" s="1"/>
  <c r="I21" i="64"/>
  <c r="K21" i="64"/>
  <c r="I20" i="64"/>
  <c r="K20" i="64" s="1"/>
  <c r="I19" i="64"/>
  <c r="K19" i="64"/>
  <c r="I18" i="64"/>
  <c r="K18" i="64" s="1"/>
  <c r="I17" i="64"/>
  <c r="K17" i="64"/>
  <c r="I16" i="64"/>
  <c r="K16" i="64" s="1"/>
  <c r="I15" i="64"/>
  <c r="K15" i="64"/>
  <c r="I14" i="64"/>
  <c r="K14" i="64" s="1"/>
  <c r="I13" i="64"/>
  <c r="K13" i="64"/>
  <c r="I12" i="64"/>
  <c r="K12" i="64" s="1"/>
  <c r="H11" i="64"/>
  <c r="H148" i="64"/>
  <c r="I10" i="64"/>
  <c r="K10" i="64" s="1"/>
  <c r="I9" i="64"/>
  <c r="K9" i="64"/>
  <c r="I8" i="64"/>
  <c r="K8" i="64" s="1"/>
  <c r="I7" i="64"/>
  <c r="K7" i="64"/>
  <c r="I6" i="64"/>
  <c r="E148" i="64"/>
  <c r="D148" i="64"/>
  <c r="K30" i="64"/>
  <c r="K6" i="64"/>
  <c r="I140" i="64"/>
  <c r="K140" i="64"/>
  <c r="I11" i="64"/>
  <c r="K11" i="64"/>
  <c r="I27" i="63"/>
  <c r="K27" i="63" s="1"/>
  <c r="C208" i="63"/>
  <c r="D210" i="63"/>
  <c r="H42" i="63"/>
  <c r="I40" i="63"/>
  <c r="K40" i="63"/>
  <c r="G148" i="64"/>
  <c r="I42" i="63"/>
  <c r="K42" i="63" s="1"/>
  <c r="F148" i="64"/>
  <c r="C204" i="63"/>
  <c r="I203" i="63"/>
  <c r="K203" i="63"/>
  <c r="H208" i="63"/>
  <c r="C209" i="63"/>
  <c r="I78" i="57"/>
  <c r="K78" i="57"/>
  <c r="C148" i="57"/>
  <c r="I117" i="57"/>
  <c r="K117" i="57"/>
  <c r="I193" i="58"/>
  <c r="K193" i="58"/>
  <c r="I143" i="58"/>
  <c r="K143" i="58"/>
  <c r="I147" i="57"/>
  <c r="K147" i="57"/>
  <c r="I146" i="57"/>
  <c r="K146" i="57"/>
  <c r="I145" i="57"/>
  <c r="K145" i="57"/>
  <c r="I144" i="57"/>
  <c r="K144" i="57"/>
  <c r="I143" i="57"/>
  <c r="K143" i="57"/>
  <c r="I142" i="57"/>
  <c r="K142" i="57"/>
  <c r="I141" i="57"/>
  <c r="K141" i="57"/>
  <c r="I139" i="57"/>
  <c r="K139" i="57" s="1"/>
  <c r="I137" i="57"/>
  <c r="K137" i="57"/>
  <c r="I136" i="57"/>
  <c r="K136" i="57"/>
  <c r="I135" i="57"/>
  <c r="K135" i="57"/>
  <c r="I133" i="57"/>
  <c r="K133" i="57"/>
  <c r="I132" i="57"/>
  <c r="K132" i="57"/>
  <c r="I131" i="57"/>
  <c r="K131" i="57"/>
  <c r="I130" i="57"/>
  <c r="K130" i="57"/>
  <c r="I129" i="57"/>
  <c r="K129" i="57"/>
  <c r="I128" i="57"/>
  <c r="K128" i="57"/>
  <c r="I127" i="57"/>
  <c r="K127" i="57"/>
  <c r="I126" i="57"/>
  <c r="K126" i="57"/>
  <c r="I125" i="57"/>
  <c r="K125" i="57"/>
  <c r="I124" i="57"/>
  <c r="K124" i="57"/>
  <c r="I123" i="57"/>
  <c r="K123" i="57"/>
  <c r="I122" i="57"/>
  <c r="K122" i="57"/>
  <c r="I121" i="57"/>
  <c r="K121" i="57"/>
  <c r="I120" i="57"/>
  <c r="K120" i="57"/>
  <c r="I119" i="57"/>
  <c r="K119" i="57"/>
  <c r="I118" i="57"/>
  <c r="K118" i="57"/>
  <c r="I116" i="57"/>
  <c r="K116" i="57"/>
  <c r="I115" i="57"/>
  <c r="K115" i="57"/>
  <c r="I114" i="57"/>
  <c r="K114" i="57"/>
  <c r="I113" i="57"/>
  <c r="K113" i="57"/>
  <c r="I112" i="57"/>
  <c r="K112" i="57"/>
  <c r="I111" i="57"/>
  <c r="K111" i="57"/>
  <c r="I110" i="57"/>
  <c r="K110" i="57"/>
  <c r="I109" i="57"/>
  <c r="K109" i="57"/>
  <c r="I108" i="57"/>
  <c r="K108" i="57"/>
  <c r="I107" i="57"/>
  <c r="K107" i="57"/>
  <c r="I106" i="57"/>
  <c r="K106" i="57"/>
  <c r="I105" i="57"/>
  <c r="K105" i="57"/>
  <c r="I104" i="57"/>
  <c r="K104" i="57"/>
  <c r="I103" i="57"/>
  <c r="K103" i="57"/>
  <c r="I102" i="57"/>
  <c r="K102" i="57"/>
  <c r="I101" i="57"/>
  <c r="K101" i="57"/>
  <c r="I100" i="57"/>
  <c r="K100" i="57"/>
  <c r="I99" i="57"/>
  <c r="K99" i="57"/>
  <c r="I98" i="57"/>
  <c r="K98" i="57"/>
  <c r="I97" i="57"/>
  <c r="K97" i="57"/>
  <c r="I96" i="57"/>
  <c r="K96" i="57"/>
  <c r="I95" i="57"/>
  <c r="K95" i="57"/>
  <c r="I94" i="57"/>
  <c r="K94" i="57"/>
  <c r="I93" i="57"/>
  <c r="K93" i="57"/>
  <c r="I92" i="57"/>
  <c r="K92" i="57"/>
  <c r="I91" i="57"/>
  <c r="K91" i="57"/>
  <c r="I90" i="57"/>
  <c r="K90" i="57"/>
  <c r="I89" i="57"/>
  <c r="K89" i="57"/>
  <c r="I88" i="57"/>
  <c r="K88" i="57"/>
  <c r="I87" i="57"/>
  <c r="K87" i="57"/>
  <c r="I86" i="57"/>
  <c r="K86" i="57"/>
  <c r="I85" i="57"/>
  <c r="K85" i="57"/>
  <c r="I84" i="57"/>
  <c r="K84" i="57"/>
  <c r="I83" i="57"/>
  <c r="K83" i="57"/>
  <c r="I82" i="57"/>
  <c r="K82" i="57"/>
  <c r="I81" i="57"/>
  <c r="K81" i="57"/>
  <c r="I80" i="57"/>
  <c r="K80" i="57"/>
  <c r="I79" i="57"/>
  <c r="K79" i="57"/>
  <c r="I77" i="57"/>
  <c r="K77" i="57"/>
  <c r="I76" i="57"/>
  <c r="K76" i="57"/>
  <c r="I75" i="57"/>
  <c r="K75" i="57"/>
  <c r="I74" i="57"/>
  <c r="K74" i="57"/>
  <c r="I73" i="57"/>
  <c r="K73" i="57"/>
  <c r="I72" i="57"/>
  <c r="K72" i="57"/>
  <c r="I71" i="57"/>
  <c r="K71" i="57"/>
  <c r="I70" i="57"/>
  <c r="K70" i="57"/>
  <c r="I69" i="57"/>
  <c r="K69" i="57"/>
  <c r="I68" i="57"/>
  <c r="K68" i="57"/>
  <c r="I67" i="57"/>
  <c r="K67" i="57"/>
  <c r="I66" i="57"/>
  <c r="K66" i="57"/>
  <c r="I65" i="57"/>
  <c r="K65" i="57"/>
  <c r="I64" i="57"/>
  <c r="K64" i="57"/>
  <c r="I63" i="57"/>
  <c r="K63" i="57"/>
  <c r="I62" i="57"/>
  <c r="K62" i="57"/>
  <c r="I61" i="57"/>
  <c r="K61" i="57"/>
  <c r="I60" i="57"/>
  <c r="K60" i="57"/>
  <c r="I59" i="57"/>
  <c r="K59" i="57"/>
  <c r="I58" i="57"/>
  <c r="K58" i="57"/>
  <c r="I57" i="57"/>
  <c r="K57" i="57"/>
  <c r="I56" i="57"/>
  <c r="K56" i="57"/>
  <c r="I55" i="57"/>
  <c r="K55" i="57"/>
  <c r="I54" i="57"/>
  <c r="K54" i="57"/>
  <c r="I53" i="57"/>
  <c r="K53" i="57"/>
  <c r="I52" i="57"/>
  <c r="K52" i="57"/>
  <c r="I51" i="57"/>
  <c r="K51" i="57"/>
  <c r="I50" i="57"/>
  <c r="K50" i="57"/>
  <c r="I49" i="57"/>
  <c r="K49" i="57"/>
  <c r="I48" i="57"/>
  <c r="K48" i="57"/>
  <c r="I47" i="57"/>
  <c r="K47" i="57"/>
  <c r="I46" i="57"/>
  <c r="K46" i="57"/>
  <c r="I45" i="57"/>
  <c r="K45" i="57"/>
  <c r="I44" i="57"/>
  <c r="K44" i="57"/>
  <c r="I43" i="57"/>
  <c r="K43" i="57"/>
  <c r="I42" i="57"/>
  <c r="K42" i="57"/>
  <c r="I40" i="57"/>
  <c r="K40" i="57" s="1"/>
  <c r="I39" i="57"/>
  <c r="K39" i="57"/>
  <c r="I38" i="57"/>
  <c r="K38" i="57" s="1"/>
  <c r="I37" i="57"/>
  <c r="K37" i="57"/>
  <c r="I36" i="57"/>
  <c r="K36" i="57" s="1"/>
  <c r="I35" i="57"/>
  <c r="K35" i="57"/>
  <c r="I34" i="57"/>
  <c r="K34" i="57" s="1"/>
  <c r="I33" i="57"/>
  <c r="K33" i="57"/>
  <c r="I32" i="57"/>
  <c r="K32" i="57" s="1"/>
  <c r="I31" i="57"/>
  <c r="K31" i="57"/>
  <c r="I30" i="57"/>
  <c r="K30" i="57" s="1"/>
  <c r="I29" i="57"/>
  <c r="K29" i="57"/>
  <c r="I28" i="57"/>
  <c r="K28" i="57" s="1"/>
  <c r="I27" i="57"/>
  <c r="K27" i="57"/>
  <c r="I26" i="57"/>
  <c r="K26" i="57" s="1"/>
  <c r="I25" i="57"/>
  <c r="K25" i="57"/>
  <c r="I24" i="57"/>
  <c r="K24" i="57" s="1"/>
  <c r="I23" i="57"/>
  <c r="K23" i="57"/>
  <c r="I22" i="57"/>
  <c r="K22" i="57" s="1"/>
  <c r="I21" i="57"/>
  <c r="K21" i="57"/>
  <c r="I20" i="57"/>
  <c r="K20" i="57" s="1"/>
  <c r="I19" i="57"/>
  <c r="K19" i="57"/>
  <c r="I18" i="57"/>
  <c r="K18" i="57" s="1"/>
  <c r="I17" i="57"/>
  <c r="K17" i="57"/>
  <c r="I16" i="57"/>
  <c r="K16" i="57" s="1"/>
  <c r="I15" i="57"/>
  <c r="K15" i="57"/>
  <c r="I14" i="57"/>
  <c r="K14" i="57" s="1"/>
  <c r="I13" i="57"/>
  <c r="K13" i="57"/>
  <c r="I12" i="57"/>
  <c r="K12" i="57" s="1"/>
  <c r="I10" i="57"/>
  <c r="K10" i="57" s="1"/>
  <c r="I9" i="57"/>
  <c r="K9" i="57"/>
  <c r="I8" i="57"/>
  <c r="K8" i="57" s="1"/>
  <c r="I7" i="57"/>
  <c r="K7" i="57"/>
  <c r="I6" i="57"/>
  <c r="K6" i="57" s="1"/>
  <c r="E209" i="58"/>
  <c r="D209" i="58"/>
  <c r="E208" i="58"/>
  <c r="D208" i="58"/>
  <c r="D210" i="58" s="1"/>
  <c r="E207" i="58"/>
  <c r="D207" i="58"/>
  <c r="J204" i="58"/>
  <c r="E204" i="58"/>
  <c r="D204" i="58"/>
  <c r="I202" i="58"/>
  <c r="K202" i="58"/>
  <c r="I201" i="58"/>
  <c r="K201" i="58" s="1"/>
  <c r="K200" i="58"/>
  <c r="I199" i="58"/>
  <c r="K199" i="58" s="1"/>
  <c r="I197" i="58"/>
  <c r="K197" i="58"/>
  <c r="I196" i="58"/>
  <c r="K196" i="58" s="1"/>
  <c r="I195" i="58"/>
  <c r="K195" i="58"/>
  <c r="I194" i="58"/>
  <c r="K194" i="58" s="1"/>
  <c r="I192" i="58"/>
  <c r="K192" i="58"/>
  <c r="I191" i="58"/>
  <c r="K191" i="58" s="1"/>
  <c r="I190" i="58"/>
  <c r="K190" i="58"/>
  <c r="I189" i="58"/>
  <c r="K189" i="58" s="1"/>
  <c r="I188" i="58"/>
  <c r="K188" i="58"/>
  <c r="I187" i="58"/>
  <c r="K187" i="58" s="1"/>
  <c r="I186" i="58"/>
  <c r="K186" i="58"/>
  <c r="I185" i="58"/>
  <c r="K185" i="58" s="1"/>
  <c r="I184" i="58"/>
  <c r="K184" i="58"/>
  <c r="I183" i="58"/>
  <c r="K183" i="58" s="1"/>
  <c r="I182" i="58"/>
  <c r="K182" i="58"/>
  <c r="I181" i="58"/>
  <c r="K181" i="58" s="1"/>
  <c r="I180" i="58"/>
  <c r="K180" i="58"/>
  <c r="I179" i="58"/>
  <c r="K179" i="58" s="1"/>
  <c r="I178" i="58"/>
  <c r="K178" i="58"/>
  <c r="I177" i="58"/>
  <c r="K177" i="58" s="1"/>
  <c r="I176" i="58"/>
  <c r="K176" i="58"/>
  <c r="I175" i="58"/>
  <c r="K175" i="58" s="1"/>
  <c r="I174" i="58"/>
  <c r="K174" i="58"/>
  <c r="I173" i="58"/>
  <c r="K173" i="58" s="1"/>
  <c r="I172" i="58"/>
  <c r="K172" i="58"/>
  <c r="I171" i="58"/>
  <c r="K171" i="58" s="1"/>
  <c r="I170" i="58"/>
  <c r="K170" i="58"/>
  <c r="I169" i="58"/>
  <c r="K169" i="58" s="1"/>
  <c r="I168" i="58"/>
  <c r="K168" i="58" s="1"/>
  <c r="I167" i="58"/>
  <c r="K167" i="58" s="1"/>
  <c r="I166" i="58"/>
  <c r="K166" i="58"/>
  <c r="I165" i="58"/>
  <c r="K165" i="58" s="1"/>
  <c r="I164" i="58"/>
  <c r="K164" i="58" s="1"/>
  <c r="I163" i="58"/>
  <c r="K163" i="58" s="1"/>
  <c r="I162" i="58"/>
  <c r="K162" i="58"/>
  <c r="I161" i="58"/>
  <c r="K161" i="58" s="1"/>
  <c r="I160" i="58"/>
  <c r="K160" i="58" s="1"/>
  <c r="I159" i="58"/>
  <c r="K159" i="58" s="1"/>
  <c r="I158" i="58"/>
  <c r="K158" i="58"/>
  <c r="I157" i="58"/>
  <c r="K157" i="58" s="1"/>
  <c r="I156" i="58"/>
  <c r="K156" i="58" s="1"/>
  <c r="I155" i="58"/>
  <c r="K155" i="58" s="1"/>
  <c r="I154" i="58"/>
  <c r="K154" i="58"/>
  <c r="I153" i="58"/>
  <c r="K153" i="58" s="1"/>
  <c r="I152" i="58"/>
  <c r="K152" i="58" s="1"/>
  <c r="I151" i="58"/>
  <c r="K151" i="58" s="1"/>
  <c r="I150" i="58"/>
  <c r="K150" i="58"/>
  <c r="I149" i="58"/>
  <c r="K149" i="58" s="1"/>
  <c r="I148" i="58"/>
  <c r="K148" i="58" s="1"/>
  <c r="I147" i="58"/>
  <c r="K147" i="58" s="1"/>
  <c r="I146" i="58"/>
  <c r="K146" i="58"/>
  <c r="I145" i="58"/>
  <c r="K145" i="58" s="1"/>
  <c r="I144" i="58"/>
  <c r="K144" i="58" s="1"/>
  <c r="I142" i="58"/>
  <c r="K142" i="58" s="1"/>
  <c r="I141" i="58"/>
  <c r="K141" i="58"/>
  <c r="I140" i="58"/>
  <c r="K140" i="58" s="1"/>
  <c r="I139" i="58"/>
  <c r="K139" i="58" s="1"/>
  <c r="I138" i="58"/>
  <c r="K138" i="58" s="1"/>
  <c r="I137" i="58"/>
  <c r="K137" i="58"/>
  <c r="I136" i="58"/>
  <c r="K136" i="58" s="1"/>
  <c r="I135" i="58"/>
  <c r="K135" i="58" s="1"/>
  <c r="I134" i="58"/>
  <c r="K134" i="58" s="1"/>
  <c r="I133" i="58"/>
  <c r="K133" i="58"/>
  <c r="I132" i="58"/>
  <c r="K132" i="58" s="1"/>
  <c r="I131" i="58"/>
  <c r="K131" i="58" s="1"/>
  <c r="I130" i="58"/>
  <c r="K130" i="58" s="1"/>
  <c r="I129" i="58"/>
  <c r="K129" i="58"/>
  <c r="I128" i="58"/>
  <c r="K128" i="58" s="1"/>
  <c r="I127" i="58"/>
  <c r="K127" i="58" s="1"/>
  <c r="I126" i="58"/>
  <c r="K126" i="58" s="1"/>
  <c r="I125" i="58"/>
  <c r="K125" i="58"/>
  <c r="I124" i="58"/>
  <c r="K124" i="58" s="1"/>
  <c r="I123" i="58"/>
  <c r="K123" i="58" s="1"/>
  <c r="I122" i="58"/>
  <c r="K122" i="58" s="1"/>
  <c r="I121" i="58"/>
  <c r="K121" i="58"/>
  <c r="I120" i="58"/>
  <c r="K120" i="58" s="1"/>
  <c r="I119" i="58"/>
  <c r="K119" i="58" s="1"/>
  <c r="I118" i="58"/>
  <c r="K118" i="58" s="1"/>
  <c r="I117" i="58"/>
  <c r="K117" i="58"/>
  <c r="I116" i="58"/>
  <c r="K116" i="58" s="1"/>
  <c r="I115" i="58"/>
  <c r="K115" i="58" s="1"/>
  <c r="I114" i="58"/>
  <c r="K114" i="58" s="1"/>
  <c r="I113" i="58"/>
  <c r="K113" i="58"/>
  <c r="I112" i="58"/>
  <c r="K112" i="58" s="1"/>
  <c r="I111" i="58"/>
  <c r="K111" i="58" s="1"/>
  <c r="I110" i="58"/>
  <c r="K110" i="58" s="1"/>
  <c r="I109" i="58"/>
  <c r="K109" i="58"/>
  <c r="I108" i="58"/>
  <c r="K108" i="58" s="1"/>
  <c r="I107" i="58"/>
  <c r="K107" i="58" s="1"/>
  <c r="I106" i="58"/>
  <c r="K106" i="58" s="1"/>
  <c r="I105" i="58"/>
  <c r="K105" i="58"/>
  <c r="I104" i="58"/>
  <c r="K104" i="58" s="1"/>
  <c r="I103" i="58"/>
  <c r="K103" i="58" s="1"/>
  <c r="I102" i="58"/>
  <c r="K102" i="58" s="1"/>
  <c r="I101" i="58"/>
  <c r="K101" i="58"/>
  <c r="I100" i="58"/>
  <c r="K100" i="58" s="1"/>
  <c r="I99" i="58"/>
  <c r="K99" i="58" s="1"/>
  <c r="I98" i="58"/>
  <c r="K98" i="58" s="1"/>
  <c r="I97" i="58"/>
  <c r="K97" i="58"/>
  <c r="I96" i="58"/>
  <c r="K96" i="58" s="1"/>
  <c r="I95" i="58"/>
  <c r="K95" i="58" s="1"/>
  <c r="I94" i="58"/>
  <c r="K94" i="58" s="1"/>
  <c r="I93" i="58"/>
  <c r="K93" i="58"/>
  <c r="I92" i="58"/>
  <c r="K92" i="58" s="1"/>
  <c r="I91" i="58"/>
  <c r="K91" i="58" s="1"/>
  <c r="I90" i="58"/>
  <c r="K90" i="58" s="1"/>
  <c r="I89" i="58"/>
  <c r="K89" i="58"/>
  <c r="I88" i="58"/>
  <c r="K88" i="58" s="1"/>
  <c r="I87" i="58"/>
  <c r="K87" i="58" s="1"/>
  <c r="I85" i="58"/>
  <c r="K85" i="58" s="1"/>
  <c r="I84" i="58"/>
  <c r="K84" i="58"/>
  <c r="I83" i="58"/>
  <c r="K83" i="58" s="1"/>
  <c r="I82" i="58"/>
  <c r="K82" i="58" s="1"/>
  <c r="I81" i="58"/>
  <c r="K81" i="58" s="1"/>
  <c r="K208" i="58" s="1"/>
  <c r="I78" i="58"/>
  <c r="K78" i="58" s="1"/>
  <c r="I77" i="58"/>
  <c r="K77" i="58" s="1"/>
  <c r="I76" i="58"/>
  <c r="K76" i="58" s="1"/>
  <c r="I75" i="58"/>
  <c r="K75" i="58"/>
  <c r="I74" i="58"/>
  <c r="K74" i="58" s="1"/>
  <c r="I73" i="58"/>
  <c r="K73" i="58" s="1"/>
  <c r="I72" i="58"/>
  <c r="K72" i="58" s="1"/>
  <c r="I70" i="58"/>
  <c r="K70" i="58"/>
  <c r="I69" i="58"/>
  <c r="K69" i="58" s="1"/>
  <c r="I68" i="58"/>
  <c r="K68" i="58" s="1"/>
  <c r="I67" i="58"/>
  <c r="K67" i="58" s="1"/>
  <c r="I66" i="58"/>
  <c r="K66" i="58"/>
  <c r="I65" i="58"/>
  <c r="K65" i="58" s="1"/>
  <c r="I64" i="58"/>
  <c r="K64" i="58" s="1"/>
  <c r="I63" i="58"/>
  <c r="K63" i="58" s="1"/>
  <c r="I62" i="58"/>
  <c r="K62" i="58"/>
  <c r="I61" i="58"/>
  <c r="K61" i="58" s="1"/>
  <c r="I60" i="58"/>
  <c r="K60" i="58" s="1"/>
  <c r="I59" i="58"/>
  <c r="K59" i="58" s="1"/>
  <c r="I58" i="58"/>
  <c r="K58" i="58"/>
  <c r="I57" i="58"/>
  <c r="K57" i="58" s="1"/>
  <c r="I56" i="58"/>
  <c r="K56" i="58" s="1"/>
  <c r="I55" i="58"/>
  <c r="K55" i="58" s="1"/>
  <c r="I54" i="58"/>
  <c r="K54" i="58"/>
  <c r="I53" i="58"/>
  <c r="K53" i="58" s="1"/>
  <c r="I52" i="58"/>
  <c r="K52" i="58" s="1"/>
  <c r="I51" i="58"/>
  <c r="K51" i="58" s="1"/>
  <c r="I50" i="58"/>
  <c r="K50" i="58"/>
  <c r="I49" i="58"/>
  <c r="K49" i="58" s="1"/>
  <c r="I48" i="58"/>
  <c r="K48" i="58" s="1"/>
  <c r="I47" i="58"/>
  <c r="K47" i="58" s="1"/>
  <c r="I46" i="58"/>
  <c r="K46" i="58"/>
  <c r="I45" i="58"/>
  <c r="K45" i="58" s="1"/>
  <c r="I44" i="58"/>
  <c r="K44" i="58" s="1"/>
  <c r="I43" i="58"/>
  <c r="K43" i="58" s="1"/>
  <c r="I42" i="58"/>
  <c r="K42" i="58"/>
  <c r="I40" i="58"/>
  <c r="K40" i="58" s="1"/>
  <c r="I38" i="58"/>
  <c r="K38" i="58" s="1"/>
  <c r="I37" i="58"/>
  <c r="K37" i="58" s="1"/>
  <c r="I36" i="58"/>
  <c r="K36" i="58"/>
  <c r="I35" i="58"/>
  <c r="K35" i="58" s="1"/>
  <c r="I34" i="58"/>
  <c r="K34" i="58" s="1"/>
  <c r="I33" i="58"/>
  <c r="K33" i="58" s="1"/>
  <c r="I32" i="58"/>
  <c r="K32" i="58"/>
  <c r="I31" i="58"/>
  <c r="K31" i="58" s="1"/>
  <c r="I30" i="58"/>
  <c r="K30" i="58" s="1"/>
  <c r="I28" i="58"/>
  <c r="K28" i="58" s="1"/>
  <c r="I27" i="58"/>
  <c r="K27" i="58"/>
  <c r="I25" i="58"/>
  <c r="K25" i="58" s="1"/>
  <c r="I24" i="58"/>
  <c r="K24" i="58" s="1"/>
  <c r="I23" i="58"/>
  <c r="K23" i="58" s="1"/>
  <c r="I22" i="58"/>
  <c r="K22" i="58"/>
  <c r="I21" i="58"/>
  <c r="K21" i="58" s="1"/>
  <c r="I20" i="58"/>
  <c r="K20" i="58" s="1"/>
  <c r="I19" i="58"/>
  <c r="K19" i="58" s="1"/>
  <c r="I18" i="58"/>
  <c r="K18" i="58"/>
  <c r="I17" i="58"/>
  <c r="K17" i="58" s="1"/>
  <c r="I16" i="58"/>
  <c r="K16" i="58" s="1"/>
  <c r="I15" i="58"/>
  <c r="K15" i="58" s="1"/>
  <c r="I14" i="58"/>
  <c r="K14" i="58"/>
  <c r="I13" i="58"/>
  <c r="K13" i="58" s="1"/>
  <c r="I12" i="58"/>
  <c r="K12" i="58" s="1"/>
  <c r="I11" i="58"/>
  <c r="K11" i="58" s="1"/>
  <c r="I10" i="58"/>
  <c r="K10" i="58"/>
  <c r="I9" i="58"/>
  <c r="K9" i="58" s="1"/>
  <c r="I8" i="58"/>
  <c r="K8" i="58" s="1"/>
  <c r="I7" i="58"/>
  <c r="K7" i="58" s="1"/>
  <c r="I6" i="58"/>
  <c r="K6" i="58"/>
  <c r="I86" i="58"/>
  <c r="K86" i="58" s="1"/>
  <c r="I29" i="58"/>
  <c r="K29" i="58"/>
  <c r="E210" i="58"/>
  <c r="K41" i="58"/>
  <c r="I26" i="58"/>
  <c r="K26" i="58"/>
  <c r="I79" i="58"/>
  <c r="K79" i="58"/>
  <c r="G204" i="58"/>
  <c r="C208" i="58"/>
  <c r="I39" i="58"/>
  <c r="K39" i="58"/>
  <c r="I71" i="58"/>
  <c r="K71" i="58" s="1"/>
  <c r="C207" i="58"/>
  <c r="H148" i="57"/>
  <c r="E148" i="57"/>
  <c r="D148" i="57"/>
  <c r="G148" i="57"/>
  <c r="C204" i="58"/>
  <c r="I128" i="55"/>
  <c r="K128" i="55"/>
  <c r="H208" i="58"/>
  <c r="C209" i="58"/>
  <c r="C210" i="58"/>
  <c r="I203" i="58"/>
  <c r="K203" i="58" s="1"/>
  <c r="I242" i="56"/>
  <c r="K242" i="56" s="1"/>
  <c r="I167" i="56"/>
  <c r="K167" i="56" s="1"/>
  <c r="I88" i="56"/>
  <c r="K88" i="56" s="1"/>
  <c r="I30" i="56"/>
  <c r="K30" i="56" s="1"/>
  <c r="E259" i="56"/>
  <c r="D259" i="56"/>
  <c r="E258" i="56"/>
  <c r="D258" i="56"/>
  <c r="E257" i="56"/>
  <c r="E260" i="56" s="1"/>
  <c r="D257" i="56"/>
  <c r="O254" i="56"/>
  <c r="N254" i="56"/>
  <c r="M254" i="56"/>
  <c r="L254" i="56"/>
  <c r="J254" i="56"/>
  <c r="E254" i="56"/>
  <c r="D254" i="56"/>
  <c r="F266" i="56" s="1"/>
  <c r="I252" i="56"/>
  <c r="K252" i="56" s="1"/>
  <c r="I251" i="56"/>
  <c r="K251" i="56" s="1"/>
  <c r="F250" i="56"/>
  <c r="I250" i="56" s="1"/>
  <c r="K250" i="56" s="1"/>
  <c r="I249" i="56"/>
  <c r="K249" i="56"/>
  <c r="I247" i="56"/>
  <c r="K247" i="56"/>
  <c r="I246" i="56"/>
  <c r="K246" i="56"/>
  <c r="G245" i="56"/>
  <c r="I245" i="56"/>
  <c r="K245" i="56" s="1"/>
  <c r="G244" i="56"/>
  <c r="I244" i="56" s="1"/>
  <c r="K244" i="56" s="1"/>
  <c r="I243" i="56"/>
  <c r="K243" i="56"/>
  <c r="I241" i="56"/>
  <c r="K241" i="56"/>
  <c r="I240" i="56"/>
  <c r="K240" i="56"/>
  <c r="I239" i="56"/>
  <c r="K239" i="56"/>
  <c r="I238" i="56"/>
  <c r="K238" i="56"/>
  <c r="I237" i="56"/>
  <c r="K237" i="56"/>
  <c r="I236" i="56"/>
  <c r="K236" i="56"/>
  <c r="I235" i="56"/>
  <c r="K235" i="56"/>
  <c r="I234" i="56"/>
  <c r="K234" i="56"/>
  <c r="I233" i="56"/>
  <c r="K233" i="56"/>
  <c r="I232" i="56"/>
  <c r="K232" i="56"/>
  <c r="I231" i="56"/>
  <c r="K231" i="56"/>
  <c r="I230" i="56"/>
  <c r="K230" i="56"/>
  <c r="I229" i="56"/>
  <c r="K229" i="56"/>
  <c r="I228" i="56"/>
  <c r="K228" i="56"/>
  <c r="I227" i="56"/>
  <c r="K227" i="56"/>
  <c r="I226" i="56"/>
  <c r="K226" i="56"/>
  <c r="I225" i="56"/>
  <c r="K225" i="56"/>
  <c r="I224" i="56"/>
  <c r="K224" i="56"/>
  <c r="I223" i="56"/>
  <c r="K223" i="56"/>
  <c r="I222" i="56"/>
  <c r="K222" i="56"/>
  <c r="I221" i="56"/>
  <c r="K221" i="56"/>
  <c r="I220" i="56"/>
  <c r="K220" i="56"/>
  <c r="I219" i="56"/>
  <c r="K219" i="56"/>
  <c r="I218" i="56"/>
  <c r="K218" i="56"/>
  <c r="I217" i="56"/>
  <c r="K217" i="56"/>
  <c r="I216" i="56"/>
  <c r="K216" i="56"/>
  <c r="I215" i="56"/>
  <c r="K215" i="56"/>
  <c r="I214" i="56"/>
  <c r="K214" i="56"/>
  <c r="I213" i="56"/>
  <c r="K213" i="56"/>
  <c r="I212" i="56"/>
  <c r="K212" i="56"/>
  <c r="I211" i="56"/>
  <c r="K211" i="56"/>
  <c r="I210" i="56"/>
  <c r="K210" i="56"/>
  <c r="I209" i="56"/>
  <c r="K209" i="56"/>
  <c r="I208" i="56"/>
  <c r="K208" i="56"/>
  <c r="I207" i="56"/>
  <c r="K207" i="56"/>
  <c r="I206" i="56"/>
  <c r="K206" i="56"/>
  <c r="I205" i="56"/>
  <c r="K205" i="56"/>
  <c r="I204" i="56"/>
  <c r="K204" i="56"/>
  <c r="I203" i="56"/>
  <c r="K203" i="56"/>
  <c r="I202" i="56"/>
  <c r="K202" i="56"/>
  <c r="I201" i="56"/>
  <c r="K201" i="56"/>
  <c r="I200" i="56"/>
  <c r="K200" i="56"/>
  <c r="I199" i="56"/>
  <c r="K199" i="56"/>
  <c r="I198" i="56"/>
  <c r="K198" i="56"/>
  <c r="I197" i="56"/>
  <c r="K197" i="56"/>
  <c r="I196" i="56"/>
  <c r="K196" i="56"/>
  <c r="I195" i="56"/>
  <c r="K195" i="56"/>
  <c r="I194" i="56"/>
  <c r="K194" i="56"/>
  <c r="I193" i="56"/>
  <c r="K193" i="56"/>
  <c r="I192" i="56"/>
  <c r="K192" i="56"/>
  <c r="I191" i="56"/>
  <c r="K191" i="56"/>
  <c r="I190" i="56"/>
  <c r="K190" i="56"/>
  <c r="I189" i="56"/>
  <c r="K189" i="56"/>
  <c r="I188" i="56"/>
  <c r="K188" i="56"/>
  <c r="I187" i="56"/>
  <c r="K187" i="56"/>
  <c r="I186" i="56"/>
  <c r="K186" i="56"/>
  <c r="I185" i="56"/>
  <c r="K185" i="56"/>
  <c r="I184" i="56"/>
  <c r="K184" i="56"/>
  <c r="I183" i="56"/>
  <c r="K183" i="56"/>
  <c r="I182" i="56"/>
  <c r="K182" i="56"/>
  <c r="I181" i="56"/>
  <c r="K181" i="56"/>
  <c r="I180" i="56"/>
  <c r="K180" i="56"/>
  <c r="I179" i="56"/>
  <c r="K179" i="56"/>
  <c r="I178" i="56"/>
  <c r="K178" i="56"/>
  <c r="I177" i="56"/>
  <c r="K177" i="56"/>
  <c r="I176" i="56"/>
  <c r="K176" i="56"/>
  <c r="I175" i="56"/>
  <c r="K175" i="56"/>
  <c r="K282" i="56" s="1"/>
  <c r="I174" i="56"/>
  <c r="K174" i="56"/>
  <c r="I173" i="56"/>
  <c r="K173" i="56"/>
  <c r="I172" i="56"/>
  <c r="K172" i="56"/>
  <c r="I171" i="56"/>
  <c r="K171" i="56"/>
  <c r="I170" i="56"/>
  <c r="K170" i="56"/>
  <c r="I169" i="56"/>
  <c r="K169" i="56"/>
  <c r="I168" i="56"/>
  <c r="K168" i="56"/>
  <c r="I166" i="56"/>
  <c r="K166" i="56"/>
  <c r="I165" i="56"/>
  <c r="K165" i="56"/>
  <c r="I164" i="56"/>
  <c r="K164" i="56"/>
  <c r="I163" i="56"/>
  <c r="K163" i="56"/>
  <c r="I162" i="56"/>
  <c r="K162" i="56"/>
  <c r="I161" i="56"/>
  <c r="K161" i="56"/>
  <c r="I160" i="56"/>
  <c r="K160" i="56"/>
  <c r="I159" i="56"/>
  <c r="K159" i="56"/>
  <c r="I158" i="56"/>
  <c r="K158" i="56"/>
  <c r="I157" i="56"/>
  <c r="K157" i="56"/>
  <c r="I156" i="56"/>
  <c r="K156" i="56"/>
  <c r="I155" i="56"/>
  <c r="K155" i="56"/>
  <c r="I154" i="56"/>
  <c r="K154" i="56"/>
  <c r="I153" i="56"/>
  <c r="K153" i="56"/>
  <c r="I152" i="56"/>
  <c r="K152" i="56"/>
  <c r="I151" i="56"/>
  <c r="K151" i="56"/>
  <c r="I150" i="56"/>
  <c r="K150" i="56"/>
  <c r="I149" i="56"/>
  <c r="K149" i="56"/>
  <c r="I148" i="56"/>
  <c r="K148" i="56"/>
  <c r="I147" i="56"/>
  <c r="K147" i="56"/>
  <c r="I146" i="56"/>
  <c r="K146" i="56"/>
  <c r="I145" i="56"/>
  <c r="K145" i="56"/>
  <c r="I144" i="56"/>
  <c r="K144" i="56"/>
  <c r="I143" i="56"/>
  <c r="K143" i="56"/>
  <c r="I142" i="56"/>
  <c r="K142" i="56"/>
  <c r="I141" i="56"/>
  <c r="K141" i="56"/>
  <c r="I140" i="56"/>
  <c r="K140" i="56"/>
  <c r="I139" i="56"/>
  <c r="K139" i="56"/>
  <c r="I138" i="56"/>
  <c r="K138" i="56"/>
  <c r="I137" i="56"/>
  <c r="K137" i="56"/>
  <c r="I136" i="56"/>
  <c r="K136" i="56"/>
  <c r="I135" i="56"/>
  <c r="K135" i="56"/>
  <c r="I134" i="56"/>
  <c r="K134" i="56"/>
  <c r="I133" i="56"/>
  <c r="K133" i="56"/>
  <c r="I132" i="56"/>
  <c r="K132" i="56"/>
  <c r="I131" i="56"/>
  <c r="K131" i="56"/>
  <c r="I130" i="56"/>
  <c r="K130" i="56"/>
  <c r="I129" i="56"/>
  <c r="K129" i="56"/>
  <c r="I128" i="56"/>
  <c r="K128" i="56"/>
  <c r="I127" i="56"/>
  <c r="K127" i="56"/>
  <c r="I126" i="56"/>
  <c r="K126" i="56"/>
  <c r="I125" i="56"/>
  <c r="K125" i="56"/>
  <c r="I124" i="56"/>
  <c r="K124" i="56"/>
  <c r="I123" i="56"/>
  <c r="K123" i="56"/>
  <c r="I122" i="56"/>
  <c r="K122" i="56"/>
  <c r="I121" i="56"/>
  <c r="K121" i="56"/>
  <c r="I120" i="56"/>
  <c r="K120" i="56"/>
  <c r="I119" i="56"/>
  <c r="K119" i="56"/>
  <c r="I118" i="56"/>
  <c r="K118" i="56"/>
  <c r="I117" i="56"/>
  <c r="K117" i="56"/>
  <c r="I116" i="56"/>
  <c r="K116" i="56"/>
  <c r="I115" i="56"/>
  <c r="K115" i="56"/>
  <c r="I114" i="56"/>
  <c r="K114" i="56"/>
  <c r="I113" i="56"/>
  <c r="K113" i="56"/>
  <c r="I112" i="56"/>
  <c r="K112" i="56"/>
  <c r="I111" i="56"/>
  <c r="K111" i="56"/>
  <c r="I110" i="56"/>
  <c r="K110" i="56"/>
  <c r="I109" i="56"/>
  <c r="K109" i="56"/>
  <c r="I108" i="56"/>
  <c r="K108" i="56"/>
  <c r="I107" i="56"/>
  <c r="K107" i="56"/>
  <c r="I106" i="56"/>
  <c r="K106" i="56"/>
  <c r="I105" i="56"/>
  <c r="K105" i="56"/>
  <c r="I104" i="56"/>
  <c r="K104" i="56"/>
  <c r="I103" i="56"/>
  <c r="K103" i="56"/>
  <c r="I102" i="56"/>
  <c r="K102" i="56"/>
  <c r="I101" i="56"/>
  <c r="K101" i="56"/>
  <c r="I100" i="56"/>
  <c r="K100" i="56"/>
  <c r="I99" i="56"/>
  <c r="K99" i="56"/>
  <c r="I98" i="56"/>
  <c r="K98" i="56"/>
  <c r="I97" i="56"/>
  <c r="K97" i="56"/>
  <c r="I96" i="56"/>
  <c r="K96" i="56"/>
  <c r="I95" i="56"/>
  <c r="K95" i="56"/>
  <c r="I94" i="56"/>
  <c r="K94" i="56"/>
  <c r="I93" i="56"/>
  <c r="K93" i="56"/>
  <c r="I92" i="56"/>
  <c r="K92" i="56"/>
  <c r="I91" i="56"/>
  <c r="K91" i="56"/>
  <c r="I90" i="56"/>
  <c r="K90" i="56"/>
  <c r="I89" i="56"/>
  <c r="K89" i="56"/>
  <c r="I86" i="56"/>
  <c r="K86" i="56"/>
  <c r="I85" i="56"/>
  <c r="K85" i="56"/>
  <c r="I84" i="56"/>
  <c r="K84" i="56"/>
  <c r="I83" i="56"/>
  <c r="K83" i="56"/>
  <c r="I82" i="56"/>
  <c r="K82" i="56"/>
  <c r="K258" i="56" s="1"/>
  <c r="F81" i="56"/>
  <c r="I81" i="56"/>
  <c r="K81" i="56"/>
  <c r="F80" i="56"/>
  <c r="F254" i="56" s="1"/>
  <c r="I79" i="56"/>
  <c r="K79" i="56"/>
  <c r="I78" i="56"/>
  <c r="K78" i="56"/>
  <c r="I77" i="56"/>
  <c r="K77" i="56"/>
  <c r="I76" i="56"/>
  <c r="K76" i="56"/>
  <c r="I75" i="56"/>
  <c r="K75" i="56"/>
  <c r="I74" i="56"/>
  <c r="K74" i="56"/>
  <c r="G73" i="56"/>
  <c r="I73" i="56"/>
  <c r="K73" i="56"/>
  <c r="G72" i="56"/>
  <c r="I72" i="56" s="1"/>
  <c r="K72" i="56" s="1"/>
  <c r="I71" i="56"/>
  <c r="K71" i="56"/>
  <c r="I70" i="56"/>
  <c r="K70" i="56"/>
  <c r="I69" i="56"/>
  <c r="K69" i="56"/>
  <c r="I68" i="56"/>
  <c r="K68" i="56"/>
  <c r="I67" i="56"/>
  <c r="K67" i="56"/>
  <c r="I66" i="56"/>
  <c r="K66" i="56"/>
  <c r="I65" i="56"/>
  <c r="K65" i="56"/>
  <c r="I64" i="56"/>
  <c r="K64" i="56"/>
  <c r="I63" i="56"/>
  <c r="K63" i="56"/>
  <c r="I62" i="56"/>
  <c r="K62" i="56"/>
  <c r="I61" i="56"/>
  <c r="K61" i="56"/>
  <c r="I60" i="56"/>
  <c r="K60" i="56"/>
  <c r="I59" i="56"/>
  <c r="K59" i="56"/>
  <c r="I58" i="56"/>
  <c r="K58" i="56"/>
  <c r="I57" i="56"/>
  <c r="K57" i="56"/>
  <c r="I56" i="56"/>
  <c r="K56" i="56"/>
  <c r="I55" i="56"/>
  <c r="K55" i="56"/>
  <c r="I54" i="56"/>
  <c r="K54" i="56"/>
  <c r="I53" i="56"/>
  <c r="K53" i="56"/>
  <c r="I52" i="56"/>
  <c r="K52" i="56"/>
  <c r="I51" i="56"/>
  <c r="K51" i="56"/>
  <c r="I50" i="56"/>
  <c r="K50" i="56"/>
  <c r="I49" i="56"/>
  <c r="K49" i="56"/>
  <c r="I48" i="56"/>
  <c r="K48" i="56"/>
  <c r="I47" i="56"/>
  <c r="K47" i="56"/>
  <c r="I46" i="56"/>
  <c r="K46" i="56"/>
  <c r="I45" i="56"/>
  <c r="K45" i="56"/>
  <c r="I44" i="56"/>
  <c r="K44" i="56"/>
  <c r="I43" i="56"/>
  <c r="K43" i="56"/>
  <c r="I41" i="56"/>
  <c r="K41" i="56"/>
  <c r="I40" i="56"/>
  <c r="K40" i="56"/>
  <c r="H39" i="56"/>
  <c r="H42" i="56"/>
  <c r="I42" i="56"/>
  <c r="K42" i="56"/>
  <c r="I38" i="56"/>
  <c r="K38" i="56"/>
  <c r="I37" i="56"/>
  <c r="K37" i="56"/>
  <c r="I36" i="56"/>
  <c r="K36" i="56"/>
  <c r="I35" i="56"/>
  <c r="K35" i="56"/>
  <c r="I34" i="56"/>
  <c r="K34" i="56"/>
  <c r="I33" i="56"/>
  <c r="K33" i="56"/>
  <c r="I32" i="56"/>
  <c r="K32" i="56"/>
  <c r="I31" i="56"/>
  <c r="K31" i="56"/>
  <c r="I29" i="56"/>
  <c r="K29" i="56"/>
  <c r="I28" i="56"/>
  <c r="K28" i="56"/>
  <c r="I27" i="56"/>
  <c r="K27" i="56"/>
  <c r="I25" i="56"/>
  <c r="K25" i="56"/>
  <c r="I24" i="56"/>
  <c r="K24" i="56"/>
  <c r="I23" i="56"/>
  <c r="K23" i="56"/>
  <c r="I22" i="56"/>
  <c r="K22" i="56"/>
  <c r="I21" i="56"/>
  <c r="K21" i="56"/>
  <c r="I20" i="56"/>
  <c r="K20" i="56"/>
  <c r="I19" i="56"/>
  <c r="K19" i="56"/>
  <c r="I18" i="56"/>
  <c r="K18" i="56"/>
  <c r="I17" i="56"/>
  <c r="K17" i="56"/>
  <c r="I16" i="56"/>
  <c r="K16" i="56"/>
  <c r="I15" i="56"/>
  <c r="K15" i="56"/>
  <c r="I14" i="56"/>
  <c r="K14" i="56"/>
  <c r="I13" i="56"/>
  <c r="K13" i="56"/>
  <c r="I12" i="56"/>
  <c r="K12" i="56"/>
  <c r="I11" i="56"/>
  <c r="K11" i="56"/>
  <c r="I10" i="56"/>
  <c r="K10" i="56"/>
  <c r="I9" i="56"/>
  <c r="K9" i="56"/>
  <c r="I8" i="56"/>
  <c r="K8" i="56"/>
  <c r="I7" i="56"/>
  <c r="K7" i="56"/>
  <c r="I6" i="56"/>
  <c r="K6" i="56"/>
  <c r="E146" i="55"/>
  <c r="C146" i="55"/>
  <c r="I145" i="55"/>
  <c r="K145" i="55"/>
  <c r="I144" i="55"/>
  <c r="K144" i="55"/>
  <c r="I143" i="55"/>
  <c r="K143" i="55"/>
  <c r="I142" i="55"/>
  <c r="K142" i="55"/>
  <c r="I141" i="55"/>
  <c r="K141" i="55"/>
  <c r="I140" i="55"/>
  <c r="K140" i="55"/>
  <c r="I139" i="55"/>
  <c r="K139" i="55"/>
  <c r="F138" i="55"/>
  <c r="I138" i="55"/>
  <c r="K138" i="55" s="1"/>
  <c r="G137" i="55"/>
  <c r="I137" i="55"/>
  <c r="K137" i="55"/>
  <c r="G136" i="55"/>
  <c r="I136" i="55"/>
  <c r="K136" i="55"/>
  <c r="G135" i="55"/>
  <c r="I135" i="55" s="1"/>
  <c r="K135" i="55" s="1"/>
  <c r="G134" i="55"/>
  <c r="I134" i="55"/>
  <c r="K134" i="55" s="1"/>
  <c r="G133" i="55"/>
  <c r="I133" i="55"/>
  <c r="K133" i="55"/>
  <c r="I131" i="55"/>
  <c r="K131" i="55"/>
  <c r="I130" i="55"/>
  <c r="K130" i="55"/>
  <c r="I129" i="55"/>
  <c r="K129" i="55"/>
  <c r="I127" i="55"/>
  <c r="K127" i="55"/>
  <c r="I126" i="55"/>
  <c r="K126" i="55"/>
  <c r="I125" i="55"/>
  <c r="K125" i="55"/>
  <c r="I124" i="55"/>
  <c r="K124" i="55"/>
  <c r="I123" i="55"/>
  <c r="K123" i="55"/>
  <c r="I122" i="55"/>
  <c r="K122" i="55"/>
  <c r="I121" i="55"/>
  <c r="K121" i="55"/>
  <c r="I120" i="55"/>
  <c r="K120" i="55"/>
  <c r="I119" i="55"/>
  <c r="K119" i="55"/>
  <c r="I118" i="55"/>
  <c r="K118" i="55"/>
  <c r="I117" i="55"/>
  <c r="K117" i="55"/>
  <c r="I116" i="55"/>
  <c r="K116" i="55"/>
  <c r="I115" i="55"/>
  <c r="K115" i="55"/>
  <c r="I114" i="55"/>
  <c r="K114" i="55"/>
  <c r="I113" i="55"/>
  <c r="K113" i="55"/>
  <c r="I112" i="55"/>
  <c r="K112" i="55"/>
  <c r="I111" i="55"/>
  <c r="K111" i="55"/>
  <c r="I110" i="55"/>
  <c r="K110" i="55"/>
  <c r="I109" i="55"/>
  <c r="K109" i="55"/>
  <c r="I108" i="55"/>
  <c r="K108" i="55"/>
  <c r="I107" i="55"/>
  <c r="K107" i="55"/>
  <c r="I106" i="55"/>
  <c r="K106" i="55"/>
  <c r="I105" i="55"/>
  <c r="K105" i="55"/>
  <c r="I104" i="55"/>
  <c r="K104" i="55"/>
  <c r="I103" i="55"/>
  <c r="K103" i="55"/>
  <c r="I102" i="55"/>
  <c r="K102" i="55"/>
  <c r="I101" i="55"/>
  <c r="K101" i="55"/>
  <c r="I100" i="55"/>
  <c r="K100" i="55"/>
  <c r="I99" i="55"/>
  <c r="K99" i="55"/>
  <c r="I98" i="55"/>
  <c r="K98" i="55"/>
  <c r="D146" i="55"/>
  <c r="I96" i="55"/>
  <c r="K96" i="55" s="1"/>
  <c r="I95" i="55"/>
  <c r="K95" i="55"/>
  <c r="I94" i="55"/>
  <c r="K94" i="55" s="1"/>
  <c r="I93" i="55"/>
  <c r="K93" i="55"/>
  <c r="I92" i="55"/>
  <c r="K92" i="55" s="1"/>
  <c r="I91" i="55"/>
  <c r="K91" i="55"/>
  <c r="I90" i="55"/>
  <c r="K90" i="55" s="1"/>
  <c r="I89" i="55"/>
  <c r="K89" i="55"/>
  <c r="I88" i="55"/>
  <c r="K88" i="55" s="1"/>
  <c r="I87" i="55"/>
  <c r="K87" i="55"/>
  <c r="I86" i="55"/>
  <c r="K86" i="55" s="1"/>
  <c r="I85" i="55"/>
  <c r="K85" i="55"/>
  <c r="I84" i="55"/>
  <c r="K84" i="55" s="1"/>
  <c r="I83" i="55"/>
  <c r="K83" i="55"/>
  <c r="I82" i="55"/>
  <c r="K82" i="55" s="1"/>
  <c r="I81" i="55"/>
  <c r="K81" i="55"/>
  <c r="I80" i="55"/>
  <c r="K80" i="55" s="1"/>
  <c r="I79" i="55"/>
  <c r="K79" i="55"/>
  <c r="I78" i="55"/>
  <c r="K78" i="55" s="1"/>
  <c r="I77" i="55"/>
  <c r="K77" i="55"/>
  <c r="I76" i="55"/>
  <c r="K76" i="55" s="1"/>
  <c r="I75" i="55"/>
  <c r="K75" i="55"/>
  <c r="I74" i="55"/>
  <c r="K74" i="55" s="1"/>
  <c r="I73" i="55"/>
  <c r="K73" i="55"/>
  <c r="I72" i="55"/>
  <c r="K72" i="55" s="1"/>
  <c r="I71" i="55"/>
  <c r="K71" i="55"/>
  <c r="I70" i="55"/>
  <c r="K70" i="55" s="1"/>
  <c r="I69" i="55"/>
  <c r="K69" i="55"/>
  <c r="I68" i="55"/>
  <c r="K68" i="55" s="1"/>
  <c r="I67" i="55"/>
  <c r="K67" i="55"/>
  <c r="I66" i="55"/>
  <c r="K66" i="55" s="1"/>
  <c r="I65" i="55"/>
  <c r="K65" i="55"/>
  <c r="I64" i="55"/>
  <c r="K64" i="55" s="1"/>
  <c r="I63" i="55"/>
  <c r="K63" i="55"/>
  <c r="I62" i="55"/>
  <c r="K62" i="55" s="1"/>
  <c r="I61" i="55"/>
  <c r="K61" i="55"/>
  <c r="I60" i="55"/>
  <c r="K60" i="55" s="1"/>
  <c r="I59" i="55"/>
  <c r="K59" i="55"/>
  <c r="I58" i="55"/>
  <c r="K58" i="55" s="1"/>
  <c r="I57" i="55"/>
  <c r="K57" i="55"/>
  <c r="I56" i="55"/>
  <c r="K56" i="55" s="1"/>
  <c r="I55" i="55"/>
  <c r="K55" i="55"/>
  <c r="I54" i="55"/>
  <c r="K54" i="55" s="1"/>
  <c r="I53" i="55"/>
  <c r="K53" i="55"/>
  <c r="I52" i="55"/>
  <c r="K52" i="55" s="1"/>
  <c r="I51" i="55"/>
  <c r="K51" i="55"/>
  <c r="I50" i="55"/>
  <c r="K50" i="55" s="1"/>
  <c r="I49" i="55"/>
  <c r="K49" i="55"/>
  <c r="I48" i="55"/>
  <c r="K48" i="55" s="1"/>
  <c r="I47" i="55"/>
  <c r="K47" i="55"/>
  <c r="I46" i="55"/>
  <c r="K46" i="55" s="1"/>
  <c r="I45" i="55"/>
  <c r="K45" i="55"/>
  <c r="I44" i="55"/>
  <c r="K44" i="55" s="1"/>
  <c r="I43" i="55"/>
  <c r="K43" i="55"/>
  <c r="I42" i="55"/>
  <c r="K42" i="55" s="1"/>
  <c r="H41" i="55"/>
  <c r="I41" i="55"/>
  <c r="K41" i="55"/>
  <c r="I40" i="55"/>
  <c r="K40" i="55"/>
  <c r="I39" i="55"/>
  <c r="K39" i="55"/>
  <c r="I38" i="55"/>
  <c r="K38" i="55"/>
  <c r="I37" i="55"/>
  <c r="K37" i="55"/>
  <c r="I36" i="55"/>
  <c r="K36" i="55"/>
  <c r="I35" i="55"/>
  <c r="K35" i="55"/>
  <c r="I34" i="55"/>
  <c r="K34" i="55"/>
  <c r="I33" i="55"/>
  <c r="K33" i="55"/>
  <c r="I32" i="55"/>
  <c r="K32" i="55"/>
  <c r="I31" i="55"/>
  <c r="K31" i="55"/>
  <c r="I30" i="55"/>
  <c r="K30" i="55"/>
  <c r="I29" i="55"/>
  <c r="K29" i="55"/>
  <c r="I28" i="55"/>
  <c r="K28" i="55"/>
  <c r="I27" i="55"/>
  <c r="K27" i="55"/>
  <c r="I26" i="55"/>
  <c r="K26" i="55"/>
  <c r="I25" i="55"/>
  <c r="K25" i="55"/>
  <c r="I24" i="55"/>
  <c r="K24" i="55"/>
  <c r="I23" i="55"/>
  <c r="K23" i="55"/>
  <c r="I22" i="55"/>
  <c r="K22" i="55"/>
  <c r="I21" i="55"/>
  <c r="K21" i="55"/>
  <c r="I20" i="55"/>
  <c r="K20" i="55"/>
  <c r="I19" i="55"/>
  <c r="K19" i="55"/>
  <c r="I18" i="55"/>
  <c r="K18" i="55"/>
  <c r="I17" i="55"/>
  <c r="K17" i="55"/>
  <c r="I16" i="55"/>
  <c r="K16" i="55"/>
  <c r="I15" i="55"/>
  <c r="K15" i="55"/>
  <c r="I14" i="55"/>
  <c r="K14" i="55"/>
  <c r="I13" i="55"/>
  <c r="K13" i="55"/>
  <c r="I12" i="55"/>
  <c r="K12" i="55"/>
  <c r="H11" i="55"/>
  <c r="I10" i="55"/>
  <c r="K10" i="55" s="1"/>
  <c r="I9" i="55"/>
  <c r="K9" i="55"/>
  <c r="I8" i="55"/>
  <c r="K8" i="55" s="1"/>
  <c r="I7" i="55"/>
  <c r="K7" i="55"/>
  <c r="I6" i="55"/>
  <c r="K6" i="55" s="1"/>
  <c r="C258" i="56"/>
  <c r="I87" i="56"/>
  <c r="K87" i="56"/>
  <c r="F132" i="55"/>
  <c r="H146" i="55"/>
  <c r="I11" i="55"/>
  <c r="K11" i="55" s="1"/>
  <c r="C257" i="56"/>
  <c r="D260" i="56"/>
  <c r="I26" i="56"/>
  <c r="K26" i="56"/>
  <c r="I39" i="56"/>
  <c r="K39" i="56" s="1"/>
  <c r="I80" i="56"/>
  <c r="K80" i="56" s="1"/>
  <c r="I97" i="55"/>
  <c r="K97" i="55" s="1"/>
  <c r="F146" i="55"/>
  <c r="I132" i="55"/>
  <c r="K132" i="55"/>
  <c r="C259" i="56"/>
  <c r="C260" i="56"/>
  <c r="H258" i="56"/>
  <c r="C254" i="56"/>
  <c r="I253" i="56"/>
  <c r="K253" i="56"/>
  <c r="U161" i="50"/>
  <c r="X152" i="50"/>
  <c r="X161" i="50"/>
  <c r="J170" i="50"/>
  <c r="J171" i="50" s="1"/>
  <c r="J173" i="50" s="1"/>
  <c r="E165" i="50"/>
  <c r="E170" i="50"/>
  <c r="T161" i="50"/>
  <c r="V157" i="50"/>
  <c r="P157" i="50"/>
  <c r="W155" i="50"/>
  <c r="W161" i="50" s="1"/>
  <c r="V155" i="50"/>
  <c r="S152" i="50"/>
  <c r="S161" i="50"/>
  <c r="R152" i="50"/>
  <c r="R161" i="50" s="1"/>
  <c r="Q152" i="50"/>
  <c r="Q161" i="50"/>
  <c r="P152" i="50"/>
  <c r="P161" i="50" s="1"/>
  <c r="O152" i="50"/>
  <c r="O161" i="50"/>
  <c r="N152" i="50"/>
  <c r="N161" i="50"/>
  <c r="M152" i="50"/>
  <c r="M161" i="50"/>
  <c r="L152" i="50"/>
  <c r="L161" i="50"/>
  <c r="K152" i="50"/>
  <c r="K157" i="50"/>
  <c r="J152" i="50"/>
  <c r="J157" i="50"/>
  <c r="I152" i="50"/>
  <c r="I157" i="50"/>
  <c r="H152" i="50"/>
  <c r="H157" i="50"/>
  <c r="G152" i="50"/>
  <c r="F152" i="50"/>
  <c r="E152" i="50"/>
  <c r="D152" i="50"/>
  <c r="Y145" i="50"/>
  <c r="Y148" i="50"/>
  <c r="V152" i="50"/>
  <c r="V161" i="50" s="1"/>
  <c r="Y151" i="50"/>
  <c r="F170" i="50"/>
  <c r="C104" i="50"/>
  <c r="J283" i="50"/>
  <c r="E276" i="50"/>
  <c r="J276" i="50"/>
  <c r="J277" i="50"/>
  <c r="J279" i="50"/>
  <c r="E260" i="50"/>
  <c r="J260" i="50"/>
  <c r="J261" i="50"/>
  <c r="J263" i="50"/>
  <c r="J247" i="50"/>
  <c r="J248" i="50" s="1"/>
  <c r="J250" i="50" s="1"/>
  <c r="E242" i="50"/>
  <c r="E247" i="50"/>
  <c r="F247" i="50" s="1"/>
  <c r="M229" i="50"/>
  <c r="L229" i="50"/>
  <c r="K229" i="50"/>
  <c r="J229" i="50"/>
  <c r="I229" i="50"/>
  <c r="H229" i="50"/>
  <c r="G229" i="50"/>
  <c r="F229" i="50"/>
  <c r="E229" i="50"/>
  <c r="D229" i="50"/>
  <c r="J205" i="50"/>
  <c r="E201" i="50"/>
  <c r="J198" i="50"/>
  <c r="J199" i="50"/>
  <c r="J201" i="50"/>
  <c r="E185" i="50"/>
  <c r="J182" i="50"/>
  <c r="J183" i="50"/>
  <c r="J185" i="50"/>
  <c r="D104" i="50"/>
  <c r="F104" i="50"/>
  <c r="I113" i="51"/>
  <c r="E104" i="50"/>
  <c r="I104" i="50"/>
  <c r="G104" i="50"/>
  <c r="F104" i="48"/>
  <c r="C104" i="48"/>
  <c r="D104" i="48"/>
  <c r="E104" i="48"/>
  <c r="G104" i="48"/>
  <c r="I104" i="48"/>
  <c r="E105" i="46"/>
  <c r="F105" i="46"/>
  <c r="D105" i="46"/>
  <c r="G105" i="46"/>
  <c r="I105" i="46"/>
  <c r="C104" i="45"/>
  <c r="E104" i="45"/>
  <c r="F104" i="45"/>
  <c r="D104" i="45"/>
  <c r="I104" i="45"/>
  <c r="G104" i="45"/>
  <c r="E90" i="43"/>
  <c r="C89" i="43"/>
  <c r="H206" i="67"/>
  <c r="C207" i="67"/>
  <c r="I201" i="67"/>
  <c r="K201" i="67" s="1"/>
  <c r="I77" i="78"/>
  <c r="C24" i="80"/>
  <c r="C22" i="80"/>
  <c r="C6" i="78"/>
  <c r="C23" i="80"/>
  <c r="C15" i="80"/>
  <c r="H7" i="73"/>
  <c r="C13" i="80"/>
  <c r="H8" i="73"/>
  <c r="C25" i="80"/>
  <c r="H80" i="73"/>
  <c r="H27" i="73"/>
  <c r="C31" i="80"/>
  <c r="C25" i="78"/>
  <c r="H54" i="73"/>
  <c r="C11" i="78"/>
  <c r="H96" i="73"/>
  <c r="H70" i="73"/>
  <c r="H71" i="73"/>
  <c r="H56" i="73"/>
  <c r="C15" i="78"/>
  <c r="C11" i="80"/>
  <c r="H72" i="73"/>
  <c r="H60" i="73"/>
  <c r="C20" i="80"/>
  <c r="I74" i="80"/>
  <c r="C10" i="80"/>
  <c r="C23" i="78"/>
  <c r="C27" i="78"/>
  <c r="C20" i="78"/>
  <c r="H33" i="73"/>
  <c r="C32" i="78"/>
  <c r="H55" i="73"/>
  <c r="C12" i="78"/>
  <c r="C27" i="80"/>
  <c r="H19" i="73"/>
  <c r="C29" i="78"/>
  <c r="C29" i="80"/>
  <c r="C7" i="80"/>
  <c r="H79" i="73"/>
  <c r="C21" i="78"/>
  <c r="H81" i="73"/>
  <c r="H13" i="73"/>
  <c r="H20" i="73"/>
  <c r="C30" i="80"/>
  <c r="H12" i="73"/>
  <c r="H57" i="73"/>
  <c r="C12" i="80"/>
  <c r="C21" i="80"/>
  <c r="C7" i="78"/>
  <c r="H26" i="73"/>
  <c r="H61" i="73"/>
  <c r="C13" i="78"/>
  <c r="C24" i="78"/>
  <c r="H28" i="73"/>
  <c r="C10" i="78"/>
  <c r="H63" i="73"/>
  <c r="C6" i="80"/>
  <c r="K257" i="56" l="1"/>
  <c r="K146" i="55"/>
  <c r="L34" i="55"/>
  <c r="Z161" i="50"/>
  <c r="F134" i="57"/>
  <c r="I140" i="57"/>
  <c r="K140" i="57" s="1"/>
  <c r="I89" i="49"/>
  <c r="I92" i="49" s="1"/>
  <c r="I88" i="53"/>
  <c r="I85" i="53"/>
  <c r="I146" i="55"/>
  <c r="G146" i="55"/>
  <c r="H42" i="67"/>
  <c r="I42" i="67" s="1"/>
  <c r="K42" i="67" s="1"/>
  <c r="I40" i="67"/>
  <c r="K207" i="58"/>
  <c r="I78" i="51"/>
  <c r="G89" i="51"/>
  <c r="G91" i="51" s="1"/>
  <c r="G85" i="51"/>
  <c r="I77" i="49"/>
  <c r="I90" i="49" s="1"/>
  <c r="G90" i="49"/>
  <c r="J16" i="77"/>
  <c r="J18" i="77" s="1"/>
  <c r="G254" i="56"/>
  <c r="F204" i="58"/>
  <c r="K148" i="64"/>
  <c r="K150" i="64" s="1"/>
  <c r="I148" i="64"/>
  <c r="H198" i="63" s="1"/>
  <c r="I11" i="66"/>
  <c r="H148" i="66"/>
  <c r="I137" i="68"/>
  <c r="K137" i="68" s="1"/>
  <c r="G149" i="68"/>
  <c r="I64" i="43"/>
  <c r="G87" i="43"/>
  <c r="G89" i="43" s="1"/>
  <c r="G83" i="43"/>
  <c r="C210" i="63"/>
  <c r="G204" i="63"/>
  <c r="K7" i="68"/>
  <c r="M32" i="68" s="1"/>
  <c r="I137" i="71"/>
  <c r="K137" i="71" s="1"/>
  <c r="G149" i="71"/>
  <c r="K208" i="63"/>
  <c r="F202" i="67"/>
  <c r="K249" i="69"/>
  <c r="K207" i="63"/>
  <c r="F135" i="68"/>
  <c r="I141" i="68"/>
  <c r="K141" i="68" s="1"/>
  <c r="K7" i="69"/>
  <c r="K213" i="69" s="1"/>
  <c r="K214" i="70"/>
  <c r="G92" i="49"/>
  <c r="I10" i="44"/>
  <c r="G85" i="44"/>
  <c r="G88" i="44"/>
  <c r="G91" i="44" s="1"/>
  <c r="I134" i="66"/>
  <c r="K134" i="66" s="1"/>
  <c r="I11" i="71"/>
  <c r="H149" i="71"/>
  <c r="H204" i="70" s="1"/>
  <c r="K6" i="70"/>
  <c r="F210" i="70"/>
  <c r="I87" i="70"/>
  <c r="K87" i="70" s="1"/>
  <c r="K249" i="70"/>
  <c r="I91" i="47"/>
  <c r="I86" i="43"/>
  <c r="I89" i="43" s="1"/>
  <c r="I83" i="43"/>
  <c r="I87" i="43"/>
  <c r="K28" i="42"/>
  <c r="G104" i="42"/>
  <c r="G86" i="49"/>
  <c r="I89" i="51"/>
  <c r="I91" i="51" s="1"/>
  <c r="I90" i="51"/>
  <c r="I89" i="53"/>
  <c r="I6" i="52"/>
  <c r="G105" i="52"/>
  <c r="I80" i="53"/>
  <c r="I90" i="53" s="1"/>
  <c r="G85" i="53"/>
  <c r="F91" i="47"/>
  <c r="I85" i="51"/>
  <c r="G90" i="53"/>
  <c r="G91" i="53" s="1"/>
  <c r="G100" i="77"/>
  <c r="I55" i="77"/>
  <c r="I100" i="77" s="1"/>
  <c r="I101" i="77"/>
  <c r="G10" i="74"/>
  <c r="H20" i="74" s="1"/>
  <c r="B112" i="74"/>
  <c r="J37" i="77"/>
  <c r="J39" i="77" s="1"/>
  <c r="H96" i="74"/>
  <c r="H33" i="74"/>
  <c r="H97" i="74"/>
  <c r="J7" i="77"/>
  <c r="J9" i="77" s="1"/>
  <c r="E112" i="74"/>
  <c r="E114" i="74" s="1"/>
  <c r="H19" i="74"/>
  <c r="H34" i="74"/>
  <c r="C99" i="77"/>
  <c r="C102" i="77" s="1"/>
  <c r="D177" i="73"/>
  <c r="D181" i="73" s="1"/>
  <c r="D183" i="73" s="1"/>
  <c r="F183" i="73"/>
  <c r="F177" i="73"/>
  <c r="F181" i="73" s="1"/>
  <c r="O12" i="73"/>
  <c r="O11" i="73" s="1"/>
  <c r="I112" i="72"/>
  <c r="I111" i="72"/>
  <c r="P2" i="73"/>
  <c r="P3" i="73" s="1"/>
  <c r="P4" i="73" s="1"/>
  <c r="P7" i="73"/>
  <c r="P8" i="73" s="1"/>
  <c r="Q8" i="73" s="1"/>
  <c r="C8" i="81"/>
  <c r="C14" i="81" s="1"/>
  <c r="H76" i="73"/>
  <c r="L66" i="73"/>
  <c r="E76" i="78"/>
  <c r="I67" i="78"/>
  <c r="H132" i="73" s="1"/>
  <c r="I60" i="78"/>
  <c r="J92" i="76"/>
  <c r="J93" i="76" s="1"/>
  <c r="J68" i="76"/>
  <c r="J69" i="76" s="1"/>
  <c r="J38" i="76"/>
  <c r="J40" i="76" s="1"/>
  <c r="L76" i="76"/>
  <c r="H182" i="73"/>
  <c r="H183" i="73" s="1"/>
  <c r="L182" i="73"/>
  <c r="J17" i="72"/>
  <c r="J19" i="72" s="1"/>
  <c r="J99" i="72"/>
  <c r="J101" i="72" s="1"/>
  <c r="J18" i="76"/>
  <c r="J20" i="76" s="1"/>
  <c r="L139" i="73"/>
  <c r="L142" i="73" s="1"/>
  <c r="E27" i="78"/>
  <c r="C52" i="78" s="1"/>
  <c r="I52" i="78" s="1"/>
  <c r="H115" i="73" s="1"/>
  <c r="H103" i="76"/>
  <c r="L100" i="73"/>
  <c r="D103" i="76"/>
  <c r="C96" i="77"/>
  <c r="E103" i="77" s="1"/>
  <c r="D35" i="78"/>
  <c r="C56" i="76"/>
  <c r="G56" i="76" s="1"/>
  <c r="I56" i="76" s="1"/>
  <c r="G55" i="76"/>
  <c r="J7" i="76"/>
  <c r="J9" i="76" s="1"/>
  <c r="J44" i="76"/>
  <c r="J46" i="76" s="1"/>
  <c r="D42" i="78"/>
  <c r="D59" i="78" s="1"/>
  <c r="D76" i="78" s="1"/>
  <c r="J103" i="72"/>
  <c r="J105" i="72" s="1"/>
  <c r="N169" i="73"/>
  <c r="L16" i="73"/>
  <c r="I42" i="77"/>
  <c r="J42" i="77" s="1"/>
  <c r="J44" i="77" s="1"/>
  <c r="G96" i="77"/>
  <c r="G99" i="77"/>
  <c r="G114" i="72"/>
  <c r="G102" i="76"/>
  <c r="G100" i="76"/>
  <c r="I13" i="76"/>
  <c r="J13" i="76" s="1"/>
  <c r="I22" i="72"/>
  <c r="J32" i="72" s="1"/>
  <c r="E29" i="78"/>
  <c r="E13" i="78"/>
  <c r="C59" i="78" s="1"/>
  <c r="E15" i="78"/>
  <c r="C49" i="78" s="1"/>
  <c r="I49" i="78" s="1"/>
  <c r="E24" i="78"/>
  <c r="C69" i="78" s="1"/>
  <c r="I69" i="78" s="1"/>
  <c r="H134" i="73" s="1"/>
  <c r="H64" i="73"/>
  <c r="E23" i="80"/>
  <c r="C65" i="80" s="1"/>
  <c r="E27" i="80"/>
  <c r="E11" i="80"/>
  <c r="C47" i="80" s="1"/>
  <c r="I47" i="80" s="1"/>
  <c r="E25" i="80"/>
  <c r="C50" i="80" s="1"/>
  <c r="I50" i="80" s="1"/>
  <c r="H98" i="73"/>
  <c r="N182" i="73" s="1"/>
  <c r="E31" i="78"/>
  <c r="E12" i="78"/>
  <c r="C58" i="78" s="1"/>
  <c r="E11" i="78"/>
  <c r="C48" i="78" s="1"/>
  <c r="I48" i="78" s="1"/>
  <c r="L29" i="73"/>
  <c r="E25" i="78"/>
  <c r="C66" i="78" s="1"/>
  <c r="I66" i="78" s="1"/>
  <c r="H135" i="73" s="1"/>
  <c r="E6" i="80"/>
  <c r="C18" i="80"/>
  <c r="E13" i="80"/>
  <c r="C56" i="80" s="1"/>
  <c r="I56" i="80" s="1"/>
  <c r="E21" i="80"/>
  <c r="C49" i="80" s="1"/>
  <c r="I49" i="80" s="1"/>
  <c r="E30" i="80"/>
  <c r="E31" i="80"/>
  <c r="C38" i="80" s="1"/>
  <c r="E7" i="80"/>
  <c r="C45" i="80" s="1"/>
  <c r="I45" i="80" s="1"/>
  <c r="E23" i="78"/>
  <c r="I53" i="78"/>
  <c r="H116" i="73" s="1"/>
  <c r="C34" i="78"/>
  <c r="E34" i="78" s="1"/>
  <c r="E20" i="78"/>
  <c r="C50" i="78" s="1"/>
  <c r="I50" i="78" s="1"/>
  <c r="H121" i="73" s="1"/>
  <c r="E33" i="78"/>
  <c r="H33" i="78" s="1"/>
  <c r="H9" i="73"/>
  <c r="P9" i="73" s="1"/>
  <c r="P10" i="73" s="1"/>
  <c r="P11" i="73" s="1"/>
  <c r="E22" i="80"/>
  <c r="E15" i="80"/>
  <c r="C18" i="78"/>
  <c r="E6" i="78"/>
  <c r="E10" i="78"/>
  <c r="C47" i="78" s="1"/>
  <c r="I47" i="78" s="1"/>
  <c r="H119" i="73" s="1"/>
  <c r="E29" i="80"/>
  <c r="E10" i="80"/>
  <c r="C46" i="80" s="1"/>
  <c r="I46" i="80" s="1"/>
  <c r="E20" i="80"/>
  <c r="C48" i="80" s="1"/>
  <c r="I48" i="80" s="1"/>
  <c r="C32" i="80"/>
  <c r="E32" i="80" s="1"/>
  <c r="E24" i="80"/>
  <c r="E12" i="80"/>
  <c r="C55" i="80" s="1"/>
  <c r="H58" i="73"/>
  <c r="P54" i="73" s="1"/>
  <c r="H83" i="73"/>
  <c r="E32" i="78"/>
  <c r="E21" i="78"/>
  <c r="C51" i="78" s="1"/>
  <c r="I51" i="78" s="1"/>
  <c r="H122" i="73" s="1"/>
  <c r="E7" i="78"/>
  <c r="C46" i="78" s="1"/>
  <c r="I46" i="78" s="1"/>
  <c r="H118" i="73" s="1"/>
  <c r="H29" i="73"/>
  <c r="H21" i="73"/>
  <c r="H14" i="73"/>
  <c r="P14" i="73" s="1"/>
  <c r="E26" i="78"/>
  <c r="C65" i="78" s="1"/>
  <c r="E62" i="80"/>
  <c r="I62" i="80" s="1"/>
  <c r="I57" i="80"/>
  <c r="I102" i="76"/>
  <c r="H146" i="73"/>
  <c r="C17" i="81" l="1"/>
  <c r="C19" i="81" s="1"/>
  <c r="I204" i="70"/>
  <c r="K204" i="70" s="1"/>
  <c r="K215" i="70" s="1"/>
  <c r="H210" i="70"/>
  <c r="H248" i="56"/>
  <c r="I149" i="55"/>
  <c r="I150" i="55" s="1"/>
  <c r="J34" i="52"/>
  <c r="I105" i="52"/>
  <c r="I149" i="71"/>
  <c r="K11" i="71"/>
  <c r="G102" i="77"/>
  <c r="C21" i="81"/>
  <c r="J51" i="77"/>
  <c r="J53" i="77" s="1"/>
  <c r="G112" i="74"/>
  <c r="G114" i="74" s="1"/>
  <c r="I210" i="70"/>
  <c r="I135" i="68"/>
  <c r="F149" i="68"/>
  <c r="I198" i="63"/>
  <c r="H204" i="63"/>
  <c r="K40" i="67"/>
  <c r="I91" i="53"/>
  <c r="I134" i="57"/>
  <c r="F148" i="57"/>
  <c r="K11" i="66"/>
  <c r="I148" i="66"/>
  <c r="H196" i="67" s="1"/>
  <c r="L23" i="73"/>
  <c r="O16" i="73"/>
  <c r="O15" i="73" s="1"/>
  <c r="I88" i="44"/>
  <c r="I91" i="44" s="1"/>
  <c r="I85" i="44"/>
  <c r="K213" i="70"/>
  <c r="K216" i="70" s="1"/>
  <c r="K210" i="70"/>
  <c r="I86" i="49"/>
  <c r="J109" i="72"/>
  <c r="J111" i="72" s="1"/>
  <c r="P15" i="73"/>
  <c r="P16" i="73" s="1"/>
  <c r="P21" i="73"/>
  <c r="P22" i="73" s="1"/>
  <c r="P23" i="73" s="1"/>
  <c r="O21" i="73"/>
  <c r="P5" i="73"/>
  <c r="I114" i="72"/>
  <c r="J34" i="72"/>
  <c r="L102" i="73"/>
  <c r="C40" i="78"/>
  <c r="I40" i="78" s="1"/>
  <c r="C97" i="76"/>
  <c r="E104" i="76" s="1"/>
  <c r="H120" i="73"/>
  <c r="C101" i="76"/>
  <c r="C103" i="76" s="1"/>
  <c r="I100" i="76"/>
  <c r="I96" i="77"/>
  <c r="I99" i="77"/>
  <c r="I102" i="77" s="1"/>
  <c r="C62" i="78"/>
  <c r="I55" i="76"/>
  <c r="J49" i="76" s="1"/>
  <c r="G101" i="76"/>
  <c r="G103" i="76" s="1"/>
  <c r="G97" i="76"/>
  <c r="I42" i="78"/>
  <c r="I59" i="78"/>
  <c r="H127" i="73" s="1"/>
  <c r="L31" i="73"/>
  <c r="L35" i="73" s="1"/>
  <c r="J15" i="76"/>
  <c r="C70" i="78"/>
  <c r="I65" i="78"/>
  <c r="C67" i="80"/>
  <c r="I65" i="80"/>
  <c r="I67" i="80" s="1"/>
  <c r="H16" i="73"/>
  <c r="O18" i="73" s="1"/>
  <c r="O19" i="73" s="1"/>
  <c r="I58" i="78"/>
  <c r="E73" i="80"/>
  <c r="I55" i="80"/>
  <c r="I59" i="80" s="1"/>
  <c r="C59" i="80"/>
  <c r="E18" i="78"/>
  <c r="E35" i="78" s="1"/>
  <c r="C35" i="78"/>
  <c r="I38" i="80"/>
  <c r="I51" i="80" s="1"/>
  <c r="C51" i="80"/>
  <c r="E18" i="80"/>
  <c r="C33" i="80"/>
  <c r="H66" i="73"/>
  <c r="M32" i="66" l="1"/>
  <c r="K148" i="66"/>
  <c r="K150" i="66" s="1"/>
  <c r="K149" i="71"/>
  <c r="K151" i="71" s="1"/>
  <c r="M32" i="71"/>
  <c r="K205" i="67"/>
  <c r="K135" i="68"/>
  <c r="K149" i="68" s="1"/>
  <c r="K151" i="68" s="1"/>
  <c r="I149" i="68"/>
  <c r="H204" i="69" s="1"/>
  <c r="I248" i="56"/>
  <c r="H254" i="56"/>
  <c r="K134" i="57"/>
  <c r="K148" i="57" s="1"/>
  <c r="I148" i="57"/>
  <c r="H198" i="58" s="1"/>
  <c r="I196" i="67"/>
  <c r="H202" i="67"/>
  <c r="K198" i="63"/>
  <c r="I204" i="63"/>
  <c r="H23" i="73"/>
  <c r="H31" i="73" s="1"/>
  <c r="P32" i="73" s="1"/>
  <c r="H114" i="73"/>
  <c r="I54" i="78"/>
  <c r="J51" i="76"/>
  <c r="C54" i="78"/>
  <c r="C72" i="78" s="1"/>
  <c r="C76" i="78" s="1"/>
  <c r="I101" i="76"/>
  <c r="I103" i="76" s="1"/>
  <c r="I97" i="76"/>
  <c r="C69" i="80"/>
  <c r="C73" i="80" s="1"/>
  <c r="I69" i="80"/>
  <c r="I73" i="80" s="1"/>
  <c r="I75" i="80" s="1"/>
  <c r="H136" i="73"/>
  <c r="H137" i="73" s="1"/>
  <c r="I70" i="78"/>
  <c r="I62" i="78"/>
  <c r="H126" i="73"/>
  <c r="H129" i="73" s="1"/>
  <c r="H111" i="73"/>
  <c r="I204" i="69" l="1"/>
  <c r="H210" i="69"/>
  <c r="I198" i="58"/>
  <c r="H204" i="58"/>
  <c r="K204" i="63"/>
  <c r="K209" i="63"/>
  <c r="K210" i="63" s="1"/>
  <c r="K196" i="67"/>
  <c r="I202" i="67"/>
  <c r="K248" i="56"/>
  <c r="I254" i="56"/>
  <c r="H35" i="73"/>
  <c r="P35" i="73" s="1"/>
  <c r="P36" i="73" s="1"/>
  <c r="P37" i="73" s="1"/>
  <c r="H123" i="73"/>
  <c r="H139" i="73" s="1"/>
  <c r="H142" i="73" s="1"/>
  <c r="P111" i="73"/>
  <c r="I72" i="78"/>
  <c r="I76" i="78" s="1"/>
  <c r="I78" i="78" s="1"/>
  <c r="K207" i="67" l="1"/>
  <c r="K208" i="67" s="1"/>
  <c r="K202" i="67"/>
  <c r="K198" i="58"/>
  <c r="I204" i="58"/>
  <c r="K259" i="56"/>
  <c r="K260" i="56" s="1"/>
  <c r="K254" i="56"/>
  <c r="K204" i="69"/>
  <c r="I210" i="69"/>
  <c r="L179" i="73"/>
  <c r="L181" i="73" s="1"/>
  <c r="L183" i="73" s="1"/>
  <c r="N175" i="73"/>
  <c r="N177" i="73" s="1"/>
  <c r="H85" i="73"/>
  <c r="H100" i="73" s="1"/>
  <c r="H102" i="73" s="1"/>
  <c r="K215" i="69" l="1"/>
  <c r="K216" i="69" s="1"/>
  <c r="K210" i="69"/>
  <c r="K204" i="58"/>
  <c r="K209" i="58"/>
  <c r="K210" i="58" s="1"/>
  <c r="N179" i="73"/>
  <c r="N181" i="73" l="1"/>
  <c r="N183" i="7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D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E5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F5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C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G5" authorId="0" shapeId="0" xr:uid="{00000000-0006-0000-0C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H5" authorId="0" shapeId="0" xr:uid="{00000000-0006-0000-0C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G5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H5" authorId="0" shapeId="0" xr:uid="{00000000-0006-0000-0D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sales leaseback profit.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E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G5" authorId="0" shapeId="0" xr:uid="{00000000-0006-0000-0E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H5" authorId="0" shapeId="0" xr:uid="{00000000-0006-0000-0E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F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G5" authorId="0" shapeId="0" xr:uid="{00000000-0006-0000-0F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H5" authorId="0" shapeId="0" xr:uid="{00000000-0006-0000-0F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sales leaseback profit.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10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G5" authorId="0" shapeId="0" xr:uid="{00000000-0006-0000-10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H5" authorId="0" shapeId="0" xr:uid="{00000000-0006-0000-10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11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G5" authorId="0" shapeId="0" xr:uid="{00000000-0006-0000-11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H5" authorId="0" shapeId="0" xr:uid="{00000000-0006-0000-11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sales leaseback profit.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12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G5" authorId="0" shapeId="0" xr:uid="{00000000-0006-0000-12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H5" authorId="0" shapeId="0" xr:uid="{00000000-0006-0000-12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13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G5" authorId="0" shapeId="0" xr:uid="{00000000-0006-0000-13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H5" authorId="0" shapeId="0" xr:uid="{00000000-0006-0000-13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eliminate interco profit &amp; zero out gray inventory.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Erica Higgins</author>
  </authors>
  <commentList>
    <comment ref="T153" authorId="0" shapeId="0" xr:uid="{00000000-0006-0000-1600-000001000000}">
      <text>
        <r>
          <rPr>
            <b/>
            <sz val="9"/>
            <color indexed="81"/>
            <rFont val="Tahoma"/>
            <family val="2"/>
          </rPr>
          <t>Erica Higgins:</t>
        </r>
        <r>
          <rPr>
            <sz val="9"/>
            <color indexed="81"/>
            <rFont val="Tahoma"/>
            <family val="2"/>
          </rPr>
          <t xml:space="preserve">
Accrued</t>
        </r>
      </text>
    </comment>
    <comment ref="U153" authorId="0" shapeId="0" xr:uid="{00000000-0006-0000-1600-000002000000}">
      <text>
        <r>
          <rPr>
            <b/>
            <sz val="9"/>
            <color indexed="81"/>
            <rFont val="Tahoma"/>
            <family val="2"/>
          </rPr>
          <t>Erica Higgins:</t>
        </r>
        <r>
          <rPr>
            <sz val="9"/>
            <color indexed="81"/>
            <rFont val="Tahoma"/>
            <family val="2"/>
          </rPr>
          <t xml:space="preserve">
Accrued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D5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E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F5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eliminate interco profit &amp; zero out gray inventory.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D5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E5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F5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eliminate interco profit &amp; zero out gray inventory.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dbbadmin</author>
  </authors>
  <commentList>
    <comment ref="G3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dbbadmin:</t>
        </r>
        <r>
          <rPr>
            <sz val="9"/>
            <color indexed="81"/>
            <rFont val="Tahoma"/>
            <family val="2"/>
          </rPr>
          <t xml:space="preserve">
LOC can be done net, notes payable gross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dbbadmin</author>
  </authors>
  <commentList>
    <comment ref="G3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dbbadmin:</t>
        </r>
        <r>
          <rPr>
            <sz val="9"/>
            <color indexed="81"/>
            <rFont val="Tahoma"/>
            <family val="2"/>
          </rPr>
          <t xml:space="preserve">
LOC can be done net, notes payable gross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G5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H5" authorId="0" shapeId="0" xr:uid="{00000000-0006-0000-08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9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G5" authorId="0" shapeId="0" xr:uid="{00000000-0006-0000-09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H5" authorId="0" shapeId="0" xr:uid="{00000000-0006-0000-09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sales leaseback profit.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A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2X direct labor related to misc, R&amp;D, &amp; admin.
</t>
        </r>
      </text>
    </comment>
    <comment ref="G5" authorId="0" shapeId="0" xr:uid="{00000000-0006-0000-0A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OH.</t>
        </r>
      </text>
    </comment>
    <comment ref="H5" authorId="0" shapeId="0" xr:uid="{00000000-0006-0000-0A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intercompany transfer of assets.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Albrecht</author>
  </authors>
  <commentList>
    <comment ref="F5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DPI investment in 2X &amp; DPA.
</t>
        </r>
      </text>
    </comment>
    <comment ref="G5" authorId="0" shapeId="0" xr:uid="{00000000-0006-0000-0B00-000002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zero out interco AR &amp; AP.
</t>
        </r>
      </text>
    </comment>
    <comment ref="H5" authorId="0" shapeId="0" xr:uid="{00000000-0006-0000-0B00-000003000000}">
      <text>
        <r>
          <rPr>
            <b/>
            <sz val="8"/>
            <color indexed="81"/>
            <rFont val="Tahoma"/>
            <family val="2"/>
          </rPr>
          <t>Janet:</t>
        </r>
        <r>
          <rPr>
            <sz val="8"/>
            <color indexed="81"/>
            <rFont val="Tahoma"/>
            <family val="2"/>
          </rPr>
          <t xml:space="preserve">
To reclass sales leaseback profit.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 P&amp;L - Comparison 3 mos!$A$5:$D$110" type="102" refreshedVersion="5" minRefreshableVersion="5">
    <extLst>
      <ext xmlns:x15="http://schemas.microsoft.com/office/spreadsheetml/2010/11/main" uri="{DE250136-89BD-433C-8126-D09CA5730AF9}">
        <x15:connection id="Range-af8920cc-f3e8-403e-8cde-59fd467ac459" autoDelete="1">
          <x15:rangePr sourceName="_xlcn.WorksheetConnection_PLComparison3mosA5D110"/>
        </x15:connection>
      </ext>
    </extLst>
  </connection>
</connections>
</file>

<file path=xl/sharedStrings.xml><?xml version="1.0" encoding="utf-8"?>
<sst xmlns="http://schemas.openxmlformats.org/spreadsheetml/2006/main" count="12184" uniqueCount="1611">
  <si>
    <t>DPI</t>
  </si>
  <si>
    <t>CONSOLIDATED</t>
  </si>
  <si>
    <t>2X</t>
  </si>
  <si>
    <t>DPA</t>
  </si>
  <si>
    <t>ASSETS</t>
  </si>
  <si>
    <t>Petty Cash Fund</t>
  </si>
  <si>
    <t>Cash Box Call Center</t>
  </si>
  <si>
    <t>Rabobank Operating - 7057</t>
  </si>
  <si>
    <t>Credit Card Receivable</t>
  </si>
  <si>
    <t>Accounts Receivable - Service</t>
  </si>
  <si>
    <t>Accounts Receivable - Relays</t>
  </si>
  <si>
    <t>AR - Business Phone Sys #17</t>
  </si>
  <si>
    <t>Accounts Receivable- Wholesale</t>
  </si>
  <si>
    <t>AR - Business Services # 18</t>
  </si>
  <si>
    <t>Allowance for doubtful accts</t>
  </si>
  <si>
    <t>Employee Advance</t>
  </si>
  <si>
    <t>Installation Supplies</t>
  </si>
  <si>
    <t>Cable Inventory</t>
  </si>
  <si>
    <t>Misc inventory - Legacy</t>
  </si>
  <si>
    <t>Prepaid expenses</t>
  </si>
  <si>
    <t>Prepaid Corp Income Taxes</t>
  </si>
  <si>
    <t>Non Deployed Fixed Assets - NX</t>
  </si>
  <si>
    <t>Total Current Assets</t>
  </si>
  <si>
    <t>Furniture</t>
  </si>
  <si>
    <t>CPE-Modems</t>
  </si>
  <si>
    <t>Phones</t>
  </si>
  <si>
    <t>Repeaters</t>
  </si>
  <si>
    <t>Miscellaneous Equipment</t>
  </si>
  <si>
    <t>Equipment 2X</t>
  </si>
  <si>
    <t>Computers &amp; Peripherial</t>
  </si>
  <si>
    <t>Gateway</t>
  </si>
  <si>
    <t>Microwave Network</t>
  </si>
  <si>
    <t>Network Infastructure Labor</t>
  </si>
  <si>
    <t>Software</t>
  </si>
  <si>
    <t>Software Labor</t>
  </si>
  <si>
    <t>Vehicles</t>
  </si>
  <si>
    <t>Heliocopter</t>
  </si>
  <si>
    <t>Property</t>
  </si>
  <si>
    <t>Accum Depr-Furniture</t>
  </si>
  <si>
    <t>Accum Depr-Micro Network</t>
  </si>
  <si>
    <t>Network Infrastructure Labor</t>
  </si>
  <si>
    <t>Accum Depr - Heliocopter</t>
  </si>
  <si>
    <t>Accum Depr-CPE Modems</t>
  </si>
  <si>
    <t>Accum Depr - Phones</t>
  </si>
  <si>
    <t>Accum Depr-Repeater</t>
  </si>
  <si>
    <t>Accum Depr - Equipment</t>
  </si>
  <si>
    <t>Accum Depre - 2X Equipment</t>
  </si>
  <si>
    <t>Accum Depr-Computer</t>
  </si>
  <si>
    <t>Accum Depr-Gateway</t>
  </si>
  <si>
    <t>Accum-Depr-Software</t>
  </si>
  <si>
    <t>Accum Depr Software Labor</t>
  </si>
  <si>
    <t>Accum Depr-Vehicles</t>
  </si>
  <si>
    <t>Other Assets</t>
  </si>
  <si>
    <t>Note Receiveable 2X Wireless</t>
  </si>
  <si>
    <t>Note Receivable DP Aviation</t>
  </si>
  <si>
    <t>Leasehold Improvements</t>
  </si>
  <si>
    <t>Deposits</t>
  </si>
  <si>
    <t>Prepaid Property Taxes</t>
  </si>
  <si>
    <t>Patent</t>
  </si>
  <si>
    <t>Accumulated Amort - Patent</t>
  </si>
  <si>
    <t>Capitalized Loan costs</t>
  </si>
  <si>
    <t>Accumulated Amort - Loan Costs</t>
  </si>
  <si>
    <t>Investment in 2X Wireless</t>
  </si>
  <si>
    <t>Investment in DP Aviation</t>
  </si>
  <si>
    <t>Accounts Payable</t>
  </si>
  <si>
    <t>Accrued Expenses</t>
  </si>
  <si>
    <t>Payroll Payable</t>
  </si>
  <si>
    <t>Payroll Tax Payable</t>
  </si>
  <si>
    <t>PTO Payable</t>
  </si>
  <si>
    <t>Sales/Use Tax Payable</t>
  </si>
  <si>
    <t>083 N/P - 2012 Dodge Ram</t>
  </si>
  <si>
    <t>091 L/P - 2X  US Bank</t>
  </si>
  <si>
    <t>095 L/P - JB2 Funding</t>
  </si>
  <si>
    <t>098 L/P - Key Equipment</t>
  </si>
  <si>
    <t>099 L/P - Summit</t>
  </si>
  <si>
    <t>100 L/P - Frame 1</t>
  </si>
  <si>
    <t>101 L/P - CIT</t>
  </si>
  <si>
    <t>102 L/P - Macquarie</t>
  </si>
  <si>
    <t>103 L/P - Element</t>
  </si>
  <si>
    <t>104 L/P - Fame 1 - Leaf</t>
  </si>
  <si>
    <t>106 L/P - EverBank</t>
  </si>
  <si>
    <t>107 L/P - M2</t>
  </si>
  <si>
    <t>108 L/P - Fame 1</t>
  </si>
  <si>
    <t>110 L/P - Western Equipment</t>
  </si>
  <si>
    <t>111 L/P - De Lage Landen</t>
  </si>
  <si>
    <t>112 L/P - Arlington</t>
  </si>
  <si>
    <t>113 N/P - Tacoma#  20098</t>
  </si>
  <si>
    <t>114 L/P - Nec</t>
  </si>
  <si>
    <t>115 N/P - Tacoma 21237</t>
  </si>
  <si>
    <t>116 N/P - Tacoma 20351</t>
  </si>
  <si>
    <t>117 L/P - HP Financial</t>
  </si>
  <si>
    <t>118 L/P - Macquarie</t>
  </si>
  <si>
    <t>119 L/P - Element</t>
  </si>
  <si>
    <t>121 L/P - Banc of Calif</t>
  </si>
  <si>
    <t>122 L/P - Technology Finance</t>
  </si>
  <si>
    <t>Credit Card AmEx 3000</t>
  </si>
  <si>
    <t>Credit Card AMEX 1019</t>
  </si>
  <si>
    <t>Credit Card Home Depot</t>
  </si>
  <si>
    <t>Credit Card United 6664 - 5834</t>
  </si>
  <si>
    <t>Credit Card Chas 5756 Employee</t>
  </si>
  <si>
    <t>Credit Card  AM EX CostCo 1008</t>
  </si>
  <si>
    <t>Credit Card Capital One</t>
  </si>
  <si>
    <t>Capital One</t>
  </si>
  <si>
    <t>Credit CardChase - United 9064</t>
  </si>
  <si>
    <t>123 L/P - HP</t>
  </si>
  <si>
    <t>125 L/P - De Lage Landen</t>
  </si>
  <si>
    <t>126 L/P - Summit</t>
  </si>
  <si>
    <t>127 N/P - East West Bank</t>
  </si>
  <si>
    <t>128 L/P - Technolology Finance</t>
  </si>
  <si>
    <t>129 L/P - Western</t>
  </si>
  <si>
    <t>130 L/P - De Lage Landen</t>
  </si>
  <si>
    <t>131 L/P - Element</t>
  </si>
  <si>
    <t>132 N/P - Corn Ford F350 60511</t>
  </si>
  <si>
    <t>133 N/P - Corn Ford F350 48471</t>
  </si>
  <si>
    <t>134 N/P - CP Tacoma 22948</t>
  </si>
  <si>
    <t>135 N/P - CP Tacoma 23555</t>
  </si>
  <si>
    <t>136 N/P - CP Tacoma 23233</t>
  </si>
  <si>
    <t>138 L/P - US Bank</t>
  </si>
  <si>
    <t>141 N/P - East West Bank - B</t>
  </si>
  <si>
    <t>139 L/P - Western</t>
  </si>
  <si>
    <t>140 L/P - US Bank</t>
  </si>
  <si>
    <t>142 L/P - US Bank Copier</t>
  </si>
  <si>
    <t>143 N/P - Ford F250 76076</t>
  </si>
  <si>
    <t>144 L/P - WISPer</t>
  </si>
  <si>
    <t>145 L/P - EverBank</t>
  </si>
  <si>
    <t>Deferred Revenue</t>
  </si>
  <si>
    <t>Deferred Revenuse Wholesale</t>
  </si>
  <si>
    <t>Deferred Revenue Other</t>
  </si>
  <si>
    <t>Deferred Revenue Comm Impact</t>
  </si>
  <si>
    <t>Deferred Revenue Bus Services</t>
  </si>
  <si>
    <t>Total Current Liabilities</t>
  </si>
  <si>
    <t>Long-Term Liabilities</t>
  </si>
  <si>
    <t>100 L/P - Fame 1</t>
  </si>
  <si>
    <t>113 N/P - Tacoma # 20098</t>
  </si>
  <si>
    <t>125 L/P - De Lage</t>
  </si>
  <si>
    <t>128 L/P - Technology Finance</t>
  </si>
  <si>
    <t>131 L/P -  Element</t>
  </si>
  <si>
    <t>Warrant Liability</t>
  </si>
  <si>
    <t>Retained Earnings</t>
  </si>
  <si>
    <t>Stock</t>
  </si>
  <si>
    <t>Preferred Stock</t>
  </si>
  <si>
    <t>APIC - add. paid in Capital</t>
  </si>
  <si>
    <t>Net Income</t>
  </si>
  <si>
    <t>Retail-Monthly Subscriptions</t>
  </si>
  <si>
    <t>Retail - Other accounts</t>
  </si>
  <si>
    <t>Retail-Set-Up Fees</t>
  </si>
  <si>
    <t>Retail-Other Income</t>
  </si>
  <si>
    <t>Rural Market- Monthly Subscrip</t>
  </si>
  <si>
    <t>Rural Market- Equipment Sales</t>
  </si>
  <si>
    <t>Rural Market-Set Up Fees</t>
  </si>
  <si>
    <t>Rural Market-Other Income</t>
  </si>
  <si>
    <t>Rural Market - T-Mobile</t>
  </si>
  <si>
    <t>Business Sys  - Monthly Subscr</t>
  </si>
  <si>
    <t>Business Phone Services</t>
  </si>
  <si>
    <t>Business Services - SetUp Fee</t>
  </si>
  <si>
    <t>Bus Sys - Phone Charge</t>
  </si>
  <si>
    <t>Business Services - Barter</t>
  </si>
  <si>
    <t>Wholesale-Monthly Subscription</t>
  </si>
  <si>
    <t>Hot Spot - Monthly Subs</t>
  </si>
  <si>
    <t>Customer Refunds</t>
  </si>
  <si>
    <t>Service Credits</t>
  </si>
  <si>
    <t>Other Income</t>
  </si>
  <si>
    <t>Long Distance Income</t>
  </si>
  <si>
    <t>Phone Income</t>
  </si>
  <si>
    <t>Internet Cost</t>
  </si>
  <si>
    <t>Internet Cost - Bus Services</t>
  </si>
  <si>
    <t>VOIP Costs</t>
  </si>
  <si>
    <t>Gateway / RPOP</t>
  </si>
  <si>
    <t>Commissions</t>
  </si>
  <si>
    <t>Sub-Contractors</t>
  </si>
  <si>
    <t>Hardware costs</t>
  </si>
  <si>
    <t>Advertising &amp; Promotion</t>
  </si>
  <si>
    <t>Advertising Barter</t>
  </si>
  <si>
    <t>Amortization</t>
  </si>
  <si>
    <t>Vehicle Repairs</t>
  </si>
  <si>
    <t>Vehicle - Tune up &amp; Oil Change</t>
  </si>
  <si>
    <t>Vehicle - Tires</t>
  </si>
  <si>
    <t>Vehicle Repairs - Misc</t>
  </si>
  <si>
    <t>Vehicle Gasoline - General</t>
  </si>
  <si>
    <t>Vehicle Gasoline - Expansion</t>
  </si>
  <si>
    <t>Vehicle Gas - Installers</t>
  </si>
  <si>
    <t>Bad Debt</t>
  </si>
  <si>
    <t>Bank Charges</t>
  </si>
  <si>
    <t>Credit Card Discounts</t>
  </si>
  <si>
    <t>Outside Services</t>
  </si>
  <si>
    <t>Depreciation</t>
  </si>
  <si>
    <t>Dues &amp; Subscriptions</t>
  </si>
  <si>
    <t>Employee Relations</t>
  </si>
  <si>
    <t>Employee Recruiting/Screening</t>
  </si>
  <si>
    <t>Employee Training</t>
  </si>
  <si>
    <t>Gifts</t>
  </si>
  <si>
    <t>Insurance - Property/Liability</t>
  </si>
  <si>
    <t>Insurance - Vehicle</t>
  </si>
  <si>
    <t>Insurance - Officers</t>
  </si>
  <si>
    <t>Insurance - Medical</t>
  </si>
  <si>
    <t>Insurance- Life</t>
  </si>
  <si>
    <t>Insurance - Workers Comp</t>
  </si>
  <si>
    <t>Interest</t>
  </si>
  <si>
    <t>Cleaning &amp; Janitorial</t>
  </si>
  <si>
    <t>Legal &amp; Accounting</t>
  </si>
  <si>
    <t>Loan/Lease Fees</t>
  </si>
  <si>
    <t>Permits &amp; Licenses</t>
  </si>
  <si>
    <t>Maintenance Expense</t>
  </si>
  <si>
    <t>Meals &amp; Entertainment</t>
  </si>
  <si>
    <t>Office Supplies</t>
  </si>
  <si>
    <t>Payroll Tax IRS</t>
  </si>
  <si>
    <t>Payroll Tax EDD</t>
  </si>
  <si>
    <t>Taxes Paid</t>
  </si>
  <si>
    <t>Sales Tax Paid</t>
  </si>
  <si>
    <t>Property Taxes Paid</t>
  </si>
  <si>
    <t>Postage</t>
  </si>
  <si>
    <t>Shipping &amp; Handling</t>
  </si>
  <si>
    <t>Rent / Lease</t>
  </si>
  <si>
    <t>Rent / Lease Helicopter</t>
  </si>
  <si>
    <t>Equipment Rental</t>
  </si>
  <si>
    <t>Research &amp; Development</t>
  </si>
  <si>
    <t>Operating Supplies</t>
  </si>
  <si>
    <t>Operating Supplies- Cable</t>
  </si>
  <si>
    <t>Breakroom Supplies</t>
  </si>
  <si>
    <t>Cafeteria</t>
  </si>
  <si>
    <t>Security</t>
  </si>
  <si>
    <t>Telephone</t>
  </si>
  <si>
    <t>Telephone - NVW</t>
  </si>
  <si>
    <t>Telephones - Cellular</t>
  </si>
  <si>
    <t>Travel &amp; Lodging</t>
  </si>
  <si>
    <t>Bonus</t>
  </si>
  <si>
    <t>Wages - Network Expansion</t>
  </si>
  <si>
    <t>Wages - R&amp;D</t>
  </si>
  <si>
    <t>Wages - Sales &amp; Marketing</t>
  </si>
  <si>
    <t>Wages - Customer Service</t>
  </si>
  <si>
    <t>Wages - Tech Support</t>
  </si>
  <si>
    <t>Wages - Manufacture</t>
  </si>
  <si>
    <t>Wages - Administrative</t>
  </si>
  <si>
    <t>Wages - Acct/HR</t>
  </si>
  <si>
    <t>Wages - Installers</t>
  </si>
  <si>
    <t>Wages 2X Sales &amp; Production</t>
  </si>
  <si>
    <t>Wages - On Call</t>
  </si>
  <si>
    <t>Wages - Overtime Net Expansion</t>
  </si>
  <si>
    <t>Wages - OT Sales &amp; Marketing</t>
  </si>
  <si>
    <t>Wages - OT Customer Service</t>
  </si>
  <si>
    <t>Wages - Overtime Tech Support</t>
  </si>
  <si>
    <t>Wages - Overtime Manufacturing</t>
  </si>
  <si>
    <t>Wages - Overtime Acct/HR</t>
  </si>
  <si>
    <t>Wages - OT Installers</t>
  </si>
  <si>
    <t>2x Wage overtime</t>
  </si>
  <si>
    <t>2X Labor Capitalization</t>
  </si>
  <si>
    <t>DPI Labor Caplitalization</t>
  </si>
  <si>
    <t>2X Payroll Allocation</t>
  </si>
  <si>
    <t>2X Overhead Allocation</t>
  </si>
  <si>
    <t>DPA Overhead Allocation</t>
  </si>
  <si>
    <t>Per Diem</t>
  </si>
  <si>
    <t>Pension &amp; Profit Sharing</t>
  </si>
  <si>
    <t>Utilities</t>
  </si>
  <si>
    <t>Other expense</t>
  </si>
  <si>
    <t>Vehicle Propane generators</t>
  </si>
  <si>
    <t>Vehicle Registration</t>
  </si>
  <si>
    <t>Cash (Over) Short</t>
  </si>
  <si>
    <t>Repairs &amp; Maintenance</t>
  </si>
  <si>
    <t>Gain / Loss on Sale of Assets</t>
  </si>
  <si>
    <t>146 L/P - WISPer</t>
  </si>
  <si>
    <t>Waste Disposal</t>
  </si>
  <si>
    <t xml:space="preserve"> </t>
  </si>
  <si>
    <t>Accrued self insurance</t>
  </si>
  <si>
    <t>Cash</t>
  </si>
  <si>
    <t>CASH</t>
  </si>
  <si>
    <t>AR</t>
  </si>
  <si>
    <t>PP&amp;E</t>
  </si>
  <si>
    <t>IGNORE</t>
  </si>
  <si>
    <t>PREPAID</t>
  </si>
  <si>
    <t>SOFTWARE</t>
  </si>
  <si>
    <t>INTANGIBLES</t>
  </si>
  <si>
    <t>OTHER ASSETS</t>
  </si>
  <si>
    <t>DEFREV</t>
  </si>
  <si>
    <t>STCAPLEASE.NOTES</t>
  </si>
  <si>
    <t>LTCAPLEASE.NOTES</t>
  </si>
  <si>
    <t>PREFERRED</t>
  </si>
  <si>
    <t>COMMON</t>
  </si>
  <si>
    <t>APIC</t>
  </si>
  <si>
    <t>RE</t>
  </si>
  <si>
    <t>ACCOUNT NAME</t>
  </si>
  <si>
    <t>ACCOUNT TYPE</t>
  </si>
  <si>
    <t>AMT</t>
  </si>
  <si>
    <t>Row Labels</t>
  </si>
  <si>
    <t>Grand Total</t>
  </si>
  <si>
    <t>Sum of AMT</t>
  </si>
  <si>
    <t>TOTAL ASSETS</t>
  </si>
  <si>
    <t>TOTAL LIABILITIES</t>
  </si>
  <si>
    <t>REV</t>
  </si>
  <si>
    <t>COS</t>
  </si>
  <si>
    <t>DEPR &amp; AMORT</t>
  </si>
  <si>
    <t>INTERESTEXP</t>
  </si>
  <si>
    <t>ADVERT</t>
  </si>
  <si>
    <t>G&amp;A</t>
  </si>
  <si>
    <t>General and Administrative</t>
  </si>
  <si>
    <t>Total Operating Expenses</t>
  </si>
  <si>
    <t>Total Other Income (Expense)</t>
  </si>
  <si>
    <t>OPERATING EXPENSES</t>
  </si>
  <si>
    <t>OTHER INCOME (EXPENSE)</t>
  </si>
  <si>
    <t>NET INCOME</t>
  </si>
  <si>
    <t>TAXES</t>
  </si>
  <si>
    <t>Property and Equipment, Net</t>
  </si>
  <si>
    <t>Common Stock</t>
  </si>
  <si>
    <t>Additional Paid-In Capital</t>
  </si>
  <si>
    <t>Accumulated Deficit</t>
  </si>
  <si>
    <t/>
  </si>
  <si>
    <t>10000</t>
  </si>
  <si>
    <t>10050</t>
  </si>
  <si>
    <t>10200</t>
  </si>
  <si>
    <t>10450</t>
  </si>
  <si>
    <t>10475</t>
  </si>
  <si>
    <t>10480</t>
  </si>
  <si>
    <t>10700</t>
  </si>
  <si>
    <t>11000</t>
  </si>
  <si>
    <t>11001</t>
  </si>
  <si>
    <t>11002</t>
  </si>
  <si>
    <t>11100</t>
  </si>
  <si>
    <t>11118</t>
  </si>
  <si>
    <t>11120</t>
  </si>
  <si>
    <t>13000</t>
  </si>
  <si>
    <t>15302</t>
  </si>
  <si>
    <t>15305</t>
  </si>
  <si>
    <t>15401</t>
  </si>
  <si>
    <t>18000</t>
  </si>
  <si>
    <t>18100</t>
  </si>
  <si>
    <t>18400</t>
  </si>
  <si>
    <t>15100</t>
  </si>
  <si>
    <t>15300</t>
  </si>
  <si>
    <t>15310</t>
  </si>
  <si>
    <t>15400</t>
  </si>
  <si>
    <t>15402</t>
  </si>
  <si>
    <t>15410</t>
  </si>
  <si>
    <t>15500</t>
  </si>
  <si>
    <t>15600</t>
  </si>
  <si>
    <t>15600.01</t>
  </si>
  <si>
    <t>15600.02</t>
  </si>
  <si>
    <t>15700</t>
  </si>
  <si>
    <t>15700.01</t>
  </si>
  <si>
    <t>15800</t>
  </si>
  <si>
    <t>16100</t>
  </si>
  <si>
    <t>17100</t>
  </si>
  <si>
    <t>17200</t>
  </si>
  <si>
    <t>17200.01</t>
  </si>
  <si>
    <t>17300</t>
  </si>
  <si>
    <t>17310</t>
  </si>
  <si>
    <t>17400</t>
  </si>
  <si>
    <t>17402</t>
  </si>
  <si>
    <t>17410</t>
  </si>
  <si>
    <t>17500</t>
  </si>
  <si>
    <t>17600</t>
  </si>
  <si>
    <t>17700</t>
  </si>
  <si>
    <t>17700.01</t>
  </si>
  <si>
    <t>17800</t>
  </si>
  <si>
    <t>11250</t>
  </si>
  <si>
    <t>11275</t>
  </si>
  <si>
    <t>15900</t>
  </si>
  <si>
    <t>19000</t>
  </si>
  <si>
    <t>19030</t>
  </si>
  <si>
    <t>19300</t>
  </si>
  <si>
    <t>19350</t>
  </si>
  <si>
    <t>19567</t>
  </si>
  <si>
    <t>19570</t>
  </si>
  <si>
    <t>19600</t>
  </si>
  <si>
    <t>19700</t>
  </si>
  <si>
    <t>20000</t>
  </si>
  <si>
    <t>20100</t>
  </si>
  <si>
    <t>20100.01</t>
  </si>
  <si>
    <t>21000</t>
  </si>
  <si>
    <t>21050</t>
  </si>
  <si>
    <t>21100</t>
  </si>
  <si>
    <t>23100</t>
  </si>
  <si>
    <t>24948</t>
  </si>
  <si>
    <t>24958</t>
  </si>
  <si>
    <t>24962</t>
  </si>
  <si>
    <t>24965</t>
  </si>
  <si>
    <t>24966</t>
  </si>
  <si>
    <t>24967</t>
  </si>
  <si>
    <t>24968</t>
  </si>
  <si>
    <t>24969</t>
  </si>
  <si>
    <t>24970</t>
  </si>
  <si>
    <t>24971</t>
  </si>
  <si>
    <t>24973</t>
  </si>
  <si>
    <t>24974</t>
  </si>
  <si>
    <t>24975</t>
  </si>
  <si>
    <t>24977</t>
  </si>
  <si>
    <t>24978</t>
  </si>
  <si>
    <t>24979</t>
  </si>
  <si>
    <t>24980</t>
  </si>
  <si>
    <t>24981</t>
  </si>
  <si>
    <t>24982</t>
  </si>
  <si>
    <t>24983</t>
  </si>
  <si>
    <t>24984</t>
  </si>
  <si>
    <t>24985</t>
  </si>
  <si>
    <t>24986</t>
  </si>
  <si>
    <t>24988</t>
  </si>
  <si>
    <t>24999</t>
  </si>
  <si>
    <t>25001</t>
  </si>
  <si>
    <t>25001.01</t>
  </si>
  <si>
    <t>25003</t>
  </si>
  <si>
    <t>25005</t>
  </si>
  <si>
    <t>25006</t>
  </si>
  <si>
    <t>25007</t>
  </si>
  <si>
    <t>25008</t>
  </si>
  <si>
    <t>25008.01</t>
  </si>
  <si>
    <t>25012</t>
  </si>
  <si>
    <t>25013</t>
  </si>
  <si>
    <t>25014</t>
  </si>
  <si>
    <t>25015</t>
  </si>
  <si>
    <t>25016</t>
  </si>
  <si>
    <t>25017</t>
  </si>
  <si>
    <t>25018</t>
  </si>
  <si>
    <t>25019</t>
  </si>
  <si>
    <t>25020</t>
  </si>
  <si>
    <t>25021</t>
  </si>
  <si>
    <t>25022</t>
  </si>
  <si>
    <t>25023</t>
  </si>
  <si>
    <t>25024</t>
  </si>
  <si>
    <t>25025</t>
  </si>
  <si>
    <t>25027</t>
  </si>
  <si>
    <t>25028</t>
  </si>
  <si>
    <t>25029</t>
  </si>
  <si>
    <t>25030</t>
  </si>
  <si>
    <t>25031</t>
  </si>
  <si>
    <t>25032</t>
  </si>
  <si>
    <t>25033</t>
  </si>
  <si>
    <t>25034</t>
  </si>
  <si>
    <t>25035</t>
  </si>
  <si>
    <t>26900</t>
  </si>
  <si>
    <t>26910</t>
  </si>
  <si>
    <t>26920</t>
  </si>
  <si>
    <t>26940</t>
  </si>
  <si>
    <t>26951</t>
  </si>
  <si>
    <t>27948</t>
  </si>
  <si>
    <t>27962</t>
  </si>
  <si>
    <t>27965</t>
  </si>
  <si>
    <t>27966</t>
  </si>
  <si>
    <t>27967</t>
  </si>
  <si>
    <t>27968</t>
  </si>
  <si>
    <t>27969</t>
  </si>
  <si>
    <t>27970</t>
  </si>
  <si>
    <t>27971</t>
  </si>
  <si>
    <t>27973</t>
  </si>
  <si>
    <t>27974</t>
  </si>
  <si>
    <t>27975</t>
  </si>
  <si>
    <t>27977</t>
  </si>
  <si>
    <t>27978</t>
  </si>
  <si>
    <t>27979</t>
  </si>
  <si>
    <t>27980</t>
  </si>
  <si>
    <t>27981</t>
  </si>
  <si>
    <t>27982</t>
  </si>
  <si>
    <t>27983</t>
  </si>
  <si>
    <t>27984</t>
  </si>
  <si>
    <t>27985</t>
  </si>
  <si>
    <t>27986</t>
  </si>
  <si>
    <t>27988</t>
  </si>
  <si>
    <t>27999</t>
  </si>
  <si>
    <t>28013</t>
  </si>
  <si>
    <t>28014</t>
  </si>
  <si>
    <t>28015</t>
  </si>
  <si>
    <t>28016</t>
  </si>
  <si>
    <t>28017</t>
  </si>
  <si>
    <t>28018</t>
  </si>
  <si>
    <t>28019</t>
  </si>
  <si>
    <t>28020</t>
  </si>
  <si>
    <t>28021</t>
  </si>
  <si>
    <t>28022</t>
  </si>
  <si>
    <t>28023</t>
  </si>
  <si>
    <t>28024</t>
  </si>
  <si>
    <t>28025</t>
  </si>
  <si>
    <t>28027</t>
  </si>
  <si>
    <t>28028</t>
  </si>
  <si>
    <t>28029</t>
  </si>
  <si>
    <t>28030</t>
  </si>
  <si>
    <t>28031</t>
  </si>
  <si>
    <t>28032</t>
  </si>
  <si>
    <t>28033</t>
  </si>
  <si>
    <t>28034</t>
  </si>
  <si>
    <t>28035</t>
  </si>
  <si>
    <t>29000</t>
  </si>
  <si>
    <t>39005</t>
  </si>
  <si>
    <t>39907</t>
  </si>
  <si>
    <t>39908</t>
  </si>
  <si>
    <t>39910</t>
  </si>
  <si>
    <t>DETAILED BALANCE SHEET</t>
  </si>
  <si>
    <t>CHECK</t>
  </si>
  <si>
    <t>ACCT #</t>
  </si>
  <si>
    <t>ADJ 01</t>
  </si>
  <si>
    <t>ADJ 02</t>
  </si>
  <si>
    <t>ADJ 03</t>
  </si>
  <si>
    <t>40000</t>
  </si>
  <si>
    <t>40001</t>
  </si>
  <si>
    <t>40200</t>
  </si>
  <si>
    <t>40400</t>
  </si>
  <si>
    <t>40600</t>
  </si>
  <si>
    <t>40601</t>
  </si>
  <si>
    <t>40602</t>
  </si>
  <si>
    <t>40603</t>
  </si>
  <si>
    <t>40604</t>
  </si>
  <si>
    <t>40800</t>
  </si>
  <si>
    <t>40800.01</t>
  </si>
  <si>
    <t>40802</t>
  </si>
  <si>
    <t>40804</t>
  </si>
  <si>
    <t>40807</t>
  </si>
  <si>
    <t>41000</t>
  </si>
  <si>
    <t>43000</t>
  </si>
  <si>
    <t>46000</t>
  </si>
  <si>
    <t>46100</t>
  </si>
  <si>
    <t>48200</t>
  </si>
  <si>
    <t>48202</t>
  </si>
  <si>
    <t>48203</t>
  </si>
  <si>
    <t>50000</t>
  </si>
  <si>
    <t>50000.01</t>
  </si>
  <si>
    <t>50201</t>
  </si>
  <si>
    <t>50500</t>
  </si>
  <si>
    <t>63500</t>
  </si>
  <si>
    <t>63800</t>
  </si>
  <si>
    <t>60100</t>
  </si>
  <si>
    <t>60125</t>
  </si>
  <si>
    <t>60500</t>
  </si>
  <si>
    <t>61000</t>
  </si>
  <si>
    <t>61000.01</t>
  </si>
  <si>
    <t>61000.02</t>
  </si>
  <si>
    <t>61000.03</t>
  </si>
  <si>
    <t>61100</t>
  </si>
  <si>
    <t>61100.01</t>
  </si>
  <si>
    <t>61100.02</t>
  </si>
  <si>
    <t>61100.03</t>
  </si>
  <si>
    <t>61200</t>
  </si>
  <si>
    <t>61500.02</t>
  </si>
  <si>
    <t>62000</t>
  </si>
  <si>
    <t>62100</t>
  </si>
  <si>
    <t>62500</t>
  </si>
  <si>
    <t>63700</t>
  </si>
  <si>
    <t>64000.07</t>
  </si>
  <si>
    <t>64500.01</t>
  </si>
  <si>
    <t>65000</t>
  </si>
  <si>
    <t>65100</t>
  </si>
  <si>
    <t>65300</t>
  </si>
  <si>
    <t>66000</t>
  </si>
  <si>
    <t>67000</t>
  </si>
  <si>
    <t>67100</t>
  </si>
  <si>
    <t>67200</t>
  </si>
  <si>
    <t>67300</t>
  </si>
  <si>
    <t>67310</t>
  </si>
  <si>
    <t>67400</t>
  </si>
  <si>
    <t>67500</t>
  </si>
  <si>
    <t>68000</t>
  </si>
  <si>
    <t>68500</t>
  </si>
  <si>
    <t>68550</t>
  </si>
  <si>
    <t>69000</t>
  </si>
  <si>
    <t>70000</t>
  </si>
  <si>
    <t>70500</t>
  </si>
  <si>
    <t>71000</t>
  </si>
  <si>
    <t>72101</t>
  </si>
  <si>
    <t>72201</t>
  </si>
  <si>
    <t>73000</t>
  </si>
  <si>
    <t>73100</t>
  </si>
  <si>
    <t>73200</t>
  </si>
  <si>
    <t>73500</t>
  </si>
  <si>
    <t>73550.01</t>
  </si>
  <si>
    <t>74000</t>
  </si>
  <si>
    <t>74000.01</t>
  </si>
  <si>
    <t>74100</t>
  </si>
  <si>
    <t>74500</t>
  </si>
  <si>
    <t>74600</t>
  </si>
  <si>
    <t>75500</t>
  </si>
  <si>
    <t>75500.02</t>
  </si>
  <si>
    <t>75600</t>
  </si>
  <si>
    <t>75600.01</t>
  </si>
  <si>
    <t>75800</t>
  </si>
  <si>
    <t>76000</t>
  </si>
  <si>
    <t>76000.02</t>
  </si>
  <si>
    <t>76100</t>
  </si>
  <si>
    <t>76500</t>
  </si>
  <si>
    <t>77250</t>
  </si>
  <si>
    <t>77500.01</t>
  </si>
  <si>
    <t>77500.02</t>
  </si>
  <si>
    <t>77500.03</t>
  </si>
  <si>
    <t>77500.04</t>
  </si>
  <si>
    <t>77500.05</t>
  </si>
  <si>
    <t>77500.06</t>
  </si>
  <si>
    <t>77500.07</t>
  </si>
  <si>
    <t>77500.08</t>
  </si>
  <si>
    <t>77500.09</t>
  </si>
  <si>
    <t>77500.12</t>
  </si>
  <si>
    <t>77502</t>
  </si>
  <si>
    <t>77550.01</t>
  </si>
  <si>
    <t>77550.03</t>
  </si>
  <si>
    <t>77550.04</t>
  </si>
  <si>
    <t>77550.05</t>
  </si>
  <si>
    <t>77550.06</t>
  </si>
  <si>
    <t>77550.08</t>
  </si>
  <si>
    <t>77550.09</t>
  </si>
  <si>
    <t>77550.12</t>
  </si>
  <si>
    <t>77570</t>
  </si>
  <si>
    <t>77575</t>
  </si>
  <si>
    <t>77580</t>
  </si>
  <si>
    <t>77590</t>
  </si>
  <si>
    <t>77591</t>
  </si>
  <si>
    <t>77600</t>
  </si>
  <si>
    <t>77700</t>
  </si>
  <si>
    <t>78000</t>
  </si>
  <si>
    <t>89500</t>
  </si>
  <si>
    <t>90000</t>
  </si>
  <si>
    <t>DETAILED P&amp;L</t>
  </si>
  <si>
    <t>Contra Account - Non-Deployed CPE</t>
  </si>
  <si>
    <t>Contra Account - Sales Leaseback</t>
  </si>
  <si>
    <t>Contra Account - Interco Sales</t>
  </si>
  <si>
    <t>TOTAL RE</t>
  </si>
  <si>
    <t>Non-Deployed CPE &amp; AP's</t>
  </si>
  <si>
    <t>18600</t>
  </si>
  <si>
    <t>Manufacturing Supplies</t>
  </si>
  <si>
    <t>75000</t>
  </si>
  <si>
    <t>17710</t>
  </si>
  <si>
    <t>Accum Dep - LHI</t>
  </si>
  <si>
    <t>2X Inventory</t>
  </si>
  <si>
    <t>96500</t>
  </si>
  <si>
    <t>Income Tax Expense</t>
  </si>
  <si>
    <t>13000.02</t>
  </si>
  <si>
    <t>Owner Advance</t>
  </si>
  <si>
    <t>28036</t>
  </si>
  <si>
    <t>147 L/P - WISPer</t>
  </si>
  <si>
    <t>28037</t>
  </si>
  <si>
    <t>148 L/P Axis Capital</t>
  </si>
  <si>
    <t>25037</t>
  </si>
  <si>
    <t>75000.1</t>
  </si>
  <si>
    <t>Mountain Networks</t>
  </si>
  <si>
    <t>77550.02</t>
  </si>
  <si>
    <t>Wages - Overtime R &amp; D</t>
  </si>
  <si>
    <t>25036</t>
  </si>
  <si>
    <t>25004</t>
  </si>
  <si>
    <t>Credit Card Chase 8093 - 3079</t>
  </si>
  <si>
    <t>148 L/P - Axis Capital</t>
  </si>
  <si>
    <t>DPA AIR SHASTA</t>
  </si>
  <si>
    <t>AIR SHASTA</t>
  </si>
  <si>
    <t>149 L/P - Axis Capital</t>
  </si>
  <si>
    <t>25038</t>
  </si>
  <si>
    <t>28038</t>
  </si>
  <si>
    <t>40801</t>
  </si>
  <si>
    <t>Business Services - Equipment</t>
  </si>
  <si>
    <t>40803</t>
  </si>
  <si>
    <t>Business Services Other Inc</t>
  </si>
  <si>
    <t>74400</t>
  </si>
  <si>
    <t>Small Tools</t>
  </si>
  <si>
    <t>150 L/P - WISPer 4</t>
  </si>
  <si>
    <t>28039</t>
  </si>
  <si>
    <t>25039</t>
  </si>
  <si>
    <t>25040</t>
  </si>
  <si>
    <t>151 N/P - 2016 Ford F350</t>
  </si>
  <si>
    <t>28040</t>
  </si>
  <si>
    <t>Accounts Receivable</t>
  </si>
  <si>
    <t>INVENTORY</t>
  </si>
  <si>
    <t>Inventory</t>
  </si>
  <si>
    <t>15304</t>
  </si>
  <si>
    <t>Installation Supplies NPN</t>
  </si>
  <si>
    <t>Referral Credits</t>
  </si>
  <si>
    <t>60200</t>
  </si>
  <si>
    <t>28041</t>
  </si>
  <si>
    <t>152 L/P - AXIS CAPITAL</t>
  </si>
  <si>
    <t>25041</t>
  </si>
  <si>
    <t>28042</t>
  </si>
  <si>
    <t>153 L/p - Jules</t>
  </si>
  <si>
    <t>25042</t>
  </si>
  <si>
    <t>40808</t>
  </si>
  <si>
    <t>Business Services One Time Fee</t>
  </si>
  <si>
    <t>77500.13</t>
  </si>
  <si>
    <t>Wages - Heli pilot</t>
  </si>
  <si>
    <t>77575.12</t>
  </si>
  <si>
    <t>MFG Labor Capitalization</t>
  </si>
  <si>
    <t>10051</t>
  </si>
  <si>
    <t>10445</t>
  </si>
  <si>
    <t>East West Bank - 5211 Self Ins</t>
  </si>
  <si>
    <t>East West Bank - 3521 Savings</t>
  </si>
  <si>
    <t>East West Bank - 3349 Gen Op</t>
  </si>
  <si>
    <t>East West Bank - 3802 CapX</t>
  </si>
  <si>
    <t>25043</t>
  </si>
  <si>
    <t>154 L/P - Jules 3</t>
  </si>
  <si>
    <t>25046</t>
  </si>
  <si>
    <t>157 L/P - Jules 4</t>
  </si>
  <si>
    <t>28043</t>
  </si>
  <si>
    <t>28046</t>
  </si>
  <si>
    <t>46000.01</t>
  </si>
  <si>
    <t>Bus Services Customer Refunds</t>
  </si>
  <si>
    <t>East West Bank - 5229 CC Dep</t>
  </si>
  <si>
    <t>10455</t>
  </si>
  <si>
    <t>10485</t>
  </si>
  <si>
    <t>East West Bank - 3828 Payroll</t>
  </si>
  <si>
    <t>28047</t>
  </si>
  <si>
    <t>158 N/P - Toyota Motor Credit</t>
  </si>
  <si>
    <t>28044</t>
  </si>
  <si>
    <t>155 L/P - Axis Capital 4</t>
  </si>
  <si>
    <t>28045</t>
  </si>
  <si>
    <t>156 L/P - Axis Capital 5</t>
  </si>
  <si>
    <t>25044</t>
  </si>
  <si>
    <t>25045</t>
  </si>
  <si>
    <t>25047</t>
  </si>
  <si>
    <t>158 N/P - Toyota Motor Creditt</t>
  </si>
  <si>
    <t>11116</t>
  </si>
  <si>
    <t>Accounts Receivable - Misc</t>
  </si>
  <si>
    <t>Wholesale-Other Income</t>
  </si>
  <si>
    <t>41300</t>
  </si>
  <si>
    <t>Aug</t>
  </si>
  <si>
    <t>Sept</t>
  </si>
  <si>
    <t>Oct</t>
  </si>
  <si>
    <t>Nov</t>
  </si>
  <si>
    <t>Dec</t>
  </si>
  <si>
    <t>Jan</t>
  </si>
  <si>
    <t>Feb</t>
  </si>
  <si>
    <t>Mar</t>
  </si>
  <si>
    <t>Apr</t>
  </si>
  <si>
    <t>May</t>
  </si>
  <si>
    <t>June</t>
  </si>
  <si>
    <t>July</t>
  </si>
  <si>
    <t>12 months x 3</t>
  </si>
  <si>
    <t>Trailing 12 months EBITDA</t>
  </si>
  <si>
    <t>Total debt as of month end</t>
  </si>
  <si>
    <t>March</t>
  </si>
  <si>
    <t>April</t>
  </si>
  <si>
    <t>3 months trailing = Profitable (if less than $750k in bank, must be over $100k)</t>
  </si>
  <si>
    <t>Profitability</t>
  </si>
  <si>
    <t>Tithing</t>
  </si>
  <si>
    <t>Monthly debt service</t>
  </si>
  <si>
    <t>12 months trailing EBITDA</t>
  </si>
  <si>
    <t>Per budget</t>
  </si>
  <si>
    <t>12 months going forward of EWB debt only</t>
  </si>
  <si>
    <t>Permitted Liens</t>
  </si>
  <si>
    <t>Total debt</t>
  </si>
  <si>
    <t>Current balance</t>
  </si>
  <si>
    <t>As of 12/18/15</t>
  </si>
  <si>
    <t>Bidwell Presbyterian - Special needs Sunday class, childrens choir</t>
  </si>
  <si>
    <t>Grace community Church Torres Shelter dinner</t>
  </si>
  <si>
    <t>Marsh family Thanksgiving dinners</t>
  </si>
  <si>
    <t>Womens resource clinic</t>
  </si>
  <si>
    <t>Young Life Camp for Teen moms</t>
  </si>
  <si>
    <t>Grace - Esplanade House dinner (gifts for adults from children)</t>
  </si>
  <si>
    <t>Pilgrim radio</t>
  </si>
  <si>
    <t>Hume lake - tree removal</t>
  </si>
  <si>
    <t>Grace - MC - Adopt a family for Christmas</t>
  </si>
  <si>
    <t>Air 1 Radio</t>
  </si>
  <si>
    <t>The Salvation Army</t>
  </si>
  <si>
    <t>Powerhouse Youth ministries</t>
  </si>
  <si>
    <t>Jesus Center</t>
  </si>
  <si>
    <t>World Vision</t>
  </si>
  <si>
    <t>153</t>
  </si>
  <si>
    <t>154</t>
  </si>
  <si>
    <t>155</t>
  </si>
  <si>
    <t>156</t>
  </si>
  <si>
    <t>157</t>
  </si>
  <si>
    <t>158</t>
  </si>
  <si>
    <t>Grace community Church - For Jesus Center dinners</t>
  </si>
  <si>
    <t>Calvary children's ministry</t>
  </si>
  <si>
    <t>KKXX - Chico Christian radio</t>
  </si>
  <si>
    <t>Focus on the Family</t>
  </si>
  <si>
    <t>Aldersgate children's ministry</t>
  </si>
  <si>
    <t>Seeds of Hope</t>
  </si>
  <si>
    <t>63000</t>
  </si>
  <si>
    <t>G&amp;A Wages Allocation</t>
  </si>
  <si>
    <t>G&amp;A Taxes &amp; Benefits</t>
  </si>
  <si>
    <t>46500</t>
  </si>
  <si>
    <t>Intercompany transfer of assets (Sales)</t>
  </si>
  <si>
    <t>COGS - Intercompany transfer of assets</t>
  </si>
  <si>
    <t>Misc Warehouse</t>
  </si>
  <si>
    <t>60550</t>
  </si>
  <si>
    <t>25048</t>
  </si>
  <si>
    <t>159 L/P - Jules 6</t>
  </si>
  <si>
    <t>25049</t>
  </si>
  <si>
    <t>160 L/P - Technology Finance</t>
  </si>
  <si>
    <t>28048</t>
  </si>
  <si>
    <t>28049</t>
  </si>
  <si>
    <t>15000</t>
  </si>
  <si>
    <t>24151</t>
  </si>
  <si>
    <t>20275</t>
  </si>
  <si>
    <t>DPA NP DPI - Intercompany</t>
  </si>
  <si>
    <t>2x NP DPI - Intercompany</t>
  </si>
  <si>
    <t>38400</t>
  </si>
  <si>
    <t>38500</t>
  </si>
  <si>
    <t>25050</t>
  </si>
  <si>
    <t>161 L/P - Alliance Funding</t>
  </si>
  <si>
    <t>25051</t>
  </si>
  <si>
    <t>162 L/P - Susquehanna</t>
  </si>
  <si>
    <t>28050</t>
  </si>
  <si>
    <t>28051</t>
  </si>
  <si>
    <t>East West Bank - 5237 2X</t>
  </si>
  <si>
    <t>G&amp;A Overhead Allocation</t>
  </si>
  <si>
    <t>61100.04</t>
  </si>
  <si>
    <t>Vehicle Gasoline &amp; Oil</t>
  </si>
  <si>
    <t>66500</t>
  </si>
  <si>
    <t>10175</t>
  </si>
  <si>
    <t>US Bank 4245</t>
  </si>
  <si>
    <t>25052</t>
  </si>
  <si>
    <t>163 L/P - Jules 5</t>
  </si>
  <si>
    <t>25053</t>
  </si>
  <si>
    <t>164 L/P -  TFC 5</t>
  </si>
  <si>
    <t>28052</t>
  </si>
  <si>
    <t>28053</t>
  </si>
  <si>
    <t>15200</t>
  </si>
  <si>
    <t>Equipment Hardware</t>
  </si>
  <si>
    <t>Hume Lake Scholarships</t>
  </si>
  <si>
    <t>161</t>
  </si>
  <si>
    <t>162</t>
  </si>
  <si>
    <t>72600</t>
  </si>
  <si>
    <t>Late Fees</t>
  </si>
  <si>
    <t>18500</t>
  </si>
  <si>
    <t>Inventory - Non Net Exp</t>
  </si>
  <si>
    <t>25054</t>
  </si>
  <si>
    <t>165 L/P - TFC 6</t>
  </si>
  <si>
    <t>26900.01</t>
  </si>
  <si>
    <t>DR HOLDING</t>
  </si>
  <si>
    <t>28054</t>
  </si>
  <si>
    <t>DEBT APRIL</t>
  </si>
  <si>
    <t>163</t>
  </si>
  <si>
    <t>164</t>
  </si>
  <si>
    <t>165</t>
  </si>
  <si>
    <t>18300</t>
  </si>
  <si>
    <t>PrePaid Sales Tax</t>
  </si>
  <si>
    <t>25055</t>
  </si>
  <si>
    <t>166 L/P - TFC 7</t>
  </si>
  <si>
    <t>28055</t>
  </si>
  <si>
    <t>Grace Community Church</t>
  </si>
  <si>
    <t>Aldersgate United Methodist Ch - tithing for March - for summer camp scholarships to church camp</t>
  </si>
  <si>
    <t>Hume Ministries - Apirl Tithing</t>
  </si>
  <si>
    <t>Hume Lake</t>
  </si>
  <si>
    <t>Grace Community - tithing for March for Fairview Student Collage Scholarships - put funds in Love Chico High School account per Dave W.</t>
  </si>
  <si>
    <t>Grace Community - Tithing for April - Summer Camp Scholarships or Youth Program</t>
  </si>
  <si>
    <t>Calvary Chapel Chico - tithing for March - for Jr High Camp Scholarships</t>
  </si>
  <si>
    <t>Grace Community - may tithing - Torres Shelter Dinner</t>
  </si>
  <si>
    <t>June Tithing - Lake Almanor Community Church</t>
  </si>
  <si>
    <t>Calvary Chapel Chico - VBS Scholarship fund</t>
  </si>
  <si>
    <t>Marriage today</t>
  </si>
  <si>
    <t>Lake Almanor Community Church - Donation</t>
  </si>
  <si>
    <t>Lake Almanor Community Church - Hume Lake funds for March Tithing</t>
  </si>
  <si>
    <t>Grace to refill Community outreach program</t>
  </si>
  <si>
    <t>Grace Community - May Tithing - Torres Shelter or other ministry for shoes and clothes for children</t>
  </si>
  <si>
    <t>July Tithing - August CC purchases for Torres Shelter</t>
  </si>
  <si>
    <t>Calvary Chapel Chico - High School Camp</t>
  </si>
  <si>
    <t>Grace Community - children's summer camp</t>
  </si>
  <si>
    <t>Grace Community Church for Summer camp scholarships</t>
  </si>
  <si>
    <t>Marriage Today</t>
  </si>
  <si>
    <t>Grace Community - May tithing - Grace Food Pantry gift cards</t>
  </si>
  <si>
    <t>Hume Ministries - June Tithing - Hume Lake</t>
  </si>
  <si>
    <t>Calvary Chapel Chico - Jr. High Camp</t>
  </si>
  <si>
    <t>Calvary Chapel for new school for disabled students</t>
  </si>
  <si>
    <t>Hume Lake for Scholarships</t>
  </si>
  <si>
    <t>Grace Community - may tithing - Grace Food Pantry food</t>
  </si>
  <si>
    <t>Grace Community - June Tithing - for Fairview Student School Scholarships or other student scholarships</t>
  </si>
  <si>
    <t>Hume Ministries - July Tithing</t>
  </si>
  <si>
    <t>Calvary Chapel for community outreach</t>
  </si>
  <si>
    <t>Calvery Chapel Fergus Falls - May tithing</t>
  </si>
  <si>
    <t>Grace Community - June Tithing - For High School Benevolence Program</t>
  </si>
  <si>
    <t>Grace Community - donation</t>
  </si>
  <si>
    <t>Jesus Center - May Tithing</t>
  </si>
  <si>
    <t>Special Olympics - Northern CA - donations</t>
  </si>
  <si>
    <t>Hume Ministries - For Hume Lake Scholarships</t>
  </si>
  <si>
    <t>Capital One Bank (USA), N.A. - HP FIRST ASSEMBLY OF GOD 9/22/16</t>
  </si>
  <si>
    <t>Capital One Bank (USA), N.A. - PAYPAL ROCK LIFEL 9/22/16</t>
  </si>
  <si>
    <t>Capital One Bank (USA), N.A. - EMF K LOVE 9/23/16</t>
  </si>
  <si>
    <t>25056</t>
  </si>
  <si>
    <t>167 N/P - Sheffield</t>
  </si>
  <si>
    <t>28056</t>
  </si>
  <si>
    <t>RELATED PARTY REC</t>
  </si>
  <si>
    <t>AP</t>
  </si>
  <si>
    <t>ACCRUED</t>
  </si>
  <si>
    <t>WARRANT LIAB</t>
  </si>
  <si>
    <t>GAIN/LOSS</t>
  </si>
  <si>
    <t>25057</t>
  </si>
  <si>
    <t>168 N/P - TFC 8</t>
  </si>
  <si>
    <t>28057</t>
  </si>
  <si>
    <t>77550.13</t>
  </si>
  <si>
    <t>Wages - OT Heli Pilot</t>
  </si>
  <si>
    <t xml:space="preserve">y </t>
  </si>
  <si>
    <t>77500.11</t>
  </si>
  <si>
    <t>Wages - Cafeteria</t>
  </si>
  <si>
    <t>25058</t>
  </si>
  <si>
    <t>169 N/P - East West Bank - C</t>
  </si>
  <si>
    <t>28058</t>
  </si>
  <si>
    <t>68600</t>
  </si>
  <si>
    <t>Consultant Fees</t>
  </si>
  <si>
    <t>10000.01</t>
  </si>
  <si>
    <t>Petty Cash Emergency fund</t>
  </si>
  <si>
    <t>15307</t>
  </si>
  <si>
    <t>Gen 7 Inventory</t>
  </si>
  <si>
    <t>25059</t>
  </si>
  <si>
    <t>170 N/P - Sheffield 4</t>
  </si>
  <si>
    <t>28059</t>
  </si>
  <si>
    <t>15600.07</t>
  </si>
  <si>
    <t>Gen 7 Network</t>
  </si>
  <si>
    <t>17407</t>
  </si>
  <si>
    <t>18607</t>
  </si>
  <si>
    <t>Non-Deployed Gen 7</t>
  </si>
  <si>
    <t>15407</t>
  </si>
  <si>
    <t>Equipment Gen 7</t>
  </si>
  <si>
    <t>17200.07</t>
  </si>
  <si>
    <t>Accum Depr - Gen 7 Network</t>
  </si>
  <si>
    <t>Accum Depre - Equip Gen 7</t>
  </si>
  <si>
    <t>67450</t>
  </si>
  <si>
    <t>Insurance - self</t>
  </si>
  <si>
    <t>12/31/18</t>
  </si>
  <si>
    <t>11/30/18</t>
  </si>
  <si>
    <t>10/31/18</t>
  </si>
  <si>
    <t>09/30/18</t>
  </si>
  <si>
    <t>08/31/18</t>
  </si>
  <si>
    <t>Interest Income</t>
  </si>
  <si>
    <t>HAMRE EQUIPMENT</t>
  </si>
  <si>
    <t>HE</t>
  </si>
  <si>
    <t>Deposit Acct - Chase 8028</t>
  </si>
  <si>
    <t>Disbursement Acct - Chase 6390</t>
  </si>
  <si>
    <t>New Wire Acct - Chase 6919</t>
  </si>
  <si>
    <t xml:space="preserve">Merchant Acct - Chase 6366 </t>
  </si>
  <si>
    <t>SBOE Sales Tax Acct - Chase 4004</t>
  </si>
  <si>
    <t>Checking Acct - Wells Fargo 7556</t>
  </si>
  <si>
    <t>Bank of the West</t>
  </si>
  <si>
    <t>Accounts Receivable - Other</t>
  </si>
  <si>
    <t>Deposit for Trucks</t>
  </si>
  <si>
    <t>Parts Inventory</t>
  </si>
  <si>
    <t>Equipment Inventory</t>
  </si>
  <si>
    <t>Consignment Inventory</t>
  </si>
  <si>
    <t>Attachments Inventory</t>
  </si>
  <si>
    <t>Estimated Taxes Paid</t>
  </si>
  <si>
    <t>Escrow - Anderson Funding</t>
  </si>
  <si>
    <t>Inventory Reserve</t>
  </si>
  <si>
    <t>Change of Inventory</t>
  </si>
  <si>
    <t>Accum Depr - LHI</t>
  </si>
  <si>
    <t>Furniture &amp; Equipment</t>
  </si>
  <si>
    <t>Accum Depr - Furniture &amp; Equipment</t>
  </si>
  <si>
    <t>Computer Automation</t>
  </si>
  <si>
    <t>Accum Depr - Computer Automation</t>
  </si>
  <si>
    <t>Equipment</t>
  </si>
  <si>
    <t>Anderson Funding Equipment</t>
  </si>
  <si>
    <t>Service Trucks</t>
  </si>
  <si>
    <t>Accum Depr - Service Trucks</t>
  </si>
  <si>
    <t>Trucks &amp; Trailers</t>
  </si>
  <si>
    <t>Accum Depr - Trucks &amp; Trailers</t>
  </si>
  <si>
    <t>Sales Vehicles</t>
  </si>
  <si>
    <t>Accum Depr - Sales Vehicles</t>
  </si>
  <si>
    <t>Prepaid Asset</t>
  </si>
  <si>
    <t>Employee Loan</t>
  </si>
  <si>
    <t>New York Life #45973606</t>
  </si>
  <si>
    <t>New York Life #48271835</t>
  </si>
  <si>
    <t>New York Life #48271882</t>
  </si>
  <si>
    <t>New York Life #45973523</t>
  </si>
  <si>
    <t>New York Life #62966478</t>
  </si>
  <si>
    <t>Petty Cash</t>
  </si>
  <si>
    <t>Chase Visa - 8709</t>
  </si>
  <si>
    <t>Sales Tax Payable</t>
  </si>
  <si>
    <t xml:space="preserve">Income Tax Liability </t>
  </si>
  <si>
    <t>Hunt &amp; Son's, Inc.</t>
  </si>
  <si>
    <t>RWL Enterprise</t>
  </si>
  <si>
    <t>Lee Hamre Note Payable</t>
  </si>
  <si>
    <t>Loan New York Life #48271835</t>
  </si>
  <si>
    <t>Loan New York Life #45973523</t>
  </si>
  <si>
    <t>Loan New York Life #45973606</t>
  </si>
  <si>
    <t>Loan New York Life #48271882</t>
  </si>
  <si>
    <t>Global/Ascentium (2 Omega Lfts)</t>
  </si>
  <si>
    <t>Financial Pacific 1 Omega Life</t>
  </si>
  <si>
    <t>Tustin Community Bank - T-123</t>
  </si>
  <si>
    <t>Global - #7163706 (HE 3351)</t>
  </si>
  <si>
    <t>Ford Credit T-124</t>
  </si>
  <si>
    <t>Bank of the West LOC</t>
  </si>
  <si>
    <t>Global/Hamni #7163713</t>
  </si>
  <si>
    <t>Global - 2217441 (HE 3245)</t>
  </si>
  <si>
    <t>Global - 2173796 (Leavitt)</t>
  </si>
  <si>
    <t>GLBL/Tustin 3832 (HE 3308-APL)</t>
  </si>
  <si>
    <t>Global - 8173853 (HE 3306)</t>
  </si>
  <si>
    <t>Global - 8173852 (HE 3309)</t>
  </si>
  <si>
    <t>Global - 9173862 (HE 3305)</t>
  </si>
  <si>
    <t>Global - 9173861 (HE 3307)</t>
  </si>
  <si>
    <t>Global - 9173860 (HE 3481-3484)</t>
  </si>
  <si>
    <t>BMO Transportation Fin T-126</t>
  </si>
  <si>
    <t>Global - Total Term Seattle</t>
  </si>
  <si>
    <t>Stock - Capital</t>
  </si>
  <si>
    <t>Treasury Stock</t>
  </si>
  <si>
    <t>AMMX - add. paid in Capital</t>
  </si>
  <si>
    <t>1000</t>
  </si>
  <si>
    <t>1030</t>
  </si>
  <si>
    <t>1040</t>
  </si>
  <si>
    <t>1050</t>
  </si>
  <si>
    <t>1060</t>
  </si>
  <si>
    <t>1080</t>
  </si>
  <si>
    <t>1090</t>
  </si>
  <si>
    <t>11500</t>
  </si>
  <si>
    <t>1210</t>
  </si>
  <si>
    <t>1220</t>
  </si>
  <si>
    <t>1230</t>
  </si>
  <si>
    <t>1240</t>
  </si>
  <si>
    <t>1250</t>
  </si>
  <si>
    <t>1260</t>
  </si>
  <si>
    <t>1270</t>
  </si>
  <si>
    <t>1297</t>
  </si>
  <si>
    <t>1298</t>
  </si>
  <si>
    <t>1310</t>
  </si>
  <si>
    <t>1315</t>
  </si>
  <si>
    <t>1320</t>
  </si>
  <si>
    <t>1325</t>
  </si>
  <si>
    <t>1330</t>
  </si>
  <si>
    <t>1335</t>
  </si>
  <si>
    <t>1340</t>
  </si>
  <si>
    <t>1342</t>
  </si>
  <si>
    <t>1345</t>
  </si>
  <si>
    <t>1350</t>
  </si>
  <si>
    <t>1355</t>
  </si>
  <si>
    <t>1360</t>
  </si>
  <si>
    <t>1365</t>
  </si>
  <si>
    <t>1370</t>
  </si>
  <si>
    <t>1375</t>
  </si>
  <si>
    <t>1400</t>
  </si>
  <si>
    <t>1410</t>
  </si>
  <si>
    <t>1420</t>
  </si>
  <si>
    <t>1430</t>
  </si>
  <si>
    <t>1440</t>
  </si>
  <si>
    <t>1445</t>
  </si>
  <si>
    <t>1450</t>
  </si>
  <si>
    <t>1460</t>
  </si>
  <si>
    <t>2030</t>
  </si>
  <si>
    <t>2050</t>
  </si>
  <si>
    <t>2110</t>
  </si>
  <si>
    <t>2150</t>
  </si>
  <si>
    <t>2230</t>
  </si>
  <si>
    <t>2260</t>
  </si>
  <si>
    <t>2280</t>
  </si>
  <si>
    <t>2310</t>
  </si>
  <si>
    <t>2320</t>
  </si>
  <si>
    <t>2330</t>
  </si>
  <si>
    <t>2340</t>
  </si>
  <si>
    <t>2360</t>
  </si>
  <si>
    <t>2370</t>
  </si>
  <si>
    <t>2451</t>
  </si>
  <si>
    <t>2452</t>
  </si>
  <si>
    <t>2453</t>
  </si>
  <si>
    <t>2460</t>
  </si>
  <si>
    <t>2461</t>
  </si>
  <si>
    <t>2463</t>
  </si>
  <si>
    <t>2464</t>
  </si>
  <si>
    <t>2466</t>
  </si>
  <si>
    <t>2467</t>
  </si>
  <si>
    <t>2468</t>
  </si>
  <si>
    <t>2469</t>
  </si>
  <si>
    <t>2470</t>
  </si>
  <si>
    <t>2471</t>
  </si>
  <si>
    <t>2473</t>
  </si>
  <si>
    <t>2475</t>
  </si>
  <si>
    <t>32000</t>
  </si>
  <si>
    <t>3100</t>
  </si>
  <si>
    <t>3115</t>
  </si>
  <si>
    <t>3130</t>
  </si>
  <si>
    <t>12000</t>
  </si>
  <si>
    <t>Undeposited Funds</t>
  </si>
  <si>
    <t>2472</t>
  </si>
  <si>
    <t>Global/Verdant 1004-002 (HE 3524)</t>
  </si>
  <si>
    <t>4000</t>
  </si>
  <si>
    <t>Rental - Income</t>
  </si>
  <si>
    <t>4010</t>
  </si>
  <si>
    <t>Labor Revenue</t>
  </si>
  <si>
    <t>4020</t>
  </si>
  <si>
    <t>Discounts Earned</t>
  </si>
  <si>
    <t>4030</t>
  </si>
  <si>
    <t>Hauling Revenue</t>
  </si>
  <si>
    <t>4050</t>
  </si>
  <si>
    <t>Consignment Sales - Joint Venture</t>
  </si>
  <si>
    <t>4060</t>
  </si>
  <si>
    <t>Sales of Equipment</t>
  </si>
  <si>
    <t>4070</t>
  </si>
  <si>
    <t>Attachment Sales</t>
  </si>
  <si>
    <t>4090</t>
  </si>
  <si>
    <t>Service Department Revenue</t>
  </si>
  <si>
    <t>4100</t>
  </si>
  <si>
    <t>Parts Sales</t>
  </si>
  <si>
    <t>4110</t>
  </si>
  <si>
    <t>Parts Department Special Orders</t>
  </si>
  <si>
    <t>4120</t>
  </si>
  <si>
    <t>Parts Department Freight</t>
  </si>
  <si>
    <t>4150</t>
  </si>
  <si>
    <t>Finance Charge Income</t>
  </si>
  <si>
    <t>4160</t>
  </si>
  <si>
    <t>Outside Services Billed to Customer</t>
  </si>
  <si>
    <t>4180</t>
  </si>
  <si>
    <t>Credit Card Fees</t>
  </si>
  <si>
    <t>5000</t>
  </si>
  <si>
    <t>COGS Equipment</t>
  </si>
  <si>
    <t>Cost of Goods Sold</t>
  </si>
  <si>
    <t>5010</t>
  </si>
  <si>
    <t>COGS Attachments</t>
  </si>
  <si>
    <t>5020</t>
  </si>
  <si>
    <t>COGS Parts</t>
  </si>
  <si>
    <t>5030</t>
  </si>
  <si>
    <t>COGS Joint Venture</t>
  </si>
  <si>
    <t>5050</t>
  </si>
  <si>
    <t>COGS Special Order Parts</t>
  </si>
  <si>
    <t>5060</t>
  </si>
  <si>
    <t>COGS Haulting</t>
  </si>
  <si>
    <t>5070</t>
  </si>
  <si>
    <t>COGS Frieght</t>
  </si>
  <si>
    <t>5090</t>
  </si>
  <si>
    <t>COGS Paint</t>
  </si>
  <si>
    <t>5100</t>
  </si>
  <si>
    <t>Pilot Cars</t>
  </si>
  <si>
    <t>5110</t>
  </si>
  <si>
    <t>Commission</t>
  </si>
  <si>
    <t>5120</t>
  </si>
  <si>
    <t>COGS Outside Service</t>
  </si>
  <si>
    <t>5210</t>
  </si>
  <si>
    <t>COGS Depreciation</t>
  </si>
  <si>
    <t>6010</t>
  </si>
  <si>
    <t>Payroll - Adminsitration</t>
  </si>
  <si>
    <t>6011</t>
  </si>
  <si>
    <t>Payroll - Sales</t>
  </si>
  <si>
    <t>6012</t>
  </si>
  <si>
    <t>Payroll - Parts</t>
  </si>
  <si>
    <t>6013</t>
  </si>
  <si>
    <t>Payroll - Trucking</t>
  </si>
  <si>
    <t>6014</t>
  </si>
  <si>
    <t>Payroll - Service Department</t>
  </si>
  <si>
    <t>6015</t>
  </si>
  <si>
    <t>Board Compensation</t>
  </si>
  <si>
    <t>6016</t>
  </si>
  <si>
    <t>Employee Incentives/Bonus</t>
  </si>
  <si>
    <t>6017</t>
  </si>
  <si>
    <t>Safety Bonus</t>
  </si>
  <si>
    <t>6020</t>
  </si>
  <si>
    <t xml:space="preserve">Marketing Advertising </t>
  </si>
  <si>
    <t>6025</t>
  </si>
  <si>
    <t>Promotions</t>
  </si>
  <si>
    <t>6030</t>
  </si>
  <si>
    <t>Cargo Insurance</t>
  </si>
  <si>
    <t>6035</t>
  </si>
  <si>
    <t>General Liability Insurance</t>
  </si>
  <si>
    <t>6040</t>
  </si>
  <si>
    <t>Medical-First Aid</t>
  </si>
  <si>
    <t>6045</t>
  </si>
  <si>
    <t>Health Insurance</t>
  </si>
  <si>
    <t>6050</t>
  </si>
  <si>
    <t>Officers Life Insurance</t>
  </si>
  <si>
    <t>6055</t>
  </si>
  <si>
    <t>Computer Technology Expenses</t>
  </si>
  <si>
    <t>6060</t>
  </si>
  <si>
    <t>6065</t>
  </si>
  <si>
    <t>Office Equipment Lease</t>
  </si>
  <si>
    <t>6070</t>
  </si>
  <si>
    <t>Professional Fees</t>
  </si>
  <si>
    <t>6075</t>
  </si>
  <si>
    <t>Mileage Reimbursement</t>
  </si>
  <si>
    <t>6080</t>
  </si>
  <si>
    <t>Charitable Contributions</t>
  </si>
  <si>
    <t>6100</t>
  </si>
  <si>
    <t>Bank Service Charges</t>
  </si>
  <si>
    <t>6120</t>
  </si>
  <si>
    <t>Interest Expense</t>
  </si>
  <si>
    <t>6130</t>
  </si>
  <si>
    <t>Late Fees/Finance Charges</t>
  </si>
  <si>
    <t>6140</t>
  </si>
  <si>
    <t>Loan Fees</t>
  </si>
  <si>
    <t>6145</t>
  </si>
  <si>
    <t>6150</t>
  </si>
  <si>
    <t>Accounting Outside Services</t>
  </si>
  <si>
    <t>6160</t>
  </si>
  <si>
    <t>Legal</t>
  </si>
  <si>
    <t>6165</t>
  </si>
  <si>
    <t>6170</t>
  </si>
  <si>
    <t>Continuting Education</t>
  </si>
  <si>
    <t>6180</t>
  </si>
  <si>
    <t>Admin Misc. Expenses</t>
  </si>
  <si>
    <t>6190</t>
  </si>
  <si>
    <t>6200</t>
  </si>
  <si>
    <t>6210</t>
  </si>
  <si>
    <t>Rental (vehicle) Exp</t>
  </si>
  <si>
    <t>6220</t>
  </si>
  <si>
    <t>6230</t>
  </si>
  <si>
    <t>Airfare</t>
  </si>
  <si>
    <t>6240</t>
  </si>
  <si>
    <t>Lodging</t>
  </si>
  <si>
    <t>6250</t>
  </si>
  <si>
    <t>Other Travel Expenses</t>
  </si>
  <si>
    <t>6300</t>
  </si>
  <si>
    <t>Fees &amp; Permits</t>
  </si>
  <si>
    <t>6310</t>
  </si>
  <si>
    <t>Shop Supplies</t>
  </si>
  <si>
    <t>6320</t>
  </si>
  <si>
    <t xml:space="preserve">Cylinder Rental </t>
  </si>
  <si>
    <t>6330</t>
  </si>
  <si>
    <t>Equipment Rental/Lease</t>
  </si>
  <si>
    <t>6335</t>
  </si>
  <si>
    <t>Trade Show Expenses</t>
  </si>
  <si>
    <t>6340</t>
  </si>
  <si>
    <t>Outside Contractor</t>
  </si>
  <si>
    <t>6400</t>
  </si>
  <si>
    <t>Building Rental Expenses</t>
  </si>
  <si>
    <t>6410</t>
  </si>
  <si>
    <t>Property Taxes</t>
  </si>
  <si>
    <t>6420</t>
  </si>
  <si>
    <t>6440</t>
  </si>
  <si>
    <t>Building &amp; Grounds Maintenance</t>
  </si>
  <si>
    <t>6450</t>
  </si>
  <si>
    <t>6460</t>
  </si>
  <si>
    <t>Pest Control</t>
  </si>
  <si>
    <t>6470</t>
  </si>
  <si>
    <t>Janitorial Expense</t>
  </si>
  <si>
    <t>6510</t>
  </si>
  <si>
    <t>Fuel Expense</t>
  </si>
  <si>
    <t>6520</t>
  </si>
  <si>
    <t>Vehicle Maint &amp; Repair</t>
  </si>
  <si>
    <t>6521</t>
  </si>
  <si>
    <t>Equipment Maintanence &amp; Repair</t>
  </si>
  <si>
    <t>6530</t>
  </si>
  <si>
    <t>DMV Fees</t>
  </si>
  <si>
    <t>6540</t>
  </si>
  <si>
    <t>Trucking Fees &amp; Permits</t>
  </si>
  <si>
    <t>6550</t>
  </si>
  <si>
    <t xml:space="preserve">Outside Services  </t>
  </si>
  <si>
    <t>6560</t>
  </si>
  <si>
    <t>Trucking Department - Other Expenses</t>
  </si>
  <si>
    <t>6570</t>
  </si>
  <si>
    <t>Outside Hauling</t>
  </si>
  <si>
    <t>7000</t>
  </si>
  <si>
    <t>Gain on Sale of Assets</t>
  </si>
  <si>
    <t>7100</t>
  </si>
  <si>
    <t>7200</t>
  </si>
  <si>
    <t>8000</t>
  </si>
  <si>
    <t>Loss on Sales of Assets</t>
  </si>
  <si>
    <t>8001</t>
  </si>
  <si>
    <t>Loss on Stock to Debt Reduction</t>
  </si>
  <si>
    <t>8010</t>
  </si>
  <si>
    <t>Discount Taken</t>
  </si>
  <si>
    <t>8020</t>
  </si>
  <si>
    <t>Legal Settlement</t>
  </si>
  <si>
    <t>8100</t>
  </si>
  <si>
    <t>Depreciation Expense</t>
  </si>
  <si>
    <t>8200</t>
  </si>
  <si>
    <t>Non-Deductible Expenses</t>
  </si>
  <si>
    <t>8300</t>
  </si>
  <si>
    <t>State Income Tax Expense</t>
  </si>
  <si>
    <t>8400</t>
  </si>
  <si>
    <t>Federal Income Tax Expense</t>
  </si>
  <si>
    <t>8500</t>
  </si>
  <si>
    <t>Heavy Haul Vehicle Tax (IRS)</t>
  </si>
  <si>
    <t>2476</t>
  </si>
  <si>
    <t>First Found New Kenworth T-127</t>
  </si>
  <si>
    <t>4080</t>
  </si>
  <si>
    <t>Scrap Sales</t>
  </si>
  <si>
    <t>2477</t>
  </si>
  <si>
    <t>Global - 02183918 (HE 3542)</t>
  </si>
  <si>
    <t>6090</t>
  </si>
  <si>
    <t>Commission Paid</t>
  </si>
  <si>
    <t>1299</t>
  </si>
  <si>
    <t>Suspense Account</t>
  </si>
  <si>
    <t>2478</t>
  </si>
  <si>
    <t>KW Solar System</t>
  </si>
  <si>
    <t>30000</t>
  </si>
  <si>
    <t>Opening Balance Equity</t>
  </si>
  <si>
    <t>2479</t>
  </si>
  <si>
    <t>Global 6183942 (HE 3590)</t>
  </si>
  <si>
    <t>Financial Pacific 1 Omega Lift</t>
  </si>
  <si>
    <t>2474</t>
  </si>
  <si>
    <t xml:space="preserve">2474 </t>
  </si>
  <si>
    <t>Commisison Paid</t>
  </si>
  <si>
    <t>COGS Hauling</t>
  </si>
  <si>
    <t>P&amp;L COMPARISON</t>
  </si>
  <si>
    <t>AMERAMEX INTERNATIONAL, INC.</t>
  </si>
  <si>
    <t>Weighted Average Shares Outstanding:</t>
  </si>
  <si>
    <t>Basic</t>
  </si>
  <si>
    <t>Diluted</t>
  </si>
  <si>
    <t>Earnings (loss) per Share</t>
  </si>
  <si>
    <t>$</t>
  </si>
  <si>
    <t>Other Current Assets</t>
  </si>
  <si>
    <t>Current Liabilities:</t>
  </si>
  <si>
    <t>Current Assets:</t>
  </si>
  <si>
    <t>Notes Payable, Current Portion</t>
  </si>
  <si>
    <t>period ending</t>
  </si>
  <si>
    <t>INVESTING ACTIVITIES:</t>
  </si>
  <si>
    <t>FINANCING ACTIVITIES:</t>
  </si>
  <si>
    <t>6000</t>
  </si>
  <si>
    <t>check</t>
  </si>
  <si>
    <t>6053</t>
  </si>
  <si>
    <t>D&amp;O Insurance</t>
  </si>
  <si>
    <t>6571</t>
  </si>
  <si>
    <t>Sales Tax Adj</t>
  </si>
  <si>
    <t>8150</t>
  </si>
  <si>
    <t>Amortization Expense</t>
  </si>
  <si>
    <t>6125</t>
  </si>
  <si>
    <t>Early Debt Payoff</t>
  </si>
  <si>
    <t>Rentals &amp; Leases</t>
  </si>
  <si>
    <t>Sales of Equipment &amp; Other</t>
  </si>
  <si>
    <t>Cost of Equipment &amp; Other</t>
  </si>
  <si>
    <t>Sales &amp; Marketing</t>
  </si>
  <si>
    <t>Cost of Rentals &amp; Leases</t>
  </si>
  <si>
    <t>InterestExp</t>
  </si>
  <si>
    <t>Early Debt</t>
  </si>
  <si>
    <t>Taxes</t>
  </si>
  <si>
    <t>Gain/Loss</t>
  </si>
  <si>
    <t>Sales of Equipment and Other Revenues</t>
  </si>
  <si>
    <t>Rentals and Leases</t>
  </si>
  <si>
    <t>COST OF SALES</t>
  </si>
  <si>
    <t>GROSS PROFIT</t>
  </si>
  <si>
    <t>Selling Expense</t>
  </si>
  <si>
    <t>Loss from Early Extinguishment of Debt</t>
  </si>
  <si>
    <t>AMERAMEX INTERNATIONAL INC DBA HAMRE EQUIPMENT</t>
  </si>
  <si>
    <t>Check</t>
  </si>
  <si>
    <t>1045</t>
  </si>
  <si>
    <t>OTHER CURRENT ASSETS</t>
  </si>
  <si>
    <t>RENTAL EQUIP</t>
  </si>
  <si>
    <t>DEFTAXLIAB</t>
  </si>
  <si>
    <t>RELATED PARTY NOTE</t>
  </si>
  <si>
    <t>CREDIT LINE</t>
  </si>
  <si>
    <t>TREASURY</t>
  </si>
  <si>
    <t>1405</t>
  </si>
  <si>
    <t>Loan Costs</t>
  </si>
  <si>
    <t>1407</t>
  </si>
  <si>
    <t>1415</t>
  </si>
  <si>
    <t>Owners/Officers Advance</t>
  </si>
  <si>
    <t>2155</t>
  </si>
  <si>
    <t>Deferred Tax Liability</t>
  </si>
  <si>
    <t>2160</t>
  </si>
  <si>
    <t>Accrued Vacation</t>
  </si>
  <si>
    <t>N/P 005 Lee Hamre Note Payable</t>
  </si>
  <si>
    <t>2485</t>
  </si>
  <si>
    <t>LOC 002 Northpoint Finance</t>
  </si>
  <si>
    <t>2492</t>
  </si>
  <si>
    <t>LOC 003 Nations Finance</t>
  </si>
  <si>
    <t xml:space="preserve">Deposit   </t>
  </si>
  <si>
    <t>Accu. Deprec. - Loan Costs</t>
  </si>
  <si>
    <t>2010</t>
  </si>
  <si>
    <t>American Express - 81006</t>
  </si>
  <si>
    <t>Anderson Funding Current</t>
  </si>
  <si>
    <t>2060</t>
  </si>
  <si>
    <t>Anderson Funding Net of Current</t>
  </si>
  <si>
    <t xml:space="preserve">Deferred Tax Liability </t>
  </si>
  <si>
    <t>Capital Stock</t>
  </si>
  <si>
    <t>Wells Fargo Checking 7556</t>
  </si>
  <si>
    <t>Suspense</t>
  </si>
  <si>
    <t>Accum. Deprec. - Loan Costs</t>
  </si>
  <si>
    <t>American Express</t>
  </si>
  <si>
    <t>2100</t>
  </si>
  <si>
    <t>Employee Advances</t>
  </si>
  <si>
    <t>N/P 007 Financial Pacific 1 Omega Life</t>
  </si>
  <si>
    <t>N/P 010 Tustin Community Bank - T-123</t>
  </si>
  <si>
    <t>N/P 012 Ford Credit T-124</t>
  </si>
  <si>
    <t>LOC 001 Bank of the West</t>
  </si>
  <si>
    <t>N/P 013 Gobal/Hamni 7163713</t>
  </si>
  <si>
    <t>N/P 015 Global 2217441 - HE 3245</t>
  </si>
  <si>
    <t>N/P 016 Global 2173796 - Leavitt</t>
  </si>
  <si>
    <t>N/P 018 Global 3832 - HE 3308</t>
  </si>
  <si>
    <t>N/P 019 Global 8173853 - HE 3306</t>
  </si>
  <si>
    <t>N/P 020 Global 8173852 - HE 3309</t>
  </si>
  <si>
    <t>N/P 021 Global 9173862 - HE 3305</t>
  </si>
  <si>
    <t>N/P 022 Global 9173861 - HE 3307</t>
  </si>
  <si>
    <t>N/P 025 BMO Trans Fin T-126</t>
  </si>
  <si>
    <t>N/P 026 Anderson Funding</t>
  </si>
  <si>
    <t>N/P 028 Firstfound T-127</t>
  </si>
  <si>
    <t>N/P 029 Global 02183918 - HE 3542</t>
  </si>
  <si>
    <t>Old Disbursement Acct - Chase 6390</t>
  </si>
  <si>
    <t>1035</t>
  </si>
  <si>
    <t>Operating - Chase 9282</t>
  </si>
  <si>
    <t>Accounts Receivable, Net</t>
  </si>
  <si>
    <t>Rental Equipment, Net</t>
  </si>
  <si>
    <t>Notes Payable - Related Party</t>
  </si>
  <si>
    <t>Line of Credit</t>
  </si>
  <si>
    <t>N/P 030 KW Solar System</t>
  </si>
  <si>
    <t>N/P 031 Global 6183942 - HE 3590</t>
  </si>
  <si>
    <t>Deferred Taxes</t>
  </si>
  <si>
    <t>Payments for Property &amp; Equipment</t>
  </si>
  <si>
    <t>Payments for Rental Equipment</t>
  </si>
  <si>
    <t>Proceeds from Sale of Equipment</t>
  </si>
  <si>
    <t>Proceeds from Notes Payable</t>
  </si>
  <si>
    <t>Payments on Notes Payable</t>
  </si>
  <si>
    <t>Payment on Note Payable - Related Party</t>
  </si>
  <si>
    <t>Cash Flow</t>
  </si>
  <si>
    <t>Difference</t>
  </si>
  <si>
    <t>A/R (Net)</t>
  </si>
  <si>
    <t>A/R-Other</t>
  </si>
  <si>
    <t>Loans receivable</t>
  </si>
  <si>
    <t>Other current assets</t>
  </si>
  <si>
    <t xml:space="preserve">Property and equipment, net </t>
  </si>
  <si>
    <t>Rental Equipment</t>
  </si>
  <si>
    <t>Investments- Other</t>
  </si>
  <si>
    <t>Total assets</t>
  </si>
  <si>
    <t>Accured Expenses</t>
  </si>
  <si>
    <t>Current portion of long-term debt</t>
  </si>
  <si>
    <t>Loan payable, related party</t>
  </si>
  <si>
    <t>Line of credit</t>
  </si>
  <si>
    <t>Long-Term debt net of current portion</t>
  </si>
  <si>
    <t>Common &amp; Treasure Stock</t>
  </si>
  <si>
    <t>Paid-in-capital</t>
  </si>
  <si>
    <t>Retained earnings</t>
  </si>
  <si>
    <t>Total Liabilites and Stockholders' equity</t>
  </si>
  <si>
    <t>Cash Flows from Operating Activities</t>
  </si>
  <si>
    <t>Original</t>
  </si>
  <si>
    <t>EQ Purchases</t>
  </si>
  <si>
    <t>EQ Sales Proceeds</t>
  </si>
  <si>
    <t xml:space="preserve">Gross up borrowings </t>
  </si>
  <si>
    <t>Adjusted</t>
  </si>
  <si>
    <t>Net Income (Loss)</t>
  </si>
  <si>
    <t>FS</t>
  </si>
  <si>
    <t>Adj. to reconcile net income (loss) to net cash</t>
  </si>
  <si>
    <t>Gain/Loss on disposal</t>
  </si>
  <si>
    <t>Investment in LLC</t>
  </si>
  <si>
    <t>Investments - Other</t>
  </si>
  <si>
    <t>Change in Current Assets &amp; Liabilities</t>
  </si>
  <si>
    <t>A/R Net</t>
  </si>
  <si>
    <t>Net cash provided by Operating Activities</t>
  </si>
  <si>
    <t>Cash flows from Investing Activities</t>
  </si>
  <si>
    <t>Proceeds from loan receivable</t>
  </si>
  <si>
    <t>Property and Equipment</t>
  </si>
  <si>
    <t>Property and Equipment - Leases</t>
  </si>
  <si>
    <t>Investments in LLC</t>
  </si>
  <si>
    <t>Net cash provided by Investing Activities</t>
  </si>
  <si>
    <t>Cash flows from Financing Activities</t>
  </si>
  <si>
    <t>Net proceeds (borrowing) under Line of credit</t>
  </si>
  <si>
    <t>Proceeds from long term debt</t>
  </si>
  <si>
    <t>Payments on long term debt</t>
  </si>
  <si>
    <t>Payments on related party loan</t>
  </si>
  <si>
    <t>Distributions to shareholders</t>
  </si>
  <si>
    <t>Net cash used in Financing Activities</t>
  </si>
  <si>
    <t>Net Increase (decrease) in cash</t>
  </si>
  <si>
    <t>Cash Beginning of year</t>
  </si>
  <si>
    <t>Cash End of year</t>
  </si>
  <si>
    <t>Total</t>
  </si>
  <si>
    <t xml:space="preserve">Additional </t>
  </si>
  <si>
    <t>Stockholders'</t>
  </si>
  <si>
    <t xml:space="preserve">Paid-in </t>
  </si>
  <si>
    <t xml:space="preserve">Treasury </t>
  </si>
  <si>
    <t>Accumulated</t>
  </si>
  <si>
    <t>Equity/</t>
  </si>
  <si>
    <t>Shares</t>
  </si>
  <si>
    <t>Amount</t>
  </si>
  <si>
    <t>Capital</t>
  </si>
  <si>
    <t>Deficit</t>
  </si>
  <si>
    <t>(Deficit)</t>
  </si>
  <si>
    <t>Balance</t>
  </si>
  <si>
    <t>REVENUES</t>
  </si>
  <si>
    <t>Total Revenues</t>
  </si>
  <si>
    <t>Total Cost of Revenues</t>
  </si>
  <si>
    <t>Preferred Stock, $0.001 par value, 5,000,000 shares authorized, no</t>
  </si>
  <si>
    <t>shares issued and outstanding</t>
  </si>
  <si>
    <t>Common Stock, $0.001 par value, 1,000,000,000 shares authorized</t>
  </si>
  <si>
    <t>Total Noncurrent Assets</t>
  </si>
  <si>
    <t xml:space="preserve">LIABILITIES &amp; STOCKHOLDERS' EQUITY </t>
  </si>
  <si>
    <t>Total Noncurrent Liabilities</t>
  </si>
  <si>
    <t>Notes Payable, Net of Current Portion</t>
  </si>
  <si>
    <t>Commitments and Contingencies (Note 11)</t>
  </si>
  <si>
    <t>Total Stockholders' Equity</t>
  </si>
  <si>
    <t>TOTAL LIABILITIES &amp; STOCKHOLDERS' EQUITY</t>
  </si>
  <si>
    <t>Adjustments to reconcile Net Income (Loss) to</t>
  </si>
  <si>
    <t>Depreciation and Amortization</t>
  </si>
  <si>
    <t>NET CASH PROVIDED BY (USED IN) OPERATING ACTIVITIES</t>
  </si>
  <si>
    <t>Loss on Early Extinguishment of Debt</t>
  </si>
  <si>
    <t>CASH FROM OPERATING ACTIVITIES</t>
  </si>
  <si>
    <t>Net Cash provided by (Used In) Operating Activities:</t>
  </si>
  <si>
    <t>Changes in Operating Assets and Liabilities:</t>
  </si>
  <si>
    <t>Cash,  beginning of period</t>
  </si>
  <si>
    <t>Cash, end of period</t>
  </si>
  <si>
    <t>SUPPLEMENTAL DISCLOSURES OF CASH FLOW</t>
  </si>
  <si>
    <t>INFORMATION:</t>
  </si>
  <si>
    <t>Cash Paid for Interest</t>
  </si>
  <si>
    <t>Cash Paid for Income Taxes</t>
  </si>
  <si>
    <t>AND FINANCING ACTIVITIES:</t>
  </si>
  <si>
    <t>Transfer of Inventory to Rental Equipment</t>
  </si>
  <si>
    <t>Transfer of Rental Equipment to Inventory</t>
  </si>
  <si>
    <t>Loss on Early Extinguishment of debt</t>
  </si>
  <si>
    <t>SUPPLEMENTAL DISCLOSURES OF NON CASH INVESTING</t>
  </si>
  <si>
    <t>Stockholders' Equity</t>
  </si>
  <si>
    <t>Net proceeds (borrowings) under Line of credit</t>
  </si>
  <si>
    <t>STOCKHOLDERS' EQUITY:</t>
  </si>
  <si>
    <t>2480</t>
  </si>
  <si>
    <t>2481</t>
  </si>
  <si>
    <t>2482</t>
  </si>
  <si>
    <t>2483</t>
  </si>
  <si>
    <t>N/P 032 COZAD Trailer T-130</t>
  </si>
  <si>
    <t>N/P 033 FMC T-132</t>
  </si>
  <si>
    <t>N/P 034 Global 3945 HE 3529</t>
  </si>
  <si>
    <t>N/P 035 Global HE 3610, 11, 13-17</t>
  </si>
  <si>
    <t>2486</t>
  </si>
  <si>
    <t>2487</t>
  </si>
  <si>
    <t>N/P 037 Global 0230 HE 3613,15</t>
  </si>
  <si>
    <t>N/P 038 Global HE 3609, 3594-96</t>
  </si>
  <si>
    <t>2019 - 2018 (1st 9 months)</t>
  </si>
  <si>
    <t>nine month</t>
  </si>
  <si>
    <t>9.2019</t>
  </si>
  <si>
    <t>9.2018</t>
  </si>
  <si>
    <t>SEPTEMBER '2019</t>
  </si>
  <si>
    <t>SEPTEMBER '2018</t>
  </si>
  <si>
    <t>2494</t>
  </si>
  <si>
    <t>2496</t>
  </si>
  <si>
    <t>ROC 001 PNC Finance</t>
  </si>
  <si>
    <t>ROC 002 PNC Finance</t>
  </si>
  <si>
    <t>Sum of SEPTEMBER '2019</t>
  </si>
  <si>
    <t>Sum of SEPTEMBER '2018</t>
  </si>
  <si>
    <t>4181</t>
  </si>
  <si>
    <t>Rounding</t>
  </si>
  <si>
    <t>2495</t>
  </si>
  <si>
    <t>N/P 044 Pawnee T-135</t>
  </si>
  <si>
    <t>2497</t>
  </si>
  <si>
    <t>2498</t>
  </si>
  <si>
    <t>2499</t>
  </si>
  <si>
    <t>N/P 045 Verdant - Quality Fence</t>
  </si>
  <si>
    <t>N/P 046 Verdant - Broken Bucket</t>
  </si>
  <si>
    <t>N/P 047 Marin - Fishbowl</t>
  </si>
  <si>
    <t>RENTALS &amp; LEASES</t>
  </si>
  <si>
    <t>SALES OF EQUIP &amp; OTHER</t>
  </si>
  <si>
    <t>4040</t>
  </si>
  <si>
    <t>Sales Department Revenue</t>
  </si>
  <si>
    <t>COST of EQUIP &amp; OTHER</t>
  </si>
  <si>
    <t>COST of RENTALS &amp; LEASES</t>
  </si>
  <si>
    <t>SALES &amp; MARKETING</t>
  </si>
  <si>
    <t>OTHER INCOME</t>
  </si>
  <si>
    <t>EARLY DEBT</t>
  </si>
  <si>
    <t>4190</t>
  </si>
  <si>
    <t>Sales Tax Adjustment</t>
  </si>
  <si>
    <t>INCOME BEFORE PROVISION for INCOME TAXES</t>
  </si>
  <si>
    <t>Net Borrowing Under Line of Credit</t>
  </si>
  <si>
    <t>WC</t>
  </si>
  <si>
    <t>1265</t>
  </si>
  <si>
    <t>Deferred Tax Asset</t>
  </si>
  <si>
    <t>2145</t>
  </si>
  <si>
    <t>State Income Tax Payable</t>
  </si>
  <si>
    <t>Federal Income Tax Payable</t>
  </si>
  <si>
    <t>Dec. 31, 2019</t>
  </si>
  <si>
    <t>2165</t>
  </si>
  <si>
    <t>Joint Venture Liability</t>
  </si>
  <si>
    <t>JT VT LIABILITY</t>
  </si>
  <si>
    <t>CREDIT LINE LT</t>
  </si>
  <si>
    <t>CREDIT LINE ST</t>
  </si>
  <si>
    <t>DECEMBER 31, 2020</t>
  </si>
  <si>
    <t>Equipment Financed Under Capital Leases</t>
  </si>
  <si>
    <t>Dec. 31, 2020</t>
  </si>
  <si>
    <t>6022</t>
  </si>
  <si>
    <t>Stock Based Compensation</t>
  </si>
  <si>
    <t>66900</t>
  </si>
  <si>
    <t>Reconciliation Discrepancies</t>
  </si>
  <si>
    <t>Citi Operating - Citi 4221</t>
  </si>
  <si>
    <t>1065</t>
  </si>
  <si>
    <t>2514</t>
  </si>
  <si>
    <t>N/P 057 Power Up</t>
  </si>
  <si>
    <t>2502</t>
  </si>
  <si>
    <t>2504</t>
  </si>
  <si>
    <t>2505</t>
  </si>
  <si>
    <t>2506</t>
  </si>
  <si>
    <t>2507</t>
  </si>
  <si>
    <t>2058</t>
  </si>
  <si>
    <t>2509</t>
  </si>
  <si>
    <t>2510</t>
  </si>
  <si>
    <t>N/P 050 Verdant - HE 3824</t>
  </si>
  <si>
    <t>ROC 003 PNC HE 3215 171313-001</t>
  </si>
  <si>
    <t>ROC 004 PNC HE 3216 171313-002</t>
  </si>
  <si>
    <t>ROC 005 PNC HE 3509 171313-003</t>
  </si>
  <si>
    <t>ROC 006 PNC HE 3510 171313-004</t>
  </si>
  <si>
    <t>ROC 007 PNC HE 3625,3792-3,3805 171313-005</t>
  </si>
  <si>
    <t>N/P 052 Alliance HE 3831 2011053</t>
  </si>
  <si>
    <t>N/P 053 SBA Loan</t>
  </si>
  <si>
    <t>2511</t>
  </si>
  <si>
    <t>2512</t>
  </si>
  <si>
    <t>2513</t>
  </si>
  <si>
    <t>2515</t>
  </si>
  <si>
    <t>2516</t>
  </si>
  <si>
    <t>2517</t>
  </si>
  <si>
    <t>N/P 054 1st Found T-139 2011236</t>
  </si>
  <si>
    <t>N/P 055 Ally T-140</t>
  </si>
  <si>
    <t>N/P 056 Ascentium HE 3782 2011371</t>
  </si>
  <si>
    <t>N/P 058 Chase Auto T-141</t>
  </si>
  <si>
    <t>N/P 059 PNC HE 3848 176890</t>
  </si>
  <si>
    <t>N/P 060 Verdant He 3866 956-004</t>
  </si>
  <si>
    <t>DETAILED CASH FLOW</t>
  </si>
  <si>
    <t>NET INCREASE (DECREASE) IN CASH &amp; CASH EQUIVALENTS</t>
  </si>
  <si>
    <t>CONVERT NOTE</t>
  </si>
  <si>
    <t>Convertible Note</t>
  </si>
  <si>
    <t>UNAUDITED BALANCE SHEETS</t>
  </si>
  <si>
    <t>6500</t>
  </si>
  <si>
    <t>Uniforms</t>
  </si>
  <si>
    <t>NET PROFIT (LOSS)</t>
  </si>
  <si>
    <t>Profit From Operations</t>
  </si>
  <si>
    <t>Net Profit (Loss)</t>
  </si>
  <si>
    <t>NET CASH PROVIDED BY (USED IN) INVESTING ACTIVITIES</t>
  </si>
  <si>
    <t>Tax Provision</t>
  </si>
  <si>
    <t>Fed</t>
  </si>
  <si>
    <t>State</t>
  </si>
  <si>
    <t>2518</t>
  </si>
  <si>
    <t>N/P 061 Volvo HE 3906</t>
  </si>
  <si>
    <t>Feb. 28, 2021</t>
  </si>
  <si>
    <t>UNAUDITED STATEMENTS OF OPERATIONS</t>
  </si>
  <si>
    <t>AS OF MARCH 31, 2021 AND DECEMBER 31,2020</t>
  </si>
  <si>
    <t>MARCH 31, 2021</t>
  </si>
  <si>
    <t>UNAUDITED STATEMENTS OF CASH FLOW</t>
  </si>
  <si>
    <t>UNAUDITED STATEMENTS OF STOCKHOLDERS' EQUITY (DEFICIT)</t>
  </si>
  <si>
    <t>6515</t>
  </si>
  <si>
    <t>Misc Parts</t>
  </si>
  <si>
    <t>6505</t>
  </si>
  <si>
    <t>Tires</t>
  </si>
  <si>
    <t>2519</t>
  </si>
  <si>
    <t>N/P 062 Global HE 3940</t>
  </si>
  <si>
    <t>AS OF MARCH 31, 2021 AND MARCH 31, 2020</t>
  </si>
  <si>
    <t>MARCH 31, 2020</t>
  </si>
  <si>
    <t>Deferred Tax Assets, Net</t>
  </si>
  <si>
    <t>Lines of Credit</t>
  </si>
  <si>
    <t xml:space="preserve">14,548,851 shares issued and outstanding at March 31, 2021 and </t>
  </si>
  <si>
    <t>Lines of credit</t>
  </si>
  <si>
    <t>Deferred Taxes Liability</t>
  </si>
  <si>
    <t>Stock for Services</t>
  </si>
  <si>
    <t>Provision/Benefit for Deferred Income Taxes</t>
  </si>
  <si>
    <t>Forgiveness of Debt</t>
  </si>
  <si>
    <t>PU</t>
  </si>
  <si>
    <t>Purchase &amp; Retire Stock</t>
  </si>
  <si>
    <t>NET CASH PROVIDED BY (USED IN) FINANCING ACTIVITIES</t>
  </si>
  <si>
    <t>PROVISION (BENEFIT) for INCOME TAXES</t>
  </si>
  <si>
    <t>EBITDA</t>
  </si>
  <si>
    <t>Plus:</t>
  </si>
  <si>
    <t>Income Taxes</t>
  </si>
  <si>
    <t>Loss on Extinguishment of Debt</t>
  </si>
  <si>
    <t>Debt Service</t>
  </si>
  <si>
    <t>CPLTD</t>
  </si>
  <si>
    <t>Cash Paid for Taxes</t>
  </si>
  <si>
    <t>Jan - Dec</t>
  </si>
  <si>
    <t>Apr 2020 -</t>
  </si>
  <si>
    <t>FCCR</t>
  </si>
  <si>
    <t>FCCR Covenant Requirement</t>
  </si>
  <si>
    <t>14,548,851 at December 31,2020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</si>
</sst>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\$* #,##0.00_);_(\$* \(#,##0.00\);_(\$* \-??_);_(@_)"/>
    <numFmt numFmtId="166" formatCode="_(* #,##0_);_(* \(#,##0\);_(* &quot;-&quot;??_);_(@_)"/>
    <numFmt numFmtId="167" formatCode="mm/dd/yy;@"/>
    <numFmt numFmtId="168" formatCode="#,##0.00;\(#,##0.00\)"/>
    <numFmt numFmtId="169" formatCode="&quot;$&quot;* #,##0.00;\(&quot;$&quot;* #,##0.00\)"/>
    <numFmt numFmtId="170" formatCode="#,##0.00;\-#,##0.00;* ??"/>
    <numFmt numFmtId="171" formatCode="0.0000%"/>
    <numFmt numFmtId="172" formatCode="0.00000%"/>
    <numFmt numFmtId="173" formatCode="[$-409]mmmm\ d\,\ yyyy;@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rgb="FF000000"/>
      <name val="Times New Roman"/>
      <family val="1"/>
    </font>
    <font>
      <sz val="10"/>
      <name val="Cambria"/>
      <family val="1"/>
      <scheme val="major"/>
    </font>
    <font>
      <sz val="10"/>
      <name val="Times New Roman"/>
      <family val="1"/>
    </font>
    <font>
      <sz val="10"/>
      <color rgb="FF000000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sz val="8"/>
      <name val="Cambria"/>
      <family val="1"/>
      <scheme val="major"/>
    </font>
    <font>
      <sz val="9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323232"/>
      <name val="Arial"/>
      <family val="2"/>
    </font>
    <font>
      <sz val="12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rgb="FF000000"/>
      <name val="Calibri Light"/>
      <family val="2"/>
    </font>
    <font>
      <sz val="11"/>
      <color theme="1"/>
      <name val="Calibri Light"/>
      <family val="2"/>
    </font>
    <font>
      <sz val="10"/>
      <color rgb="FF323232"/>
      <name val="Calibri Light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1"/>
      <name val="Calibri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</font>
    <font>
      <b/>
      <sz val="10"/>
      <name val="Cambria"/>
      <family val="2"/>
      <scheme val="major"/>
    </font>
    <font>
      <sz val="10"/>
      <name val="Cambria"/>
      <family val="2"/>
      <scheme val="major"/>
    </font>
    <font>
      <sz val="8"/>
      <name val="Cambria"/>
      <family val="2"/>
      <scheme val="major"/>
    </font>
    <font>
      <sz val="10"/>
      <color rgb="FF000000"/>
      <name val="Cambria"/>
      <family val="2"/>
      <scheme val="major"/>
    </font>
    <font>
      <b/>
      <sz val="10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8"/>
      <color rgb="FF323232"/>
      <name val="Cambria"/>
      <family val="1"/>
      <scheme val="major"/>
    </font>
    <font>
      <sz val="10"/>
      <color rgb="FF323232"/>
      <name val="Cambria"/>
      <family val="1"/>
      <scheme val="major"/>
    </font>
    <font>
      <sz val="10"/>
      <color indexed="10"/>
      <name val="Cambria"/>
      <family val="1"/>
      <scheme val="major"/>
    </font>
    <font>
      <sz val="9"/>
      <name val="Cambria"/>
      <family val="1"/>
      <scheme val="major"/>
    </font>
    <font>
      <sz val="11"/>
      <name val="Cambria"/>
      <family val="1"/>
      <scheme val="major"/>
    </font>
    <font>
      <sz val="11"/>
      <color rgb="FFFF0000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b/>
      <sz val="10"/>
      <color rgb="FF323232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9"/>
      <color rgb="FF323232"/>
      <name val="Cambria"/>
      <family val="1"/>
      <scheme val="major"/>
    </font>
    <font>
      <sz val="9"/>
      <color theme="1"/>
      <name val="Cambria"/>
      <family val="1"/>
      <scheme val="major"/>
    </font>
    <font>
      <sz val="9"/>
      <color rgb="FF323232"/>
      <name val="Cambria"/>
      <family val="1"/>
      <scheme val="major"/>
    </font>
    <font>
      <sz val="8"/>
      <color theme="1"/>
      <name val="Cambria"/>
      <family val="1"/>
      <scheme val="major"/>
    </font>
    <font>
      <b/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1"/>
      <name val="Cambria"/>
      <family val="1"/>
      <scheme val="major"/>
    </font>
    <font>
      <sz val="8"/>
      <color theme="1"/>
      <name val="Bookman Old Style"/>
      <family val="1"/>
    </font>
    <font>
      <i/>
      <u/>
      <sz val="8"/>
      <color theme="1"/>
      <name val="Bookman Old Style"/>
      <family val="1"/>
    </font>
    <font>
      <b/>
      <sz val="8"/>
      <color theme="1"/>
      <name val="Bookman Old Style"/>
      <family val="1"/>
    </font>
    <font>
      <sz val="10"/>
      <name val="Calibri"/>
      <family val="2"/>
      <scheme val="minor"/>
    </font>
    <font>
      <sz val="10"/>
      <name val="Cambria"/>
      <scheme val="major"/>
    </font>
    <font>
      <sz val="10"/>
      <name val="Calibri Light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64"/>
      </bottom>
      <diagonal/>
    </border>
  </borders>
  <cellStyleXfs count="71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9" fillId="3" borderId="0" applyNumberFormat="0" applyBorder="0" applyAlignment="0" applyProtection="0"/>
    <xf numFmtId="0" fontId="13" fillId="20" borderId="3" applyNumberFormat="0" applyAlignment="0" applyProtection="0"/>
    <xf numFmtId="0" fontId="15" fillId="21" borderId="4" applyNumberFormat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5" fillId="0" borderId="5" applyNumberFormat="0" applyFill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11" fillId="7" borderId="3" applyNumberFormat="0" applyAlignment="0" applyProtection="0"/>
    <xf numFmtId="0" fontId="14" fillId="0" borderId="8" applyNumberFormat="0" applyFill="0" applyAlignment="0" applyProtection="0"/>
    <xf numFmtId="0" fontId="10" fillId="22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3" fillId="23" borderId="9" applyNumberFormat="0" applyFont="0" applyAlignment="0" applyProtection="0"/>
    <xf numFmtId="0" fontId="12" fillId="20" borderId="1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435">
    <xf numFmtId="0" fontId="0" fillId="0" borderId="0" xfId="0"/>
    <xf numFmtId="0" fontId="23" fillId="0" borderId="0" xfId="0" applyFont="1" applyFill="1" applyAlignment="1">
      <alignment horizontal="left"/>
    </xf>
    <xf numFmtId="0" fontId="23" fillId="0" borderId="0" xfId="0" applyFont="1" applyFill="1"/>
    <xf numFmtId="167" fontId="23" fillId="0" borderId="0" xfId="0" applyNumberFormat="1" applyFont="1" applyFill="1" applyAlignment="1">
      <alignment horizontal="left"/>
    </xf>
    <xf numFmtId="3" fontId="23" fillId="0" borderId="0" xfId="0" applyNumberFormat="1" applyFont="1" applyFill="1" applyAlignment="1">
      <alignment horizontal="center"/>
    </xf>
    <xf numFmtId="49" fontId="23" fillId="0" borderId="0" xfId="0" applyNumberFormat="1" applyFont="1" applyFill="1" applyAlignment="1">
      <alignment horizontal="center"/>
    </xf>
    <xf numFmtId="49" fontId="23" fillId="0" borderId="0" xfId="0" applyNumberFormat="1" applyFont="1" applyFill="1" applyAlignment="1">
      <alignment horizontal="left"/>
    </xf>
    <xf numFmtId="43" fontId="23" fillId="0" borderId="0" xfId="3" applyFont="1" applyFill="1" applyAlignment="1">
      <alignment horizontal="right"/>
    </xf>
    <xf numFmtId="49" fontId="23" fillId="0" borderId="0" xfId="0" applyNumberFormat="1" applyFont="1" applyFill="1" applyBorder="1" applyAlignment="1">
      <alignment horizontal="left"/>
    </xf>
    <xf numFmtId="49" fontId="23" fillId="0" borderId="0" xfId="0" applyNumberFormat="1" applyFont="1" applyFill="1" applyAlignment="1"/>
    <xf numFmtId="43" fontId="23" fillId="0" borderId="0" xfId="3" applyFont="1"/>
    <xf numFmtId="49" fontId="23" fillId="0" borderId="0" xfId="0" applyNumberFormat="1" applyFont="1" applyAlignment="1">
      <alignment horizontal="left"/>
    </xf>
    <xf numFmtId="49" fontId="23" fillId="0" borderId="0" xfId="3" applyNumberFormat="1" applyFont="1" applyFill="1" applyAlignment="1"/>
    <xf numFmtId="43" fontId="23" fillId="0" borderId="0" xfId="0" applyNumberFormat="1" applyFont="1"/>
    <xf numFmtId="43" fontId="23" fillId="0" borderId="0" xfId="3" applyFont="1" applyFill="1" applyAlignment="1">
      <alignment horizontal="left"/>
    </xf>
    <xf numFmtId="43" fontId="23" fillId="0" borderId="0" xfId="3" applyFont="1" applyFill="1" applyAlignment="1">
      <alignment horizontal="center"/>
    </xf>
    <xf numFmtId="43" fontId="23" fillId="0" borderId="0" xfId="0" applyNumberFormat="1" applyFont="1" applyFill="1"/>
    <xf numFmtId="43" fontId="23" fillId="0" borderId="0" xfId="3" applyFont="1" applyFill="1"/>
    <xf numFmtId="43" fontId="23" fillId="0" borderId="0" xfId="3" applyFont="1" applyFill="1" applyBorder="1"/>
    <xf numFmtId="43" fontId="23" fillId="0" borderId="0" xfId="3" applyFont="1" applyFill="1" applyBorder="1" applyAlignment="1">
      <alignment horizontal="center"/>
    </xf>
    <xf numFmtId="43" fontId="23" fillId="0" borderId="2" xfId="3" applyFont="1" applyFill="1" applyBorder="1" applyAlignment="1">
      <alignment horizontal="left"/>
    </xf>
    <xf numFmtId="0" fontId="23" fillId="0" borderId="0" xfId="0" applyFont="1"/>
    <xf numFmtId="0" fontId="23" fillId="0" borderId="0" xfId="0" applyFont="1" applyAlignment="1">
      <alignment horizontal="left"/>
    </xf>
    <xf numFmtId="0" fontId="0" fillId="0" borderId="0" xfId="0" applyFill="1"/>
    <xf numFmtId="169" fontId="23" fillId="0" borderId="0" xfId="0" applyNumberFormat="1" applyFont="1" applyFill="1" applyAlignment="1">
      <alignment horizontal="right"/>
    </xf>
    <xf numFmtId="168" fontId="23" fillId="0" borderId="0" xfId="0" applyNumberFormat="1" applyFont="1" applyFill="1" applyAlignment="1">
      <alignment horizontal="right"/>
    </xf>
    <xf numFmtId="49" fontId="24" fillId="0" borderId="0" xfId="0" applyNumberFormat="1" applyFont="1" applyFill="1" applyAlignment="1">
      <alignment horizontal="left"/>
    </xf>
    <xf numFmtId="49" fontId="22" fillId="0" borderId="0" xfId="0" applyNumberFormat="1" applyFont="1" applyFill="1" applyAlignment="1">
      <alignment horizontal="left"/>
    </xf>
    <xf numFmtId="49" fontId="23" fillId="0" borderId="12" xfId="0" applyNumberFormat="1" applyFont="1" applyFill="1" applyBorder="1" applyAlignment="1"/>
    <xf numFmtId="37" fontId="25" fillId="0" borderId="0" xfId="0" applyNumberFormat="1" applyFont="1"/>
    <xf numFmtId="0" fontId="25" fillId="0" borderId="0" xfId="0" applyFont="1"/>
    <xf numFmtId="0" fontId="25" fillId="0" borderId="0" xfId="0" applyFont="1" applyBorder="1"/>
    <xf numFmtId="43" fontId="25" fillId="25" borderId="0" xfId="0" applyNumberFormat="1" applyFont="1" applyFill="1"/>
    <xf numFmtId="164" fontId="25" fillId="0" borderId="0" xfId="1" applyNumberFormat="1" applyFont="1"/>
    <xf numFmtId="164" fontId="25" fillId="0" borderId="0" xfId="1" applyNumberFormat="1" applyFont="1" applyBorder="1"/>
    <xf numFmtId="166" fontId="25" fillId="0" borderId="0" xfId="3" applyNumberFormat="1" applyFont="1"/>
    <xf numFmtId="43" fontId="25" fillId="0" borderId="0" xfId="3" applyNumberFormat="1" applyFont="1"/>
    <xf numFmtId="0" fontId="25" fillId="0" borderId="0" xfId="0" applyFont="1" applyFill="1"/>
    <xf numFmtId="2" fontId="25" fillId="0" borderId="0" xfId="0" applyNumberFormat="1" applyFont="1" applyFill="1"/>
    <xf numFmtId="0" fontId="26" fillId="0" borderId="0" xfId="0" applyFont="1"/>
    <xf numFmtId="0" fontId="26" fillId="0" borderId="0" xfId="0" applyFont="1" applyBorder="1"/>
    <xf numFmtId="17" fontId="26" fillId="0" borderId="0" xfId="0" applyNumberFormat="1" applyFont="1"/>
    <xf numFmtId="0" fontId="26" fillId="25" borderId="0" xfId="0" applyFont="1" applyFill="1"/>
    <xf numFmtId="2" fontId="25" fillId="0" borderId="0" xfId="0" applyNumberFormat="1" applyFont="1"/>
    <xf numFmtId="166" fontId="26" fillId="0" borderId="0" xfId="3" applyNumberFormat="1" applyFont="1"/>
    <xf numFmtId="0" fontId="26" fillId="0" borderId="0" xfId="0" applyFont="1" applyFill="1"/>
    <xf numFmtId="0" fontId="27" fillId="0" borderId="13" xfId="0" applyFont="1" applyFill="1" applyBorder="1" applyAlignment="1">
      <alignment vertical="top" wrapText="1"/>
    </xf>
    <xf numFmtId="14" fontId="27" fillId="0" borderId="13" xfId="1" applyNumberFormat="1" applyFont="1" applyFill="1" applyBorder="1" applyAlignment="1">
      <alignment vertical="top"/>
    </xf>
    <xf numFmtId="1" fontId="27" fillId="0" borderId="13" xfId="0" quotePrefix="1" applyNumberFormat="1" applyFont="1" applyFill="1" applyBorder="1" applyAlignment="1">
      <alignment horizontal="right" vertical="top"/>
    </xf>
    <xf numFmtId="14" fontId="27" fillId="0" borderId="13" xfId="0" applyNumberFormat="1" applyFont="1" applyFill="1" applyBorder="1" applyAlignment="1">
      <alignment vertical="top"/>
    </xf>
    <xf numFmtId="1" fontId="27" fillId="0" borderId="13" xfId="0" applyNumberFormat="1" applyFont="1" applyFill="1" applyBorder="1" applyAlignment="1">
      <alignment vertical="top"/>
    </xf>
    <xf numFmtId="0" fontId="27" fillId="0" borderId="13" xfId="0" applyFont="1" applyFill="1" applyBorder="1" applyAlignment="1">
      <alignment horizontal="left" vertical="top"/>
    </xf>
    <xf numFmtId="7" fontId="27" fillId="0" borderId="13" xfId="0" applyNumberFormat="1" applyFont="1" applyFill="1" applyBorder="1" applyAlignment="1">
      <alignment vertical="top"/>
    </xf>
    <xf numFmtId="49" fontId="26" fillId="0" borderId="0" xfId="0" applyNumberFormat="1" applyFont="1" applyFill="1" applyAlignment="1"/>
    <xf numFmtId="2" fontId="26" fillId="0" borderId="0" xfId="0" applyNumberFormat="1" applyFont="1"/>
    <xf numFmtId="43" fontId="26" fillId="0" borderId="0" xfId="3" applyFont="1"/>
    <xf numFmtId="44" fontId="27" fillId="0" borderId="13" xfId="1" applyFont="1" applyFill="1" applyBorder="1" applyAlignment="1">
      <alignment vertical="top"/>
    </xf>
    <xf numFmtId="2" fontId="27" fillId="0" borderId="13" xfId="0" applyNumberFormat="1" applyFont="1" applyFill="1" applyBorder="1" applyAlignment="1">
      <alignment vertical="top"/>
    </xf>
    <xf numFmtId="43" fontId="26" fillId="0" borderId="0" xfId="3" applyFont="1" applyFill="1"/>
    <xf numFmtId="43" fontId="26" fillId="0" borderId="0" xfId="3" applyFont="1" applyBorder="1"/>
    <xf numFmtId="7" fontId="26" fillId="0" borderId="0" xfId="3" applyNumberFormat="1" applyFont="1" applyBorder="1"/>
    <xf numFmtId="7" fontId="23" fillId="0" borderId="0" xfId="3" applyNumberFormat="1" applyFont="1" applyFill="1" applyBorder="1"/>
    <xf numFmtId="43" fontId="23" fillId="0" borderId="13" xfId="3" applyFont="1" applyFill="1" applyBorder="1"/>
    <xf numFmtId="14" fontId="26" fillId="0" borderId="0" xfId="0" applyNumberFormat="1" applyFont="1" applyFill="1"/>
    <xf numFmtId="14" fontId="23" fillId="0" borderId="13" xfId="3" applyNumberFormat="1" applyFont="1" applyFill="1" applyBorder="1"/>
    <xf numFmtId="0" fontId="23" fillId="0" borderId="13" xfId="0" applyFont="1" applyFill="1" applyBorder="1"/>
    <xf numFmtId="43" fontId="27" fillId="0" borderId="13" xfId="0" applyNumberFormat="1" applyFont="1" applyFill="1" applyBorder="1" applyAlignment="1">
      <alignment vertical="top"/>
    </xf>
    <xf numFmtId="10" fontId="23" fillId="0" borderId="0" xfId="2" applyNumberFormat="1" applyFont="1" applyFill="1" applyBorder="1"/>
    <xf numFmtId="49" fontId="23" fillId="0" borderId="0" xfId="0" applyNumberFormat="1" applyFont="1" applyFill="1" applyAlignment="1">
      <alignment horizontal="left"/>
    </xf>
    <xf numFmtId="49" fontId="23" fillId="25" borderId="0" xfId="0" applyNumberFormat="1" applyFont="1" applyFill="1" applyAlignment="1">
      <alignment horizontal="left"/>
    </xf>
    <xf numFmtId="0" fontId="0" fillId="0" borderId="0" xfId="0" applyFill="1"/>
    <xf numFmtId="49" fontId="25" fillId="0" borderId="0" xfId="0" applyNumberFormat="1" applyFont="1" applyFill="1" applyAlignment="1">
      <alignment horizontal="left"/>
    </xf>
    <xf numFmtId="43" fontId="25" fillId="0" borderId="0" xfId="0" applyNumberFormat="1" applyFont="1" applyFill="1"/>
    <xf numFmtId="43" fontId="0" fillId="0" borderId="0" xfId="0" applyNumberFormat="1" applyBorder="1" applyAlignment="1">
      <alignment horizontal="right"/>
    </xf>
    <xf numFmtId="43" fontId="22" fillId="0" borderId="0" xfId="0" applyNumberFormat="1" applyFont="1" applyBorder="1" applyAlignment="1">
      <alignment horizontal="right"/>
    </xf>
    <xf numFmtId="0" fontId="23" fillId="0" borderId="0" xfId="0" applyFont="1" applyFill="1" applyAlignment="1">
      <alignment horizontal="left"/>
    </xf>
    <xf numFmtId="0" fontId="23" fillId="0" borderId="0" xfId="0" applyFont="1" applyFill="1"/>
    <xf numFmtId="43" fontId="23" fillId="0" borderId="0" xfId="0" applyNumberFormat="1" applyFont="1" applyFill="1"/>
    <xf numFmtId="43" fontId="23" fillId="0" borderId="0" xfId="3" applyFont="1" applyFill="1"/>
    <xf numFmtId="43" fontId="23" fillId="0" borderId="0" xfId="3" applyFont="1" applyFill="1" applyBorder="1"/>
    <xf numFmtId="0" fontId="0" fillId="0" borderId="0" xfId="0" applyFill="1"/>
    <xf numFmtId="43" fontId="0" fillId="0" borderId="0" xfId="0" applyNumberFormat="1" applyFill="1"/>
    <xf numFmtId="43" fontId="22" fillId="0" borderId="0" xfId="0" applyNumberFormat="1" applyFont="1" applyAlignment="1">
      <alignment horizontal="right"/>
    </xf>
    <xf numFmtId="43" fontId="23" fillId="0" borderId="0" xfId="3" applyNumberFormat="1" applyFont="1"/>
    <xf numFmtId="0" fontId="23" fillId="0" borderId="2" xfId="0" applyFont="1" applyFill="1" applyBorder="1"/>
    <xf numFmtId="43" fontId="0" fillId="0" borderId="15" xfId="0" applyNumberFormat="1" applyBorder="1" applyAlignment="1">
      <alignment horizontal="left"/>
    </xf>
    <xf numFmtId="43" fontId="0" fillId="0" borderId="0" xfId="0" applyNumberFormat="1" applyBorder="1" applyAlignment="1">
      <alignment horizontal="left"/>
    </xf>
    <xf numFmtId="0" fontId="25" fillId="0" borderId="15" xfId="0" applyFont="1" applyBorder="1"/>
    <xf numFmtId="49" fontId="22" fillId="25" borderId="0" xfId="0" applyNumberFormat="1" applyFont="1" applyFill="1" applyAlignment="1">
      <alignment horizontal="left"/>
    </xf>
    <xf numFmtId="43" fontId="23" fillId="0" borderId="0" xfId="3" applyNumberFormat="1" applyFont="1" applyFill="1"/>
    <xf numFmtId="43" fontId="22" fillId="0" borderId="0" xfId="0" applyNumberFormat="1" applyFont="1" applyFill="1" applyBorder="1" applyAlignment="1">
      <alignment horizontal="right"/>
    </xf>
    <xf numFmtId="0" fontId="23" fillId="25" borderId="0" xfId="0" applyFont="1" applyFill="1" applyAlignment="1">
      <alignment horizontal="left"/>
    </xf>
    <xf numFmtId="43" fontId="23" fillId="0" borderId="0" xfId="3" applyFont="1" applyFill="1" applyBorder="1" applyAlignment="1">
      <alignment horizontal="left"/>
    </xf>
    <xf numFmtId="170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/>
    </xf>
    <xf numFmtId="49" fontId="29" fillId="0" borderId="0" xfId="0" applyNumberFormat="1" applyFont="1" applyFill="1" applyAlignment="1">
      <alignment horizontal="left"/>
    </xf>
    <xf numFmtId="49" fontId="22" fillId="0" borderId="0" xfId="0" applyNumberFormat="1" applyFont="1" applyAlignment="1">
      <alignment horizontal="left"/>
    </xf>
    <xf numFmtId="168" fontId="22" fillId="0" borderId="0" xfId="0" applyNumberFormat="1" applyFont="1" applyAlignment="1">
      <alignment horizontal="right"/>
    </xf>
    <xf numFmtId="0" fontId="0" fillId="0" borderId="0" xfId="0"/>
    <xf numFmtId="49" fontId="22" fillId="0" borderId="0" xfId="0" applyNumberFormat="1" applyFont="1" applyAlignment="1">
      <alignment horizontal="left"/>
    </xf>
    <xf numFmtId="49" fontId="22" fillId="0" borderId="0" xfId="0" applyNumberFormat="1" applyFont="1" applyAlignment="1">
      <alignment horizontal="left"/>
    </xf>
    <xf numFmtId="43" fontId="23" fillId="0" borderId="0" xfId="3" applyNumberFormat="1" applyFont="1" applyFill="1" applyBorder="1"/>
    <xf numFmtId="43" fontId="26" fillId="0" borderId="0" xfId="3" applyFont="1" applyFill="1" applyBorder="1"/>
    <xf numFmtId="0" fontId="23" fillId="0" borderId="0" xfId="0" applyFont="1" applyFill="1" applyBorder="1"/>
    <xf numFmtId="0" fontId="0" fillId="0" borderId="0" xfId="0" applyFill="1" applyBorder="1"/>
    <xf numFmtId="43" fontId="23" fillId="0" borderId="0" xfId="3" applyFont="1" applyBorder="1"/>
    <xf numFmtId="49" fontId="23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center"/>
    </xf>
    <xf numFmtId="43" fontId="23" fillId="0" borderId="0" xfId="3" applyFont="1" applyAlignment="1">
      <alignment horizontal="center"/>
    </xf>
    <xf numFmtId="43" fontId="23" fillId="0" borderId="14" xfId="3" applyFont="1" applyBorder="1" applyAlignment="1">
      <alignment horizontal="left"/>
    </xf>
    <xf numFmtId="43" fontId="23" fillId="0" borderId="14" xfId="3" applyFont="1" applyFill="1" applyBorder="1" applyAlignment="1">
      <alignment horizontal="left"/>
    </xf>
    <xf numFmtId="0" fontId="23" fillId="0" borderId="14" xfId="0" applyFont="1" applyBorder="1"/>
    <xf numFmtId="43" fontId="23" fillId="0" borderId="0" xfId="3" applyFont="1" applyAlignment="1">
      <alignment horizontal="left"/>
    </xf>
    <xf numFmtId="43" fontId="23" fillId="0" borderId="0" xfId="3" applyFont="1" applyAlignment="1">
      <alignment horizontal="right"/>
    </xf>
    <xf numFmtId="0" fontId="23" fillId="0" borderId="0" xfId="0" applyFont="1" applyAlignment="1"/>
    <xf numFmtId="49" fontId="23" fillId="0" borderId="0" xfId="0" applyNumberFormat="1" applyFont="1" applyAlignment="1"/>
    <xf numFmtId="168" fontId="22" fillId="24" borderId="0" xfId="0" applyNumberFormat="1" applyFont="1" applyFill="1" applyAlignment="1">
      <alignment horizontal="right"/>
    </xf>
    <xf numFmtId="49" fontId="23" fillId="0" borderId="0" xfId="0" applyNumberFormat="1" applyFont="1" applyAlignment="1">
      <alignment horizontal="left"/>
    </xf>
    <xf numFmtId="43" fontId="23" fillId="0" borderId="0" xfId="3" applyNumberFormat="1" applyFont="1" applyFill="1" applyAlignment="1">
      <alignment horizontal="center"/>
    </xf>
    <xf numFmtId="43" fontId="23" fillId="0" borderId="2" xfId="3" applyNumberFormat="1" applyFont="1" applyFill="1" applyBorder="1" applyAlignment="1">
      <alignment horizontal="left"/>
    </xf>
    <xf numFmtId="43" fontId="23" fillId="0" borderId="0" xfId="3" applyNumberFormat="1" applyFont="1" applyFill="1" applyAlignment="1">
      <alignment horizontal="right"/>
    </xf>
    <xf numFmtId="49" fontId="23" fillId="0" borderId="0" xfId="0" applyNumberFormat="1" applyFont="1" applyAlignment="1">
      <alignment horizontal="left"/>
    </xf>
    <xf numFmtId="43" fontId="23" fillId="0" borderId="0" xfId="0" applyNumberFormat="1" applyFont="1" applyFill="1" applyBorder="1"/>
    <xf numFmtId="49" fontId="23" fillId="0" borderId="0" xfId="0" applyNumberFormat="1" applyFont="1" applyAlignment="1">
      <alignment horizontal="left"/>
    </xf>
    <xf numFmtId="49" fontId="23" fillId="0" borderId="0" xfId="0" applyNumberFormat="1" applyFont="1" applyAlignment="1">
      <alignment horizontal="left"/>
    </xf>
    <xf numFmtId="49" fontId="22" fillId="0" borderId="0" xfId="0" applyNumberFormat="1" applyFont="1" applyAlignment="1">
      <alignment horizontal="left"/>
    </xf>
    <xf numFmtId="49" fontId="23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  <xf numFmtId="49" fontId="23" fillId="0" borderId="0" xfId="0" applyNumberFormat="1" applyFont="1" applyAlignment="1">
      <alignment horizontal="left"/>
    </xf>
    <xf numFmtId="49" fontId="23" fillId="0" borderId="0" xfId="0" applyNumberFormat="1" applyFont="1" applyAlignment="1">
      <alignment horizontal="left"/>
    </xf>
    <xf numFmtId="0" fontId="23" fillId="0" borderId="12" xfId="0" applyFont="1" applyBorder="1"/>
    <xf numFmtId="43" fontId="23" fillId="0" borderId="12" xfId="3" quotePrefix="1" applyFont="1" applyFill="1" applyBorder="1" applyAlignment="1">
      <alignment horizontal="center"/>
    </xf>
    <xf numFmtId="0" fontId="23" fillId="0" borderId="0" xfId="0" applyFont="1" applyAlignment="1">
      <alignment horizontal="left"/>
    </xf>
    <xf numFmtId="49" fontId="23" fillId="0" borderId="0" xfId="0" applyNumberFormat="1" applyFont="1" applyAlignment="1">
      <alignment horizontal="left"/>
    </xf>
    <xf numFmtId="42" fontId="0" fillId="0" borderId="0" xfId="0" applyNumberFormat="1"/>
    <xf numFmtId="43" fontId="0" fillId="0" borderId="0" xfId="0" applyNumberFormat="1"/>
    <xf numFmtId="43" fontId="23" fillId="0" borderId="14" xfId="3" applyFont="1" applyBorder="1"/>
    <xf numFmtId="0" fontId="0" fillId="0" borderId="0" xfId="0" applyAlignment="1">
      <alignment horizontal="center"/>
    </xf>
    <xf numFmtId="41" fontId="0" fillId="0" borderId="0" xfId="0" applyNumberFormat="1"/>
    <xf numFmtId="41" fontId="0" fillId="0" borderId="1" xfId="0" applyNumberFormat="1" applyBorder="1"/>
    <xf numFmtId="49" fontId="32" fillId="0" borderId="0" xfId="0" applyNumberFormat="1" applyFont="1"/>
    <xf numFmtId="41" fontId="0" fillId="0" borderId="12" xfId="0" applyNumberFormat="1" applyBorder="1"/>
    <xf numFmtId="49" fontId="23" fillId="0" borderId="0" xfId="0" applyNumberFormat="1" applyFont="1" applyAlignment="1">
      <alignment horizontal="left"/>
    </xf>
    <xf numFmtId="43" fontId="28" fillId="0" borderId="0" xfId="3" applyFont="1" applyFill="1"/>
    <xf numFmtId="43" fontId="28" fillId="0" borderId="0" xfId="3" applyFont="1" applyFill="1" applyAlignment="1">
      <alignment horizontal="left"/>
    </xf>
    <xf numFmtId="49" fontId="23" fillId="0" borderId="0" xfId="0" applyNumberFormat="1" applyFont="1" applyBorder="1" applyAlignment="1">
      <alignment horizontal="left"/>
    </xf>
    <xf numFmtId="49" fontId="23" fillId="0" borderId="0" xfId="3" applyNumberFormat="1" applyFont="1" applyFill="1" applyBorder="1" applyAlignment="1"/>
    <xf numFmtId="49" fontId="28" fillId="0" borderId="0" xfId="0" applyNumberFormat="1" applyFont="1" applyFill="1" applyAlignment="1">
      <alignment horizontal="right"/>
    </xf>
    <xf numFmtId="0" fontId="0" fillId="0" borderId="0" xfId="0" applyAlignment="1">
      <alignment horizontal="left"/>
    </xf>
    <xf numFmtId="41" fontId="23" fillId="0" borderId="0" xfId="3" applyNumberFormat="1" applyFont="1" applyFill="1"/>
    <xf numFmtId="41" fontId="0" fillId="0" borderId="0" xfId="0" applyNumberFormat="1" applyFill="1"/>
    <xf numFmtId="43" fontId="23" fillId="27" borderId="0" xfId="3" applyNumberFormat="1" applyFont="1" applyFill="1" applyBorder="1"/>
    <xf numFmtId="0" fontId="0" fillId="26" borderId="0" xfId="0" applyFill="1"/>
    <xf numFmtId="0" fontId="0" fillId="26" borderId="0" xfId="0" applyFill="1" applyAlignment="1">
      <alignment horizontal="left"/>
    </xf>
    <xf numFmtId="0" fontId="0" fillId="27" borderId="0" xfId="0" applyFill="1"/>
    <xf numFmtId="41" fontId="23" fillId="0" borderId="14" xfId="3" applyNumberFormat="1" applyFont="1" applyFill="1" applyBorder="1" applyAlignment="1">
      <alignment horizontal="left"/>
    </xf>
    <xf numFmtId="43" fontId="23" fillId="26" borderId="0" xfId="3" applyFont="1" applyFill="1" applyBorder="1"/>
    <xf numFmtId="0" fontId="33" fillId="27" borderId="0" xfId="0" applyFont="1" applyFill="1" applyAlignment="1">
      <alignment horizontal="left"/>
    </xf>
    <xf numFmtId="42" fontId="33" fillId="27" borderId="0" xfId="0" applyNumberFormat="1" applyFont="1" applyFill="1"/>
    <xf numFmtId="42" fontId="0" fillId="26" borderId="0" xfId="0" applyNumberFormat="1" applyFill="1"/>
    <xf numFmtId="0" fontId="34" fillId="0" borderId="0" xfId="0" applyFont="1" applyFill="1" applyAlignment="1">
      <alignment horizontal="left"/>
    </xf>
    <xf numFmtId="0" fontId="35" fillId="0" borderId="0" xfId="0" applyFont="1" applyFill="1"/>
    <xf numFmtId="43" fontId="35" fillId="0" borderId="0" xfId="3" applyFont="1" applyFill="1"/>
    <xf numFmtId="43" fontId="35" fillId="0" borderId="0" xfId="3" applyFont="1" applyFill="1" applyBorder="1"/>
    <xf numFmtId="0" fontId="36" fillId="0" borderId="0" xfId="0" applyFont="1" applyFill="1"/>
    <xf numFmtId="43" fontId="35" fillId="0" borderId="0" xfId="0" applyNumberFormat="1" applyFont="1" applyFill="1"/>
    <xf numFmtId="167" fontId="34" fillId="0" borderId="0" xfId="0" applyNumberFormat="1" applyFont="1" applyFill="1" applyAlignment="1">
      <alignment horizontal="left"/>
    </xf>
    <xf numFmtId="43" fontId="35" fillId="0" borderId="0" xfId="3" applyFont="1" applyFill="1" applyAlignment="1">
      <alignment horizontal="left"/>
    </xf>
    <xf numFmtId="43" fontId="35" fillId="0" borderId="0" xfId="3" applyFont="1" applyFill="1" applyBorder="1" applyAlignment="1">
      <alignment horizontal="center"/>
    </xf>
    <xf numFmtId="3" fontId="35" fillId="0" borderId="0" xfId="0" applyNumberFormat="1" applyFont="1" applyFill="1" applyAlignment="1">
      <alignment horizontal="center"/>
    </xf>
    <xf numFmtId="49" fontId="35" fillId="0" borderId="0" xfId="0" applyNumberFormat="1" applyFont="1" applyFill="1" applyAlignment="1">
      <alignment horizontal="left"/>
    </xf>
    <xf numFmtId="43" fontId="35" fillId="0" borderId="0" xfId="3" applyFont="1" applyFill="1" applyAlignment="1">
      <alignment horizontal="center"/>
    </xf>
    <xf numFmtId="0" fontId="36" fillId="0" borderId="0" xfId="0" applyFont="1" applyFill="1" applyAlignment="1">
      <alignment horizontal="center"/>
    </xf>
    <xf numFmtId="43" fontId="35" fillId="0" borderId="0" xfId="0" applyNumberFormat="1" applyFont="1" applyFill="1" applyAlignment="1">
      <alignment horizontal="left"/>
    </xf>
    <xf numFmtId="43" fontId="37" fillId="0" borderId="0" xfId="0" applyNumberFormat="1" applyFont="1" applyAlignment="1">
      <alignment horizontal="right"/>
    </xf>
    <xf numFmtId="43" fontId="35" fillId="0" borderId="0" xfId="3" applyNumberFormat="1" applyFont="1" applyFill="1"/>
    <xf numFmtId="43" fontId="35" fillId="0" borderId="0" xfId="3" applyNumberFormat="1" applyFont="1" applyFill="1" applyBorder="1"/>
    <xf numFmtId="43" fontId="36" fillId="0" borderId="0" xfId="0" applyNumberFormat="1" applyFont="1" applyFill="1"/>
    <xf numFmtId="49" fontId="37" fillId="0" borderId="0" xfId="0" applyNumberFormat="1" applyFont="1" applyAlignment="1">
      <alignment horizontal="left"/>
    </xf>
    <xf numFmtId="41" fontId="35" fillId="0" borderId="0" xfId="0" applyNumberFormat="1" applyFont="1" applyFill="1" applyAlignment="1">
      <alignment horizontal="left"/>
    </xf>
    <xf numFmtId="43" fontId="37" fillId="0" borderId="0" xfId="0" applyNumberFormat="1" applyFont="1" applyAlignment="1">
      <alignment horizontal="left"/>
    </xf>
    <xf numFmtId="43" fontId="35" fillId="0" borderId="0" xfId="0" quotePrefix="1" applyNumberFormat="1" applyFont="1" applyFill="1" applyAlignment="1">
      <alignment horizontal="left"/>
    </xf>
    <xf numFmtId="43" fontId="37" fillId="0" borderId="0" xfId="0" applyNumberFormat="1" applyFont="1" applyFill="1" applyAlignment="1">
      <alignment horizontal="left"/>
    </xf>
    <xf numFmtId="43" fontId="38" fillId="0" borderId="0" xfId="0" applyNumberFormat="1" applyFont="1" applyFill="1"/>
    <xf numFmtId="49" fontId="39" fillId="0" borderId="0" xfId="0" applyNumberFormat="1" applyFont="1" applyAlignment="1">
      <alignment horizontal="left"/>
    </xf>
    <xf numFmtId="43" fontId="35" fillId="0" borderId="0" xfId="3" applyNumberFormat="1" applyFont="1" applyFill="1" applyBorder="1" applyAlignment="1">
      <alignment horizontal="left"/>
    </xf>
    <xf numFmtId="43" fontId="35" fillId="0" borderId="0" xfId="0" applyNumberFormat="1" applyFont="1" applyFill="1" applyBorder="1" applyAlignment="1">
      <alignment horizontal="left"/>
    </xf>
    <xf numFmtId="43" fontId="35" fillId="0" borderId="14" xfId="3" applyNumberFormat="1" applyFont="1" applyFill="1" applyBorder="1" applyAlignment="1">
      <alignment horizontal="left"/>
    </xf>
    <xf numFmtId="43" fontId="36" fillId="0" borderId="0" xfId="3" applyNumberFormat="1" applyFont="1" applyFill="1" applyBorder="1" applyAlignment="1">
      <alignment horizontal="left"/>
    </xf>
    <xf numFmtId="43" fontId="37" fillId="0" borderId="0" xfId="0" applyNumberFormat="1" applyFont="1" applyBorder="1" applyAlignment="1">
      <alignment horizontal="right"/>
    </xf>
    <xf numFmtId="43" fontId="36" fillId="0" borderId="0" xfId="3" applyFont="1" applyFill="1" applyBorder="1"/>
    <xf numFmtId="41" fontId="35" fillId="0" borderId="0" xfId="0" quotePrefix="1" applyNumberFormat="1" applyFont="1" applyFill="1" applyAlignment="1">
      <alignment horizontal="left"/>
    </xf>
    <xf numFmtId="43" fontId="23" fillId="0" borderId="14" xfId="0" applyNumberFormat="1" applyFont="1" applyBorder="1" applyAlignment="1">
      <alignment horizontal="right"/>
    </xf>
    <xf numFmtId="49" fontId="23" fillId="0" borderId="12" xfId="0" applyNumberFormat="1" applyFont="1" applyFill="1" applyBorder="1" applyAlignment="1">
      <alignment horizontal="center"/>
    </xf>
    <xf numFmtId="41" fontId="0" fillId="0" borderId="17" xfId="0" applyNumberFormat="1" applyBorder="1"/>
    <xf numFmtId="41" fontId="0" fillId="0" borderId="0" xfId="0" applyNumberFormat="1" applyAlignment="1">
      <alignment horizontal="left"/>
    </xf>
    <xf numFmtId="41" fontId="40" fillId="0" borderId="0" xfId="0" applyNumberFormat="1" applyFont="1"/>
    <xf numFmtId="41" fontId="0" fillId="0" borderId="0" xfId="0" applyNumberFormat="1" applyAlignment="1"/>
    <xf numFmtId="41" fontId="41" fillId="0" borderId="0" xfId="0" applyNumberFormat="1" applyFont="1"/>
    <xf numFmtId="167" fontId="0" fillId="0" borderId="0" xfId="0" applyNumberFormat="1" applyAlignment="1">
      <alignment horizontal="left"/>
    </xf>
    <xf numFmtId="41" fontId="40" fillId="0" borderId="0" xfId="0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14" fontId="0" fillId="0" borderId="12" xfId="0" applyNumberFormat="1" applyBorder="1" applyAlignment="1">
      <alignment horizontal="center"/>
    </xf>
    <xf numFmtId="41" fontId="0" fillId="0" borderId="12" xfId="0" applyNumberFormat="1" applyBorder="1" applyAlignment="1">
      <alignment horizontal="center"/>
    </xf>
    <xf numFmtId="0" fontId="40" fillId="0" borderId="0" xfId="0" applyNumberFormat="1" applyFont="1" applyAlignment="1">
      <alignment horizontal="left"/>
    </xf>
    <xf numFmtId="41" fontId="0" fillId="0" borderId="1" xfId="0" applyNumberFormat="1" applyFill="1" applyBorder="1"/>
    <xf numFmtId="41" fontId="42" fillId="0" borderId="0" xfId="0" applyNumberFormat="1" applyFont="1"/>
    <xf numFmtId="41" fontId="40" fillId="0" borderId="0" xfId="0" applyNumberFormat="1" applyFont="1" applyAlignment="1"/>
    <xf numFmtId="41" fontId="40" fillId="0" borderId="12" xfId="0" applyNumberFormat="1" applyFont="1" applyBorder="1" applyAlignment="1">
      <alignment horizontal="center"/>
    </xf>
    <xf numFmtId="41" fontId="0" fillId="0" borderId="12" xfId="0" applyNumberFormat="1" applyBorder="1" applyAlignment="1">
      <alignment horizontal="center" wrapText="1"/>
    </xf>
    <xf numFmtId="41" fontId="2" fillId="0" borderId="0" xfId="0" applyNumberFormat="1" applyFont="1"/>
    <xf numFmtId="41" fontId="0" fillId="0" borderId="0" xfId="0" applyNumberFormat="1" applyFill="1" applyAlignment="1">
      <alignment horizontal="left" indent="1"/>
    </xf>
    <xf numFmtId="41" fontId="40" fillId="0" borderId="0" xfId="0" applyNumberFormat="1" applyFont="1" applyAlignment="1">
      <alignment horizontal="left" indent="1"/>
    </xf>
    <xf numFmtId="41" fontId="0" fillId="0" borderId="0" xfId="0" applyNumberFormat="1" applyAlignment="1">
      <alignment horizontal="left" indent="1"/>
    </xf>
    <xf numFmtId="41" fontId="40" fillId="0" borderId="0" xfId="0" applyNumberFormat="1" applyFont="1" applyFill="1"/>
    <xf numFmtId="41" fontId="0" fillId="0" borderId="0" xfId="0" applyNumberFormat="1" applyFill="1" applyAlignment="1"/>
    <xf numFmtId="49" fontId="28" fillId="0" borderId="0" xfId="0" applyNumberFormat="1" applyFont="1" applyFill="1" applyAlignment="1"/>
    <xf numFmtId="43" fontId="28" fillId="0" borderId="0" xfId="3" applyFont="1"/>
    <xf numFmtId="171" fontId="23" fillId="0" borderId="0" xfId="3" applyNumberFormat="1" applyFont="1"/>
    <xf numFmtId="172" fontId="23" fillId="0" borderId="0" xfId="3" applyNumberFormat="1" applyFont="1"/>
    <xf numFmtId="43" fontId="43" fillId="0" borderId="0" xfId="0" applyNumberFormat="1" applyFont="1"/>
    <xf numFmtId="43" fontId="23" fillId="0" borderId="0" xfId="0" applyNumberFormat="1" applyFont="1" applyFill="1" applyAlignment="1"/>
    <xf numFmtId="43" fontId="23" fillId="0" borderId="0" xfId="0" applyNumberFormat="1" applyFont="1" applyFill="1" applyAlignment="1">
      <alignment horizontal="left"/>
    </xf>
    <xf numFmtId="42" fontId="0" fillId="0" borderId="0" xfId="0" applyNumberFormat="1" applyFill="1"/>
    <xf numFmtId="41" fontId="44" fillId="0" borderId="0" xfId="70" applyNumberFormat="1" applyFill="1" applyAlignment="1" applyProtection="1"/>
    <xf numFmtId="41" fontId="2" fillId="29" borderId="0" xfId="0" applyNumberFormat="1" applyFont="1" applyFill="1"/>
    <xf numFmtId="0" fontId="45" fillId="0" borderId="0" xfId="0" applyFont="1" applyFill="1" applyAlignment="1">
      <alignment horizontal="left"/>
    </xf>
    <xf numFmtId="0" fontId="46" fillId="0" borderId="0" xfId="0" applyFont="1" applyFill="1" applyAlignment="1">
      <alignment horizontal="left"/>
    </xf>
    <xf numFmtId="43" fontId="46" fillId="0" borderId="0" xfId="3" applyFont="1" applyFill="1"/>
    <xf numFmtId="43" fontId="46" fillId="0" borderId="0" xfId="3" applyFont="1" applyFill="1" applyBorder="1"/>
    <xf numFmtId="0" fontId="46" fillId="0" borderId="0" xfId="0" applyFont="1" applyFill="1"/>
    <xf numFmtId="0" fontId="47" fillId="0" borderId="0" xfId="0" applyFont="1" applyFill="1"/>
    <xf numFmtId="0" fontId="46" fillId="0" borderId="0" xfId="0" applyFont="1"/>
    <xf numFmtId="43" fontId="46" fillId="0" borderId="0" xfId="0" applyNumberFormat="1" applyFont="1"/>
    <xf numFmtId="167" fontId="45" fillId="0" borderId="0" xfId="0" applyNumberFormat="1" applyFont="1" applyFill="1" applyAlignment="1">
      <alignment horizontal="left"/>
    </xf>
    <xf numFmtId="167" fontId="46" fillId="0" borderId="0" xfId="0" applyNumberFormat="1" applyFont="1" applyFill="1" applyAlignment="1">
      <alignment horizontal="left"/>
    </xf>
    <xf numFmtId="3" fontId="46" fillId="0" borderId="0" xfId="0" applyNumberFormat="1" applyFont="1" applyFill="1" applyAlignment="1">
      <alignment horizontal="center"/>
    </xf>
    <xf numFmtId="49" fontId="46" fillId="0" borderId="0" xfId="0" applyNumberFormat="1" applyFont="1" applyFill="1" applyAlignment="1"/>
    <xf numFmtId="43" fontId="46" fillId="0" borderId="0" xfId="3" applyFont="1" applyFill="1" applyAlignment="1">
      <alignment horizontal="center"/>
    </xf>
    <xf numFmtId="43" fontId="46" fillId="0" borderId="0" xfId="3" applyFont="1" applyFill="1" applyBorder="1" applyAlignment="1">
      <alignment horizontal="center"/>
    </xf>
    <xf numFmtId="43" fontId="47" fillId="0" borderId="0" xfId="3" applyFont="1" applyFill="1" applyAlignment="1">
      <alignment horizontal="center"/>
    </xf>
    <xf numFmtId="43" fontId="46" fillId="0" borderId="0" xfId="3" applyFont="1"/>
    <xf numFmtId="43" fontId="46" fillId="0" borderId="0" xfId="3" applyNumberFormat="1" applyFont="1"/>
    <xf numFmtId="49" fontId="46" fillId="0" borderId="0" xfId="0" applyNumberFormat="1" applyFont="1" applyFill="1" applyAlignment="1">
      <alignment horizontal="left"/>
    </xf>
    <xf numFmtId="49" fontId="46" fillId="0" borderId="0" xfId="3" applyNumberFormat="1" applyFont="1" applyFill="1" applyAlignment="1"/>
    <xf numFmtId="43" fontId="46" fillId="0" borderId="0" xfId="3" applyNumberFormat="1" applyFont="1" applyFill="1"/>
    <xf numFmtId="43" fontId="46" fillId="0" borderId="0" xfId="3" applyNumberFormat="1" applyFont="1" applyFill="1" applyBorder="1"/>
    <xf numFmtId="43" fontId="47" fillId="0" borderId="0" xfId="3" applyNumberFormat="1" applyFont="1" applyFill="1"/>
    <xf numFmtId="43" fontId="46" fillId="0" borderId="0" xfId="0" applyNumberFormat="1" applyFont="1" applyFill="1"/>
    <xf numFmtId="49" fontId="48" fillId="0" borderId="0" xfId="0" applyNumberFormat="1" applyFont="1" applyAlignment="1">
      <alignment horizontal="left"/>
    </xf>
    <xf numFmtId="49" fontId="48" fillId="0" borderId="0" xfId="0" applyNumberFormat="1" applyFont="1" applyFill="1" applyAlignment="1">
      <alignment horizontal="left"/>
    </xf>
    <xf numFmtId="43" fontId="47" fillId="0" borderId="0" xfId="3" applyNumberFormat="1" applyFont="1"/>
    <xf numFmtId="168" fontId="48" fillId="0" borderId="0" xfId="0" applyNumberFormat="1" applyFont="1" applyAlignment="1">
      <alignment horizontal="right"/>
    </xf>
    <xf numFmtId="49" fontId="46" fillId="0" borderId="0" xfId="0" quotePrefix="1" applyNumberFormat="1" applyFont="1" applyFill="1" applyAlignment="1">
      <alignment horizontal="left"/>
    </xf>
    <xf numFmtId="43" fontId="47" fillId="0" borderId="0" xfId="3" applyNumberFormat="1" applyFont="1" applyFill="1" applyBorder="1"/>
    <xf numFmtId="168" fontId="48" fillId="0" borderId="0" xfId="0" applyNumberFormat="1" applyFont="1" applyFill="1" applyAlignment="1">
      <alignment horizontal="right"/>
    </xf>
    <xf numFmtId="43" fontId="46" fillId="0" borderId="14" xfId="3" applyNumberFormat="1" applyFont="1" applyFill="1" applyBorder="1" applyAlignment="1">
      <alignment horizontal="left"/>
    </xf>
    <xf numFmtId="43" fontId="46" fillId="0" borderId="14" xfId="0" applyNumberFormat="1" applyFont="1" applyFill="1" applyBorder="1"/>
    <xf numFmtId="43" fontId="46" fillId="0" borderId="0" xfId="3" applyFont="1" applyFill="1" applyAlignment="1">
      <alignment horizontal="left"/>
    </xf>
    <xf numFmtId="43" fontId="47" fillId="0" borderId="0" xfId="3" applyFont="1" applyFill="1"/>
    <xf numFmtId="10" fontId="46" fillId="0" borderId="0" xfId="2" applyNumberFormat="1" applyFont="1" applyFill="1" applyBorder="1"/>
    <xf numFmtId="0" fontId="47" fillId="0" borderId="0" xfId="0" applyFont="1"/>
    <xf numFmtId="0" fontId="49" fillId="0" borderId="0" xfId="0" applyFont="1" applyFill="1" applyAlignment="1">
      <alignment horizontal="left"/>
    </xf>
    <xf numFmtId="0" fontId="28" fillId="0" borderId="0" xfId="0" applyFont="1" applyFill="1"/>
    <xf numFmtId="167" fontId="49" fillId="0" borderId="0" xfId="0" applyNumberFormat="1" applyFont="1" applyFill="1" applyAlignment="1">
      <alignment horizontal="left"/>
    </xf>
    <xf numFmtId="0" fontId="28" fillId="0" borderId="0" xfId="0" applyFont="1" applyFill="1" applyAlignment="1">
      <alignment horizontal="center"/>
    </xf>
    <xf numFmtId="43" fontId="25" fillId="0" borderId="0" xfId="0" applyNumberFormat="1" applyFont="1" applyAlignment="1">
      <alignment horizontal="right"/>
    </xf>
    <xf numFmtId="43" fontId="28" fillId="0" borderId="0" xfId="0" applyNumberFormat="1" applyFont="1" applyFill="1"/>
    <xf numFmtId="0" fontId="50" fillId="0" borderId="0" xfId="0" applyFont="1" applyFill="1"/>
    <xf numFmtId="43" fontId="23" fillId="0" borderId="0" xfId="0" quotePrefix="1" applyNumberFormat="1" applyFont="1" applyFill="1" applyAlignment="1">
      <alignment horizontal="left"/>
    </xf>
    <xf numFmtId="41" fontId="23" fillId="0" borderId="0" xfId="0" applyNumberFormat="1" applyFont="1" applyFill="1" applyAlignment="1">
      <alignment horizontal="left"/>
    </xf>
    <xf numFmtId="43" fontId="25" fillId="0" borderId="0" xfId="0" applyNumberFormat="1" applyFont="1" applyAlignment="1">
      <alignment horizontal="left"/>
    </xf>
    <xf numFmtId="43" fontId="25" fillId="0" borderId="0" xfId="0" applyNumberFormat="1" applyFont="1" applyFill="1" applyAlignment="1">
      <alignment horizontal="right"/>
    </xf>
    <xf numFmtId="2" fontId="25" fillId="0" borderId="0" xfId="0" applyNumberFormat="1" applyFont="1" applyAlignment="1">
      <alignment horizontal="left"/>
    </xf>
    <xf numFmtId="43" fontId="25" fillId="0" borderId="0" xfId="0" applyNumberFormat="1" applyFont="1" applyFill="1" applyAlignment="1">
      <alignment horizontal="left"/>
    </xf>
    <xf numFmtId="43" fontId="25" fillId="0" borderId="0" xfId="0" quotePrefix="1" applyNumberFormat="1" applyFont="1" applyFill="1" applyAlignment="1">
      <alignment horizontal="left"/>
    </xf>
    <xf numFmtId="49" fontId="25" fillId="0" borderId="0" xfId="0" applyNumberFormat="1" applyFont="1" applyAlignment="1">
      <alignment horizontal="left"/>
    </xf>
    <xf numFmtId="43" fontId="50" fillId="0" borderId="0" xfId="0" applyNumberFormat="1" applyFont="1" applyFill="1"/>
    <xf numFmtId="49" fontId="51" fillId="0" borderId="0" xfId="0" applyNumberFormat="1" applyFont="1"/>
    <xf numFmtId="49" fontId="52" fillId="0" borderId="0" xfId="0" applyNumberFormat="1" applyFont="1" applyAlignment="1">
      <alignment horizontal="left"/>
    </xf>
    <xf numFmtId="43" fontId="23" fillId="0" borderId="0" xfId="3" applyNumberFormat="1" applyFont="1" applyFill="1" applyBorder="1" applyAlignment="1">
      <alignment horizontal="left"/>
    </xf>
    <xf numFmtId="43" fontId="25" fillId="0" borderId="0" xfId="0" applyNumberFormat="1" applyFont="1" applyBorder="1" applyAlignment="1">
      <alignment horizontal="right"/>
    </xf>
    <xf numFmtId="43" fontId="23" fillId="0" borderId="0" xfId="0" applyNumberFormat="1" applyFont="1" applyFill="1" applyBorder="1" applyAlignment="1">
      <alignment horizontal="left"/>
    </xf>
    <xf numFmtId="43" fontId="23" fillId="0" borderId="14" xfId="3" applyNumberFormat="1" applyFont="1" applyFill="1" applyBorder="1" applyAlignment="1">
      <alignment horizontal="left"/>
    </xf>
    <xf numFmtId="43" fontId="28" fillId="0" borderId="0" xfId="3" applyNumberFormat="1" applyFont="1" applyFill="1" applyBorder="1" applyAlignment="1">
      <alignment horizontal="left"/>
    </xf>
    <xf numFmtId="43" fontId="28" fillId="0" borderId="0" xfId="3" applyFont="1" applyFill="1" applyBorder="1"/>
    <xf numFmtId="41" fontId="53" fillId="0" borderId="0" xfId="0" applyNumberFormat="1" applyFont="1"/>
    <xf numFmtId="41" fontId="50" fillId="0" borderId="0" xfId="0" applyNumberFormat="1" applyFont="1"/>
    <xf numFmtId="41" fontId="50" fillId="0" borderId="0" xfId="0" applyNumberFormat="1" applyFont="1" applyAlignment="1"/>
    <xf numFmtId="41" fontId="54" fillId="0" borderId="0" xfId="0" applyNumberFormat="1" applyFont="1"/>
    <xf numFmtId="41" fontId="53" fillId="0" borderId="0" xfId="0" applyNumberFormat="1" applyFont="1" applyAlignment="1">
      <alignment horizontal="center"/>
    </xf>
    <xf numFmtId="41" fontId="50" fillId="0" borderId="0" xfId="0" applyNumberFormat="1" applyFont="1" applyAlignment="1">
      <alignment horizontal="center"/>
    </xf>
    <xf numFmtId="14" fontId="50" fillId="0" borderId="12" xfId="0" applyNumberFormat="1" applyFont="1" applyBorder="1" applyAlignment="1">
      <alignment horizontal="center"/>
    </xf>
    <xf numFmtId="41" fontId="50" fillId="0" borderId="12" xfId="0" applyNumberFormat="1" applyFont="1" applyBorder="1" applyAlignment="1">
      <alignment horizontal="center"/>
    </xf>
    <xf numFmtId="0" fontId="53" fillId="0" borderId="0" xfId="0" applyNumberFormat="1" applyFont="1" applyAlignment="1">
      <alignment horizontal="left"/>
    </xf>
    <xf numFmtId="41" fontId="50" fillId="0" borderId="0" xfId="0" applyNumberFormat="1" applyFont="1" applyFill="1"/>
    <xf numFmtId="41" fontId="50" fillId="0" borderId="1" xfId="0" applyNumberFormat="1" applyFont="1" applyBorder="1"/>
    <xf numFmtId="41" fontId="50" fillId="0" borderId="1" xfId="0" applyNumberFormat="1" applyFont="1" applyFill="1" applyBorder="1"/>
    <xf numFmtId="41" fontId="55" fillId="0" borderId="0" xfId="0" applyNumberFormat="1" applyFont="1"/>
    <xf numFmtId="41" fontId="53" fillId="0" borderId="0" xfId="0" applyNumberFormat="1" applyFont="1" applyAlignment="1"/>
    <xf numFmtId="41" fontId="53" fillId="0" borderId="12" xfId="0" applyNumberFormat="1" applyFont="1" applyBorder="1" applyAlignment="1">
      <alignment horizontal="center"/>
    </xf>
    <xf numFmtId="41" fontId="50" fillId="0" borderId="12" xfId="0" applyNumberFormat="1" applyFont="1" applyBorder="1" applyAlignment="1">
      <alignment horizontal="center" wrapText="1"/>
    </xf>
    <xf numFmtId="41" fontId="23" fillId="29" borderId="0" xfId="0" applyNumberFormat="1" applyFont="1" applyFill="1"/>
    <xf numFmtId="41" fontId="23" fillId="0" borderId="0" xfId="0" applyNumberFormat="1" applyFont="1" applyFill="1"/>
    <xf numFmtId="41" fontId="50" fillId="29" borderId="0" xfId="0" applyNumberFormat="1" applyFont="1" applyFill="1"/>
    <xf numFmtId="41" fontId="50" fillId="0" borderId="0" xfId="0" applyNumberFormat="1" applyFont="1" applyBorder="1"/>
    <xf numFmtId="41" fontId="50" fillId="29" borderId="0" xfId="0" applyNumberFormat="1" applyFont="1" applyFill="1" applyBorder="1"/>
    <xf numFmtId="41" fontId="50" fillId="0" borderId="12" xfId="0" applyNumberFormat="1" applyFont="1" applyBorder="1"/>
    <xf numFmtId="41" fontId="50" fillId="29" borderId="12" xfId="0" applyNumberFormat="1" applyFont="1" applyFill="1" applyBorder="1"/>
    <xf numFmtId="41" fontId="50" fillId="0" borderId="0" xfId="0" applyNumberFormat="1" applyFont="1" applyFill="1" applyAlignment="1">
      <alignment horizontal="left" indent="1"/>
    </xf>
    <xf numFmtId="41" fontId="53" fillId="0" borderId="0" xfId="0" applyNumberFormat="1" applyFont="1" applyAlignment="1">
      <alignment horizontal="left" indent="1"/>
    </xf>
    <xf numFmtId="41" fontId="56" fillId="0" borderId="0" xfId="0" applyNumberFormat="1" applyFont="1"/>
    <xf numFmtId="41" fontId="50" fillId="0" borderId="0" xfId="0" applyNumberFormat="1" applyFont="1" applyAlignment="1">
      <alignment horizontal="left" indent="1"/>
    </xf>
    <xf numFmtId="41" fontId="50" fillId="0" borderId="17" xfId="0" applyNumberFormat="1" applyFont="1" applyBorder="1"/>
    <xf numFmtId="41" fontId="53" fillId="0" borderId="0" xfId="0" applyNumberFormat="1" applyFont="1" applyFill="1"/>
    <xf numFmtId="41" fontId="50" fillId="0" borderId="0" xfId="0" applyNumberFormat="1" applyFont="1" applyFill="1" applyAlignment="1"/>
    <xf numFmtId="0" fontId="50" fillId="0" borderId="0" xfId="0" applyFont="1"/>
    <xf numFmtId="9" fontId="57" fillId="28" borderId="0" xfId="0" applyNumberFormat="1" applyFont="1" applyFill="1" applyAlignment="1"/>
    <xf numFmtId="0" fontId="50" fillId="28" borderId="0" xfId="0" applyFont="1" applyFill="1"/>
    <xf numFmtId="0" fontId="50" fillId="28" borderId="0" xfId="0" applyFont="1" applyFill="1" applyAlignment="1">
      <alignment horizontal="right"/>
    </xf>
    <xf numFmtId="15" fontId="58" fillId="28" borderId="0" xfId="0" quotePrefix="1" applyNumberFormat="1" applyFont="1" applyFill="1" applyAlignment="1"/>
    <xf numFmtId="9" fontId="57" fillId="28" borderId="0" xfId="0" applyNumberFormat="1" applyFont="1" applyFill="1" applyAlignment="1">
      <alignment horizontal="right"/>
    </xf>
    <xf numFmtId="15" fontId="58" fillId="28" borderId="0" xfId="0" quotePrefix="1" applyNumberFormat="1" applyFont="1" applyFill="1" applyAlignment="1">
      <alignment horizontal="center"/>
    </xf>
    <xf numFmtId="9" fontId="57" fillId="28" borderId="0" xfId="0" quotePrefix="1" applyNumberFormat="1" applyFont="1" applyFill="1" applyAlignment="1">
      <alignment horizontal="center"/>
    </xf>
    <xf numFmtId="9" fontId="50" fillId="28" borderId="0" xfId="0" applyNumberFormat="1" applyFont="1" applyFill="1"/>
    <xf numFmtId="0" fontId="57" fillId="28" borderId="0" xfId="0" applyFont="1" applyFill="1"/>
    <xf numFmtId="9" fontId="50" fillId="28" borderId="0" xfId="0" applyNumberFormat="1" applyFont="1" applyFill="1" applyAlignment="1">
      <alignment horizontal="right"/>
    </xf>
    <xf numFmtId="15" fontId="50" fillId="28" borderId="0" xfId="0" quotePrefix="1" applyNumberFormat="1" applyFont="1" applyFill="1" applyBorder="1"/>
    <xf numFmtId="9" fontId="50" fillId="28" borderId="0" xfId="0" quotePrefix="1" applyNumberFormat="1" applyFont="1" applyFill="1" applyAlignment="1">
      <alignment horizontal="right"/>
    </xf>
    <xf numFmtId="15" fontId="50" fillId="28" borderId="0" xfId="0" quotePrefix="1" applyNumberFormat="1" applyFont="1" applyFill="1"/>
    <xf numFmtId="41" fontId="50" fillId="28" borderId="0" xfId="0" applyNumberFormat="1" applyFont="1" applyFill="1" applyBorder="1" applyAlignment="1"/>
    <xf numFmtId="41" fontId="50" fillId="28" borderId="0" xfId="0" applyNumberFormat="1" applyFont="1" applyFill="1" applyAlignment="1"/>
    <xf numFmtId="41" fontId="50" fillId="28" borderId="0" xfId="0" applyNumberFormat="1" applyFont="1" applyFill="1" applyBorder="1"/>
    <xf numFmtId="41" fontId="50" fillId="28" borderId="0" xfId="0" applyNumberFormat="1" applyFont="1" applyFill="1"/>
    <xf numFmtId="41" fontId="50" fillId="28" borderId="14" xfId="0" applyNumberFormat="1" applyFont="1" applyFill="1" applyBorder="1"/>
    <xf numFmtId="0" fontId="50" fillId="28" borderId="0" xfId="0" applyFont="1" applyFill="1" applyBorder="1" applyAlignment="1">
      <alignment horizontal="right"/>
    </xf>
    <xf numFmtId="41" fontId="50" fillId="28" borderId="0" xfId="0" applyNumberFormat="1" applyFont="1" applyFill="1" applyBorder="1" applyAlignment="1">
      <alignment horizontal="right"/>
    </xf>
    <xf numFmtId="41" fontId="50" fillId="28" borderId="0" xfId="0" applyNumberFormat="1" applyFont="1" applyFill="1" applyAlignment="1">
      <alignment horizontal="right"/>
    </xf>
    <xf numFmtId="41" fontId="50" fillId="28" borderId="15" xfId="0" applyNumberFormat="1" applyFont="1" applyFill="1" applyBorder="1"/>
    <xf numFmtId="9" fontId="50" fillId="28" borderId="0" xfId="0" applyNumberFormat="1" applyFont="1" applyFill="1" applyBorder="1" applyAlignment="1">
      <alignment horizontal="right"/>
    </xf>
    <xf numFmtId="41" fontId="50" fillId="28" borderId="15" xfId="0" applyNumberFormat="1" applyFont="1" applyFill="1" applyBorder="1" applyAlignment="1">
      <alignment horizontal="right"/>
    </xf>
    <xf numFmtId="41" fontId="50" fillId="28" borderId="20" xfId="0" applyNumberFormat="1" applyFont="1" applyFill="1" applyBorder="1"/>
    <xf numFmtId="41" fontId="50" fillId="28" borderId="12" xfId="0" applyNumberFormat="1" applyFont="1" applyFill="1" applyBorder="1"/>
    <xf numFmtId="41" fontId="50" fillId="28" borderId="14" xfId="0" applyNumberFormat="1" applyFont="1" applyFill="1" applyBorder="1" applyAlignment="1">
      <alignment horizontal="right"/>
    </xf>
    <xf numFmtId="41" fontId="50" fillId="28" borderId="1" xfId="0" applyNumberFormat="1" applyFont="1" applyFill="1" applyBorder="1"/>
    <xf numFmtId="42" fontId="50" fillId="28" borderId="0" xfId="0" applyNumberFormat="1" applyFont="1" applyFill="1" applyBorder="1"/>
    <xf numFmtId="42" fontId="50" fillId="28" borderId="0" xfId="0" applyNumberFormat="1" applyFont="1" applyFill="1"/>
    <xf numFmtId="41" fontId="50" fillId="28" borderId="16" xfId="0" applyNumberFormat="1" applyFont="1" applyFill="1" applyBorder="1" applyAlignment="1">
      <alignment horizontal="right"/>
    </xf>
    <xf numFmtId="41" fontId="50" fillId="28" borderId="16" xfId="0" applyNumberFormat="1" applyFont="1" applyFill="1" applyBorder="1"/>
    <xf numFmtId="0" fontId="50" fillId="28" borderId="0" xfId="0" applyFont="1" applyFill="1" applyBorder="1"/>
    <xf numFmtId="4" fontId="50" fillId="28" borderId="0" xfId="0" applyNumberFormat="1" applyFont="1" applyFill="1" applyBorder="1"/>
    <xf numFmtId="4" fontId="50" fillId="28" borderId="0" xfId="0" applyNumberFormat="1" applyFont="1" applyFill="1"/>
    <xf numFmtId="15" fontId="58" fillId="28" borderId="0" xfId="0" quotePrefix="1" applyNumberFormat="1" applyFont="1" applyFill="1" applyAlignment="1">
      <alignment horizontal="right"/>
    </xf>
    <xf numFmtId="43" fontId="50" fillId="28" borderId="0" xfId="0" applyNumberFormat="1" applyFont="1" applyFill="1"/>
    <xf numFmtId="41" fontId="50" fillId="28" borderId="1" xfId="0" applyNumberFormat="1" applyFont="1" applyFill="1" applyBorder="1" applyAlignment="1">
      <alignment horizontal="right"/>
    </xf>
    <xf numFmtId="0" fontId="57" fillId="28" borderId="0" xfId="0" applyFont="1" applyFill="1" applyBorder="1" applyAlignment="1"/>
    <xf numFmtId="41" fontId="50" fillId="28" borderId="17" xfId="0" applyNumberFormat="1" applyFont="1" applyFill="1" applyBorder="1"/>
    <xf numFmtId="43" fontId="59" fillId="28" borderId="0" xfId="0" applyNumberFormat="1" applyFont="1" applyFill="1"/>
    <xf numFmtId="43" fontId="26" fillId="28" borderId="0" xfId="0" applyNumberFormat="1" applyFont="1" applyFill="1"/>
    <xf numFmtId="43" fontId="60" fillId="28" borderId="0" xfId="0" applyNumberFormat="1" applyFont="1" applyFill="1" applyAlignment="1">
      <alignment horizontal="center"/>
    </xf>
    <xf numFmtId="43" fontId="59" fillId="28" borderId="0" xfId="0" applyNumberFormat="1" applyFont="1" applyFill="1" applyAlignment="1">
      <alignment horizontal="center"/>
    </xf>
    <xf numFmtId="43" fontId="60" fillId="28" borderId="0" xfId="0" applyNumberFormat="1" applyFont="1" applyFill="1"/>
    <xf numFmtId="43" fontId="59" fillId="28" borderId="0" xfId="0" applyNumberFormat="1" applyFont="1" applyFill="1" applyBorder="1" applyAlignment="1">
      <alignment horizontal="center"/>
    </xf>
    <xf numFmtId="43" fontId="59" fillId="28" borderId="19" xfId="0" quotePrefix="1" applyNumberFormat="1" applyFont="1" applyFill="1" applyBorder="1" applyAlignment="1">
      <alignment horizontal="center"/>
    </xf>
    <xf numFmtId="43" fontId="59" fillId="28" borderId="0" xfId="0" quotePrefix="1" applyNumberFormat="1" applyFont="1" applyFill="1" applyBorder="1" applyAlignment="1">
      <alignment horizontal="center"/>
    </xf>
    <xf numFmtId="43" fontId="60" fillId="28" borderId="19" xfId="0" applyNumberFormat="1" applyFont="1" applyFill="1" applyBorder="1" applyAlignment="1">
      <alignment horizontal="center"/>
    </xf>
    <xf numFmtId="43" fontId="60" fillId="28" borderId="0" xfId="0" quotePrefix="1" applyNumberFormat="1" applyFont="1" applyFill="1" applyBorder="1" applyAlignment="1">
      <alignment horizontal="center"/>
    </xf>
    <xf numFmtId="43" fontId="59" fillId="28" borderId="0" xfId="0" applyNumberFormat="1" applyFont="1" applyFill="1" applyAlignment="1"/>
    <xf numFmtId="43" fontId="59" fillId="28" borderId="0" xfId="0" applyNumberFormat="1" applyFont="1" applyFill="1" applyBorder="1" applyAlignment="1"/>
    <xf numFmtId="15" fontId="59" fillId="28" borderId="0" xfId="0" applyNumberFormat="1" applyFont="1" applyFill="1" applyAlignment="1">
      <alignment horizontal="center"/>
    </xf>
    <xf numFmtId="41" fontId="26" fillId="28" borderId="0" xfId="0" applyNumberFormat="1" applyFont="1" applyFill="1"/>
    <xf numFmtId="42" fontId="26" fillId="28" borderId="0" xfId="0" applyNumberFormat="1" applyFont="1" applyFill="1"/>
    <xf numFmtId="0" fontId="62" fillId="0" borderId="0" xfId="0" applyFont="1"/>
    <xf numFmtId="42" fontId="62" fillId="0" borderId="0" xfId="0" applyNumberFormat="1" applyFont="1"/>
    <xf numFmtId="15" fontId="61" fillId="28" borderId="0" xfId="0" applyNumberFormat="1" applyFont="1" applyFill="1" applyAlignment="1">
      <alignment horizontal="center"/>
    </xf>
    <xf numFmtId="41" fontId="26" fillId="28" borderId="0" xfId="0" applyNumberFormat="1" applyFont="1" applyFill="1" applyBorder="1"/>
    <xf numFmtId="43" fontId="63" fillId="28" borderId="0" xfId="0" applyNumberFormat="1" applyFont="1" applyFill="1"/>
    <xf numFmtId="43" fontId="62" fillId="28" borderId="0" xfId="0" applyNumberFormat="1" applyFont="1" applyFill="1"/>
    <xf numFmtId="41" fontId="26" fillId="28" borderId="18" xfId="0" applyNumberFormat="1" applyFont="1" applyFill="1" applyBorder="1"/>
    <xf numFmtId="41" fontId="62" fillId="0" borderId="0" xfId="0" applyNumberFormat="1" applyFont="1"/>
    <xf numFmtId="0" fontId="26" fillId="28" borderId="0" xfId="0" applyFont="1" applyFill="1"/>
    <xf numFmtId="41" fontId="26" fillId="28" borderId="0" xfId="0" applyNumberFormat="1" applyFont="1" applyFill="1" applyAlignment="1">
      <alignment horizontal="right"/>
    </xf>
    <xf numFmtId="0" fontId="62" fillId="28" borderId="0" xfId="0" applyFont="1" applyFill="1"/>
    <xf numFmtId="41" fontId="26" fillId="28" borderId="1" xfId="0" applyNumberFormat="1" applyFont="1" applyFill="1" applyBorder="1"/>
    <xf numFmtId="42" fontId="26" fillId="28" borderId="1" xfId="0" applyNumberFormat="1" applyFont="1" applyFill="1" applyBorder="1"/>
    <xf numFmtId="41" fontId="64" fillId="28" borderId="0" xfId="0" applyNumberFormat="1" applyFont="1" applyFill="1"/>
    <xf numFmtId="0" fontId="50" fillId="0" borderId="0" xfId="0" applyFont="1" applyAlignment="1">
      <alignment horizontal="right"/>
    </xf>
    <xf numFmtId="9" fontId="50" fillId="0" borderId="0" xfId="0" applyNumberFormat="1" applyFont="1" applyAlignment="1">
      <alignment horizontal="right"/>
    </xf>
    <xf numFmtId="9" fontId="50" fillId="0" borderId="0" xfId="0" applyNumberFormat="1" applyFont="1"/>
    <xf numFmtId="0" fontId="66" fillId="0" borderId="0" xfId="0" applyFont="1"/>
    <xf numFmtId="15" fontId="58" fillId="28" borderId="0" xfId="0" quotePrefix="1" applyNumberFormat="1" applyFont="1" applyFill="1" applyBorder="1" applyAlignment="1">
      <alignment horizontal="center"/>
    </xf>
    <xf numFmtId="41" fontId="50" fillId="0" borderId="15" xfId="0" applyNumberFormat="1" applyFont="1" applyBorder="1"/>
    <xf numFmtId="10" fontId="50" fillId="0" borderId="0" xfId="0" applyNumberFormat="1" applyFont="1"/>
    <xf numFmtId="41" fontId="23" fillId="0" borderId="0" xfId="0" quotePrefix="1" applyNumberFormat="1" applyFont="1" applyFill="1" applyAlignment="1">
      <alignment horizontal="left"/>
    </xf>
    <xf numFmtId="0" fontId="67" fillId="0" borderId="0" xfId="0" applyFont="1" applyFill="1" applyAlignment="1">
      <alignment horizontal="left"/>
    </xf>
    <xf numFmtId="167" fontId="67" fillId="0" borderId="0" xfId="0" applyNumberFormat="1" applyFont="1" applyFill="1" applyAlignment="1">
      <alignment horizontal="left"/>
    </xf>
    <xf numFmtId="43" fontId="50" fillId="0" borderId="0" xfId="0" applyNumberFormat="1" applyFont="1"/>
    <xf numFmtId="41" fontId="66" fillId="0" borderId="0" xfId="0" applyNumberFormat="1" applyFont="1"/>
    <xf numFmtId="42" fontId="26" fillId="28" borderId="18" xfId="0" applyNumberFormat="1" applyFont="1" applyFill="1" applyBorder="1"/>
    <xf numFmtId="43" fontId="27" fillId="24" borderId="0" xfId="0" applyNumberFormat="1" applyFont="1" applyFill="1"/>
    <xf numFmtId="0" fontId="0" fillId="0" borderId="0" xfId="0" applyFont="1"/>
    <xf numFmtId="43" fontId="47" fillId="24" borderId="0" xfId="3" applyNumberFormat="1" applyFont="1" applyFill="1"/>
    <xf numFmtId="43" fontId="46" fillId="24" borderId="0" xfId="3" applyNumberFormat="1" applyFont="1" applyFill="1" applyBorder="1"/>
    <xf numFmtId="43" fontId="23" fillId="24" borderId="0" xfId="3" applyNumberFormat="1" applyFont="1" applyFill="1" applyBorder="1"/>
    <xf numFmtId="0" fontId="68" fillId="0" borderId="0" xfId="0" applyFont="1"/>
    <xf numFmtId="0" fontId="69" fillId="0" borderId="0" xfId="0" applyFont="1"/>
    <xf numFmtId="0" fontId="68" fillId="0" borderId="0" xfId="0" applyFont="1" applyAlignment="1">
      <alignment horizontal="center"/>
    </xf>
    <xf numFmtId="14" fontId="68" fillId="0" borderId="0" xfId="0" applyNumberFormat="1" applyFont="1"/>
    <xf numFmtId="41" fontId="68" fillId="0" borderId="0" xfId="0" applyNumberFormat="1" applyFont="1"/>
    <xf numFmtId="41" fontId="70" fillId="0" borderId="0" xfId="0" applyNumberFormat="1" applyFont="1"/>
    <xf numFmtId="43" fontId="70" fillId="0" borderId="0" xfId="0" applyNumberFormat="1" applyFont="1"/>
    <xf numFmtId="43" fontId="71" fillId="24" borderId="0" xfId="3" applyFont="1" applyFill="1"/>
    <xf numFmtId="43" fontId="71" fillId="24" borderId="0" xfId="0" applyNumberFormat="1" applyFont="1" applyFill="1" applyAlignment="1"/>
    <xf numFmtId="0" fontId="72" fillId="0" borderId="0" xfId="0" pivotButton="1" applyFont="1"/>
    <xf numFmtId="0" fontId="72" fillId="0" borderId="0" xfId="0" applyFont="1" applyAlignment="1">
      <alignment horizontal="left"/>
    </xf>
    <xf numFmtId="43" fontId="72" fillId="0" borderId="0" xfId="0" applyNumberFormat="1" applyFont="1"/>
    <xf numFmtId="0" fontId="72" fillId="0" borderId="0" xfId="0" applyFont="1" applyFill="1"/>
    <xf numFmtId="0" fontId="72" fillId="0" borderId="0" xfId="0" applyFont="1" applyFill="1" applyAlignment="1">
      <alignment horizontal="left"/>
    </xf>
    <xf numFmtId="43" fontId="72" fillId="0" borderId="0" xfId="0" applyNumberFormat="1" applyFont="1" applyFill="1"/>
    <xf numFmtId="43" fontId="72" fillId="0" borderId="0" xfId="0" applyNumberFormat="1" applyFont="1" applyFill="1" applyAlignment="1">
      <alignment horizontal="left"/>
    </xf>
    <xf numFmtId="0" fontId="73" fillId="0" borderId="0" xfId="0" applyFont="1" applyFill="1"/>
    <xf numFmtId="43" fontId="73" fillId="0" borderId="0" xfId="0" applyNumberFormat="1" applyFont="1" applyFill="1"/>
    <xf numFmtId="43" fontId="73" fillId="0" borderId="0" xfId="0" applyNumberFormat="1" applyFont="1" applyFill="1" applyAlignment="1">
      <alignment horizontal="left"/>
    </xf>
    <xf numFmtId="166" fontId="72" fillId="0" borderId="0" xfId="0" applyNumberFormat="1" applyFont="1"/>
    <xf numFmtId="0" fontId="65" fillId="28" borderId="0" xfId="0" applyFont="1" applyFill="1" applyAlignment="1">
      <alignment horizontal="center"/>
    </xf>
    <xf numFmtId="167" fontId="65" fillId="28" borderId="0" xfId="0" applyNumberFormat="1" applyFont="1" applyFill="1" applyAlignment="1">
      <alignment horizontal="center"/>
    </xf>
    <xf numFmtId="43" fontId="60" fillId="28" borderId="0" xfId="0" applyNumberFormat="1" applyFont="1" applyFill="1" applyAlignment="1">
      <alignment horizontal="center"/>
    </xf>
    <xf numFmtId="173" fontId="61" fillId="28" borderId="0" xfId="0" applyNumberFormat="1" applyFont="1" applyFill="1" applyAlignment="1">
      <alignment horizontal="left"/>
    </xf>
    <xf numFmtId="43" fontId="63" fillId="28" borderId="0" xfId="0" applyNumberFormat="1" applyFont="1" applyFill="1" applyAlignment="1">
      <alignment horizontal="left"/>
    </xf>
    <xf numFmtId="43" fontId="59" fillId="28" borderId="19" xfId="0" applyNumberFormat="1" applyFont="1" applyFill="1" applyBorder="1" applyAlignment="1">
      <alignment horizontal="center"/>
    </xf>
    <xf numFmtId="43" fontId="63" fillId="28" borderId="0" xfId="0" applyNumberFormat="1" applyFont="1" applyFill="1" applyAlignment="1">
      <alignment horizontal="left" wrapText="1"/>
    </xf>
    <xf numFmtId="0" fontId="57" fillId="28" borderId="0" xfId="0" applyFont="1" applyFill="1" applyAlignment="1">
      <alignment horizontal="center"/>
    </xf>
    <xf numFmtId="0" fontId="23" fillId="0" borderId="14" xfId="0" applyFont="1" applyBorder="1" applyAlignment="1">
      <alignment horizontal="right"/>
    </xf>
    <xf numFmtId="0" fontId="23" fillId="0" borderId="0" xfId="0" applyFont="1" applyAlignment="1">
      <alignment horizontal="left"/>
    </xf>
    <xf numFmtId="49" fontId="23" fillId="0" borderId="0" xfId="0" applyNumberFormat="1" applyFont="1" applyAlignment="1">
      <alignment horizontal="left"/>
    </xf>
  </cellXfs>
  <cellStyles count="7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3" builtinId="3"/>
    <cellStyle name="Comma 2" xfId="33" xr:uid="{00000000-0005-0000-0000-00001C000000}"/>
    <cellStyle name="Comma 2 2" xfId="59" xr:uid="{00000000-0005-0000-0000-00001D000000}"/>
    <cellStyle name="Comma 3" xfId="67" xr:uid="{00000000-0005-0000-0000-00001E000000}"/>
    <cellStyle name="Comma 4" xfId="69" xr:uid="{00000000-0005-0000-0000-00001F000000}"/>
    <cellStyle name="Comma 5" xfId="32" xr:uid="{00000000-0005-0000-0000-000020000000}"/>
    <cellStyle name="Currency" xfId="1" builtinId="4"/>
    <cellStyle name="Currency 2" xfId="35" xr:uid="{00000000-0005-0000-0000-000022000000}"/>
    <cellStyle name="Currency 2 2" xfId="36" xr:uid="{00000000-0005-0000-0000-000023000000}"/>
    <cellStyle name="Currency 2 3" xfId="60" xr:uid="{00000000-0005-0000-0000-000024000000}"/>
    <cellStyle name="Currency 3" xfId="37" xr:uid="{00000000-0005-0000-0000-000025000000}"/>
    <cellStyle name="Currency 3 2" xfId="61" xr:uid="{00000000-0005-0000-0000-000026000000}"/>
    <cellStyle name="Currency 4" xfId="38" xr:uid="{00000000-0005-0000-0000-000027000000}"/>
    <cellStyle name="Currency 4 2" xfId="62" xr:uid="{00000000-0005-0000-0000-000028000000}"/>
    <cellStyle name="Currency 5" xfId="39" xr:uid="{00000000-0005-0000-0000-000029000000}"/>
    <cellStyle name="Currency 5 2" xfId="63" xr:uid="{00000000-0005-0000-0000-00002A000000}"/>
    <cellStyle name="Currency 6" xfId="34" xr:uid="{00000000-0005-0000-0000-00002B000000}"/>
    <cellStyle name="Explanatory Text 2" xfId="40" xr:uid="{00000000-0005-0000-0000-00002C000000}"/>
    <cellStyle name="Good 2" xfId="41" xr:uid="{00000000-0005-0000-0000-00002D000000}"/>
    <cellStyle name="Heading 1 2" xfId="42" xr:uid="{00000000-0005-0000-0000-00002E000000}"/>
    <cellStyle name="Heading 2 2" xfId="43" xr:uid="{00000000-0005-0000-0000-00002F000000}"/>
    <cellStyle name="Heading 3 2" xfId="44" xr:uid="{00000000-0005-0000-0000-000030000000}"/>
    <cellStyle name="Heading 4 2" xfId="45" xr:uid="{00000000-0005-0000-0000-000031000000}"/>
    <cellStyle name="Hyperlink" xfId="70" builtinId="8"/>
    <cellStyle name="Input 2" xfId="46" xr:uid="{00000000-0005-0000-0000-000033000000}"/>
    <cellStyle name="Linked Cell 2" xfId="47" xr:uid="{00000000-0005-0000-0000-000034000000}"/>
    <cellStyle name="Neutral 2" xfId="48" xr:uid="{00000000-0005-0000-0000-000035000000}"/>
    <cellStyle name="Normal" xfId="0" builtinId="0"/>
    <cellStyle name="Normal 2" xfId="49" xr:uid="{00000000-0005-0000-0000-000037000000}"/>
    <cellStyle name="Normal 2 2" xfId="50" xr:uid="{00000000-0005-0000-0000-000038000000}"/>
    <cellStyle name="Normal 2 3" xfId="64" xr:uid="{00000000-0005-0000-0000-000039000000}"/>
    <cellStyle name="Normal 3" xfId="51" xr:uid="{00000000-0005-0000-0000-00003A000000}"/>
    <cellStyle name="Normal 4" xfId="66" xr:uid="{00000000-0005-0000-0000-00003B000000}"/>
    <cellStyle name="Normal 5" xfId="68" xr:uid="{00000000-0005-0000-0000-00003C000000}"/>
    <cellStyle name="Normal 6" xfId="4" xr:uid="{00000000-0005-0000-0000-00003D000000}"/>
    <cellStyle name="Note 2" xfId="52" xr:uid="{00000000-0005-0000-0000-00003E000000}"/>
    <cellStyle name="Output 2" xfId="53" xr:uid="{00000000-0005-0000-0000-00003F000000}"/>
    <cellStyle name="Percent" xfId="2" builtinId="5"/>
    <cellStyle name="Percent 2" xfId="55" xr:uid="{00000000-0005-0000-0000-000041000000}"/>
    <cellStyle name="Percent 2 2" xfId="65" xr:uid="{00000000-0005-0000-0000-000042000000}"/>
    <cellStyle name="Percent 3" xfId="54" xr:uid="{00000000-0005-0000-0000-000043000000}"/>
    <cellStyle name="Title 2" xfId="56" xr:uid="{00000000-0005-0000-0000-000044000000}"/>
    <cellStyle name="Total 2" xfId="57" xr:uid="{00000000-0005-0000-0000-000045000000}"/>
    <cellStyle name="Warning Text 2" xfId="58" xr:uid="{00000000-0005-0000-0000-000046000000}"/>
  </cellStyles>
  <dxfs count="20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font>
        <b val="0"/>
      </font>
    </dxf>
    <dxf>
      <numFmt numFmtId="35" formatCode="_(* #,##0.00_);_(* \(#,##0.00\);_(* &quot;-&quot;??_);_(@_)"/>
    </dxf>
    <dxf>
      <font>
        <color auto="1"/>
      </font>
    </dxf>
    <dxf>
      <font>
        <name val="Cambria"/>
        <scheme val="major"/>
      </font>
    </dxf>
    <dxf>
      <font>
        <sz val="10"/>
      </font>
    </dxf>
    <dxf>
      <font>
        <b val="0"/>
      </font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font>
        <b val="0"/>
      </font>
    </dxf>
    <dxf>
      <font>
        <color auto="1"/>
      </font>
    </dxf>
    <dxf>
      <font>
        <name val="Cambria"/>
        <scheme val="major"/>
      </font>
    </dxf>
    <dxf>
      <font>
        <sz val="10"/>
      </font>
    </dxf>
    <dxf>
      <font>
        <b val="0"/>
      </font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font>
        <b val="0"/>
      </font>
    </dxf>
    <dxf>
      <font>
        <color auto="1"/>
      </font>
    </dxf>
    <dxf>
      <font>
        <name val="Cambria"/>
        <scheme val="major"/>
      </font>
    </dxf>
    <dxf>
      <font>
        <sz val="10"/>
      </font>
    </dxf>
    <dxf>
      <font>
        <b val="0"/>
      </font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font>
        <b val="0"/>
      </font>
    </dxf>
    <dxf>
      <font>
        <color auto="1"/>
      </font>
    </dxf>
    <dxf>
      <font>
        <name val="Cambria"/>
        <scheme val="major"/>
      </font>
    </dxf>
    <dxf>
      <font>
        <sz val="10"/>
      </font>
    </dxf>
    <dxf>
      <font>
        <b val="0"/>
      </font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font>
        <b val="0"/>
      </font>
    </dxf>
    <dxf>
      <font>
        <color auto="1"/>
      </font>
    </dxf>
    <dxf>
      <font>
        <name val="Cambria"/>
        <scheme val="major"/>
      </font>
    </dxf>
    <dxf>
      <font>
        <sz val="10"/>
      </font>
    </dxf>
    <dxf>
      <font>
        <b val="0"/>
      </font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174" formatCode="00000"/>
    </dxf>
    <dxf>
      <fill>
        <patternFill patternType="none">
          <bgColor auto="1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sz val="12"/>
      </font>
    </dxf>
    <dxf>
      <font>
        <sz val="12"/>
      </font>
    </dxf>
    <dxf>
      <numFmt numFmtId="32" formatCode="_(&quot;$&quot;* #,##0_);_(&quot;$&quot;* \(#,##0\);_(&quot;$&quot;* &quot;-&quot;_);_(@_)"/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numFmt numFmtId="32" formatCode="_(&quot;$&quot;* #,##0_);_(&quot;$&quot;* \(#,##0\);_(&quot;$&quot;* &quot;-&quot;_);_(@_)"/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font>
        <name val="Cambria"/>
        <scheme val="major"/>
      </font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ont>
        <color auto="1"/>
      </font>
    </dxf>
    <dxf>
      <font>
        <sz val="10"/>
      </font>
    </dxf>
    <dxf>
      <font>
        <name val="Cambria"/>
        <scheme val="maj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pivotCacheDefinition" Target="pivotCache/pivotCacheDefinition6.xml"/><Relationship Id="rId47" Type="http://schemas.openxmlformats.org/officeDocument/2006/relationships/pivotCacheDefinition" Target="pivotCache/pivotCacheDefinition11.xml"/><Relationship Id="rId50" Type="http://schemas.openxmlformats.org/officeDocument/2006/relationships/pivotCacheDefinition" Target="pivotCache/pivotCacheDefinition14.xml"/><Relationship Id="rId55" Type="http://schemas.openxmlformats.org/officeDocument/2006/relationships/pivotCacheDefinition" Target="pivotCache/pivotCacheDefinition19.xml"/><Relationship Id="rId63" Type="http://schemas.openxmlformats.org/officeDocument/2006/relationships/pivotCacheDefinition" Target="pivotCache/pivotCacheDefinition27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pivotCacheDefinition" Target="pivotCache/pivotCacheDefinition1.xml"/><Relationship Id="rId40" Type="http://schemas.openxmlformats.org/officeDocument/2006/relationships/pivotCacheDefinition" Target="pivotCache/pivotCacheDefinition4.xml"/><Relationship Id="rId45" Type="http://schemas.openxmlformats.org/officeDocument/2006/relationships/pivotCacheDefinition" Target="pivotCache/pivotCacheDefinition9.xml"/><Relationship Id="rId53" Type="http://schemas.openxmlformats.org/officeDocument/2006/relationships/pivotCacheDefinition" Target="pivotCache/pivotCacheDefinition17.xml"/><Relationship Id="rId58" Type="http://schemas.openxmlformats.org/officeDocument/2006/relationships/pivotCacheDefinition" Target="pivotCache/pivotCacheDefinition22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49" Type="http://schemas.openxmlformats.org/officeDocument/2006/relationships/pivotCacheDefinition" Target="pivotCache/pivotCacheDefinition13.xml"/><Relationship Id="rId57" Type="http://schemas.openxmlformats.org/officeDocument/2006/relationships/pivotCacheDefinition" Target="pivotCache/pivotCacheDefinition21.xml"/><Relationship Id="rId61" Type="http://schemas.openxmlformats.org/officeDocument/2006/relationships/pivotCacheDefinition" Target="pivotCache/pivotCacheDefinition2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pivotCacheDefinition" Target="pivotCache/pivotCacheDefinition8.xml"/><Relationship Id="rId52" Type="http://schemas.openxmlformats.org/officeDocument/2006/relationships/pivotCacheDefinition" Target="pivotCache/pivotCacheDefinition16.xml"/><Relationship Id="rId60" Type="http://schemas.openxmlformats.org/officeDocument/2006/relationships/pivotCacheDefinition" Target="pivotCache/pivotCacheDefinition24.xml"/><Relationship Id="rId65" Type="http://schemas.openxmlformats.org/officeDocument/2006/relationships/pivotCacheDefinition" Target="pivotCache/pivotCacheDefinition2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43" Type="http://schemas.openxmlformats.org/officeDocument/2006/relationships/pivotCacheDefinition" Target="pivotCache/pivotCacheDefinition7.xml"/><Relationship Id="rId48" Type="http://schemas.openxmlformats.org/officeDocument/2006/relationships/pivotCacheDefinition" Target="pivotCache/pivotCacheDefinition12.xml"/><Relationship Id="rId56" Type="http://schemas.openxmlformats.org/officeDocument/2006/relationships/pivotCacheDefinition" Target="pivotCache/pivotCacheDefinition20.xml"/><Relationship Id="rId64" Type="http://schemas.openxmlformats.org/officeDocument/2006/relationships/pivotCacheDefinition" Target="pivotCache/pivotCacheDefinition28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1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pivotCacheDefinition" Target="pivotCache/pivotCacheDefinition2.xml"/><Relationship Id="rId46" Type="http://schemas.openxmlformats.org/officeDocument/2006/relationships/pivotCacheDefinition" Target="pivotCache/pivotCacheDefinition10.xml"/><Relationship Id="rId59" Type="http://schemas.openxmlformats.org/officeDocument/2006/relationships/pivotCacheDefinition" Target="pivotCache/pivotCacheDefinition23.xml"/><Relationship Id="rId67" Type="http://schemas.openxmlformats.org/officeDocument/2006/relationships/connections" Target="connections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5.xml"/><Relationship Id="rId54" Type="http://schemas.openxmlformats.org/officeDocument/2006/relationships/pivotCacheDefinition" Target="pivotCache/pivotCacheDefinition18.xml"/><Relationship Id="rId62" Type="http://schemas.openxmlformats.org/officeDocument/2006/relationships/pivotCacheDefinition" Target="pivotCache/pivotCacheDefinition26.xml"/><Relationship Id="rId70" Type="http://schemas.openxmlformats.org/officeDocument/2006/relationships/powerPivotData" Target="model/item.data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ope/Dropbox/AmeraMex%20International/3.31.18%20&amp;%2019%20reviews/01%20GENERAL/01-08%20Financials%207%20Footnotes/2019-2018%20FIRST%20QTR%20COMPARIS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ope/Dropbox/AmeraMex%20International/2021/Reviews/1st%20QTR/08%20NOTES%20PAYABLE/01%20Debt%20Roll%20Forward/03%20Debt%20Roll%20Forward%20-%20March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ccounting%20Department\08%20LONG%20TERM%20DEBT\Debt%20Metrics\2018\09%20Debt%20Roll%20Forward%20-%20September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ccounting%20Department\07%20OTHER%20CURRENT%20LIABILITIES\01%20DEFERRED%20REVENUE\2018\09%20September%202018\Copy%20of%201.%20Anderson%20Funding%20DR%20JE%20Sup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BS Mar 19"/>
      <sheetName val="BS 1st QTR 19"/>
      <sheetName val="BS 1st QTR 18"/>
      <sheetName val="Statement of Operations"/>
      <sheetName val="P&amp;L Mar 19"/>
      <sheetName val="P&amp;L 1st QTR 19"/>
      <sheetName val="P&amp;L 1st QTR 18"/>
      <sheetName val="Cash Flows"/>
      <sheetName val="CF WB 3.2019"/>
      <sheetName val="CF WB 3.2018"/>
      <sheetName val="TB Mar 19"/>
      <sheetName val="Stockholders Equity"/>
      <sheetName val="TB 1st QTR 19"/>
      <sheetName val="TB 1st QTR 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1">
          <cell r="I51">
            <v>0</v>
          </cell>
        </row>
      </sheetData>
      <sheetData sheetId="14">
        <row r="41">
          <cell r="H41">
            <v>0</v>
          </cell>
        </row>
        <row r="42">
          <cell r="I42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bt Rollforward"/>
      <sheetName val="NP 060"/>
      <sheetName val="ROC 001"/>
      <sheetName val="ROC 002"/>
      <sheetName val="ROC 003"/>
      <sheetName val="ROC 004"/>
      <sheetName val="ROC 005"/>
      <sheetName val="ROC 006"/>
      <sheetName val="ROC 007"/>
      <sheetName val="NP 044"/>
      <sheetName val="NP 045"/>
      <sheetName val="NP 046"/>
      <sheetName val="NP 047"/>
      <sheetName val="NP 048"/>
      <sheetName val="NP 049"/>
      <sheetName val="NP 050"/>
      <sheetName val="NP 051"/>
      <sheetName val="NP 052"/>
      <sheetName val="NP 054"/>
      <sheetName val="NP 055"/>
      <sheetName val="NP 056"/>
      <sheetName val="NP 058"/>
      <sheetName val="NP 059"/>
      <sheetName val="NP 007"/>
      <sheetName val="NP 010"/>
      <sheetName val="NP 012"/>
      <sheetName val="NP 013"/>
      <sheetName val="NP 015"/>
      <sheetName val="NP 016"/>
      <sheetName val="NP 018"/>
      <sheetName val="NP 019"/>
      <sheetName val="NP 020"/>
      <sheetName val="NP 021"/>
      <sheetName val="NP 022"/>
      <sheetName val="NP 025"/>
      <sheetName val="NP 026"/>
      <sheetName val="NP 028"/>
      <sheetName val="NP 029"/>
      <sheetName val="NP 030"/>
      <sheetName val="NP 031"/>
      <sheetName val="NP 032"/>
      <sheetName val="NP 033"/>
      <sheetName val="NP 034"/>
      <sheetName val="NP 035"/>
      <sheetName val="NP 036"/>
      <sheetName val="NP 037"/>
      <sheetName val="NP 038"/>
      <sheetName val="NP 039"/>
      <sheetName val="NP 040"/>
      <sheetName val="NP 041"/>
      <sheetName val="NP 042"/>
    </sheetNames>
    <sheetDataSet>
      <sheetData sheetId="0">
        <row r="94">
          <cell r="AJ94">
            <v>-286536.87</v>
          </cell>
        </row>
        <row r="96">
          <cell r="AL96">
            <v>769551.66800000018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bt Rollforward"/>
      <sheetName val="NP 026"/>
      <sheetName val="NP 035"/>
      <sheetName val="NP 007"/>
      <sheetName val="NP 010"/>
      <sheetName val="NP 012"/>
      <sheetName val="NP 013"/>
      <sheetName val="NP 015"/>
      <sheetName val="NP 016"/>
      <sheetName val="NP 018"/>
      <sheetName val="NP 019"/>
      <sheetName val="NP 020"/>
      <sheetName val="NP 021"/>
      <sheetName val="NP 022"/>
      <sheetName val="NP 025"/>
      <sheetName val="NP 028"/>
      <sheetName val="NP 029"/>
      <sheetName val="NP 030"/>
      <sheetName val="NP 031"/>
      <sheetName val="NP 032"/>
      <sheetName val="NP 033"/>
      <sheetName val="NP 034"/>
    </sheetNames>
    <sheetDataSet>
      <sheetData sheetId="0">
        <row r="59">
          <cell r="V59">
            <v>2047175.81</v>
          </cell>
          <cell r="X59">
            <v>-1794714.84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2018"/>
      <sheetName val="2017"/>
    </sheetNames>
    <sheetDataSet>
      <sheetData sheetId="0">
        <row r="12">
          <cell r="M12">
            <v>873810.00000000058</v>
          </cell>
        </row>
        <row r="21">
          <cell r="M21">
            <v>130950.00000000001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3.xml"/></Relationships>
</file>

<file path=xl/pivotCache/_rels/pivotCacheDefinition2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4.xml"/></Relationships>
</file>

<file path=xl/pivotCache/_rels/pivotCacheDefinition2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5.xml"/></Relationships>
</file>

<file path=xl/pivotCache/_rels/pivotCacheDefinition2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6.xml"/></Relationships>
</file>

<file path=xl/pivotCache/_rels/pivotCacheDefinition2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7.xml"/></Relationships>
</file>

<file path=xl/pivotCache/_rels/pivotCacheDefinition2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8.xml"/></Relationships>
</file>

<file path=xl/pivotCache/_rels/pivotCacheDefinition2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9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67939814" createdVersion="5" refreshedVersion="5" minRefreshableVersion="3" recordCount="108" xr:uid="{00000000-000A-0000-FFFF-FFFF76000000}">
  <cacheSource type="worksheet">
    <worksheetSource ref="A5:I113" sheet=" P&amp;L-03.21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tring="0" containsBlank="1" containsNumber="1" minValue="-1443857.47" maxValue="2528565.39"/>
    </cacheField>
    <cacheField name="ADJ 01" numFmtId="43">
      <sharedItems containsString="0" containsBlank="1" containsNumber="1" minValue="-230367.65" maxValue="230367.65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1674225.12" maxValue="2528565.39"/>
    </cacheField>
    <cacheField name="ACCOUNT TYPE" numFmtId="43">
      <sharedItems count="11">
        <s v="RENTALS &amp; LEASES"/>
        <s v="SALES OF EQUIP &amp; OTHER"/>
        <s v="COST of EQUIP &amp; OTHER"/>
        <s v="SALES &amp; MARKETING"/>
        <s v="COST of RENTALS &amp; LEASES"/>
        <s v="G&amp;A"/>
        <s v="INTERESTEXP"/>
        <s v="EARLY DEBT"/>
        <s v="GAIN/LOSS"/>
        <s v="OTHER INCOME"/>
        <s v="TAXES"/>
      </sharedItems>
    </cacheField>
    <cacheField name="AMT" numFmtId="43">
      <sharedItems containsSemiMixedTypes="0" containsString="0" containsNumber="1" containsInteger="1" minValue="-1674225" maxValue="25285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3263887" createdVersion="4" refreshedVersion="5" minRefreshableVersion="3" recordCount="80" xr:uid="{00000000-000A-0000-FFFF-FFFF91000000}">
  <cacheSource type="worksheet">
    <worksheetSource ref="A5:I85" sheet="BS - Detail.4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0785924.02" maxValue="20808269.530000001"/>
    </cacheField>
    <cacheField name="ADJ 01" numFmtId="0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808269.530000001"/>
    </cacheField>
    <cacheField name="ACCOUNT TYPE" numFmtId="43">
      <sharedItems count="23">
        <s v="CASH"/>
        <s v="AR"/>
        <s v="OTHER ASSETS"/>
        <s v="INVENTORY"/>
        <s v="PP&amp;E"/>
        <s v="PREPAID"/>
        <s v="AP"/>
        <s v="DEFREV"/>
        <s v="ACCRUED"/>
        <s v="LTCAPLEASE.NOTES"/>
        <s v="RE"/>
        <s v="COMMON"/>
        <s v="PREFERRED"/>
        <s v="APIC"/>
        <s v="LOAN FEES" u="1"/>
        <s v="INTANGIBLES" u="1"/>
        <s v="SOFTWARE" u="1"/>
        <s v="OTHER LIAB" u="1"/>
        <s v="IGNORE" u="1"/>
        <s v="WARRANT LIAB" u="1"/>
        <s v="STCAPLEASE.NOTES" u="1"/>
        <s v="AP&amp;ACCRUED" u="1"/>
        <s v="RELATED PARTY REC" u="1"/>
      </sharedItems>
    </cacheField>
    <cacheField name="AMT" numFmtId="43">
      <sharedItems containsSemiMixedTypes="0" containsString="0" containsNumber="1" minValue="-20785924.02" maxValue="20808269.53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3726849" createdVersion="4" refreshedVersion="5" minRefreshableVersion="3" recordCount="79" xr:uid="{00000000-000A-0000-FFFF-FFFF94000000}">
  <cacheSource type="worksheet">
    <worksheetSource ref="A5:I84" sheet="BS - Detail.5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0785924.02" maxValue="20808269.530000001"/>
    </cacheField>
    <cacheField name="ADJ 01" numFmtId="0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808269.530000001"/>
    </cacheField>
    <cacheField name="ACCOUNT TYPE" numFmtId="43">
      <sharedItems count="23">
        <s v="CASH"/>
        <s v="AR"/>
        <s v="OTHER ASSETS"/>
        <s v="INVENTORY"/>
        <s v="PP&amp;E"/>
        <s v="PREPAID"/>
        <s v="AP"/>
        <s v="DEFREV"/>
        <s v="ACCRUED"/>
        <s v="LTCAPLEASE.NOTES"/>
        <s v="RE"/>
        <s v="COMMON"/>
        <s v="PREFERRED"/>
        <s v="APIC"/>
        <s v="LOAN FEES" u="1"/>
        <s v="INTANGIBLES" u="1"/>
        <s v="SOFTWARE" u="1"/>
        <s v="OTHER LIAB" u="1"/>
        <s v="IGNORE" u="1"/>
        <s v="WARRANT LIAB" u="1"/>
        <s v="STCAPLEASE.NOTES" u="1"/>
        <s v="AP&amp;ACCRUED" u="1"/>
        <s v="RELATED PARTY REC" u="1"/>
      </sharedItems>
    </cacheField>
    <cacheField name="AMT" numFmtId="43">
      <sharedItems containsSemiMixedTypes="0" containsString="0" containsNumber="1" minValue="-20785924.02" maxValue="20808269.53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4189818" createdVersion="4" refreshedVersion="5" minRefreshableVersion="3" recordCount="98" xr:uid="{00000000-000A-0000-FFFF-FFFF97000000}">
  <cacheSource type="worksheet">
    <worksheetSource ref="A5:I103" sheet="P&amp;L - Detail.02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tring="0" containsBlank="1" containsNumber="1" minValue="-162295.20000000001" maxValue="602000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162295.20000000001" maxValue="602000"/>
    </cacheField>
    <cacheField name="ACCOUNT TYPE" numFmtId="43">
      <sharedItems count="8">
        <s v="REV"/>
        <s v="COS"/>
        <s v="G&amp;A"/>
        <s v="ADVERT"/>
        <s v="INTERESTEXP"/>
        <s v="TAXES"/>
        <s v="GAIN/LOSS"/>
        <s v="DEPR &amp; AMORT"/>
      </sharedItems>
    </cacheField>
    <cacheField name="AMT" numFmtId="43">
      <sharedItems containsSemiMixedTypes="0" containsString="0" containsNumber="1" minValue="-162295.20000000001" maxValue="6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4768519" createdVersion="4" refreshedVersion="5" minRefreshableVersion="3" recordCount="98" xr:uid="{00000000-000A-0000-FFFF-FFFF9A000000}">
  <cacheSource type="worksheet">
    <worksheetSource ref="A5:I103" sheet="P&amp;L - Detail.01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tring="0" containsBlank="1" containsNumber="1" minValue="-108193.31" maxValue="191978.67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108193.31" maxValue="191978.67"/>
    </cacheField>
    <cacheField name="ACCOUNT TYPE" numFmtId="43">
      <sharedItems containsBlank="1" count="9">
        <s v="REV"/>
        <s v="COS"/>
        <s v="G&amp;A"/>
        <s v="ADVERT"/>
        <s v="INTERESTEXP"/>
        <s v="TAXES"/>
        <s v="GAIN/LOSS"/>
        <s v="DEPR &amp; AMORT"/>
        <m u="1"/>
      </sharedItems>
    </cacheField>
    <cacheField name="AMT" numFmtId="43">
      <sharedItems containsSemiMixedTypes="0" containsString="0" containsNumber="1" minValue="-108193.31" maxValue="191978.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5231481" createdVersion="4" refreshedVersion="5" minRefreshableVersion="3" recordCount="99" xr:uid="{00000000-000A-0000-FFFF-FFFF9D000000}">
  <cacheSource type="worksheet">
    <worksheetSource ref="A5:I104" sheet="P&amp;L - Detail.03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tring="0" containsBlank="1" containsNumber="1" minValue="-81868.929999999993" maxValue="140410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81868.929999999993" maxValue="140410"/>
    </cacheField>
    <cacheField name="ACCOUNT TYPE" numFmtId="43">
      <sharedItems containsBlank="1" count="9">
        <s v="REV"/>
        <s v="COS"/>
        <s v="G&amp;A"/>
        <s v="ADVERT"/>
        <s v="INTERESTEXP"/>
        <s v="TAXES"/>
        <s v="GAIN/LOSS"/>
        <s v="DEPR &amp; AMORT"/>
        <m u="1"/>
      </sharedItems>
    </cacheField>
    <cacheField name="AMT" numFmtId="43">
      <sharedItems containsSemiMixedTypes="0" containsString="0" containsNumber="1" minValue="-81868.929999999993" maxValue="1404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5694443" createdVersion="4" refreshedVersion="5" minRefreshableVersion="3" recordCount="98" xr:uid="{00000000-000A-0000-FFFF-FFFFA0000000}">
  <cacheSource type="worksheet">
    <worksheetSource ref="A5:I103" sheet="P&amp;L - Detail.4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tring="0" containsBlank="1" containsNumber="1" minValue="-77388.39" maxValue="192077.5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77388.39" maxValue="192077.5"/>
    </cacheField>
    <cacheField name="ACCOUNT TYPE" numFmtId="43">
      <sharedItems count="8">
        <s v="REV"/>
        <s v="COS"/>
        <s v="G&amp;A"/>
        <s v="ADVERT"/>
        <s v="INTERESTEXP"/>
        <s v="TAXES"/>
        <s v="GAIN/LOSS"/>
        <s v="DEPR &amp; AMORT"/>
      </sharedItems>
    </cacheField>
    <cacheField name="AMT" numFmtId="43">
      <sharedItems containsSemiMixedTypes="0" containsString="0" containsNumber="1" minValue="-77388.39" maxValue="192077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6620374" createdVersion="4" refreshedVersion="5" minRefreshableVersion="3" recordCount="98" xr:uid="{00000000-000A-0000-FFFF-FFFFA3000000}">
  <cacheSource type="worksheet">
    <worksheetSource ref="A5:I103" sheet="P&amp;L - Detail.5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1170725.6000000001" maxValue="1839068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1170725.6000000001" maxValue="1839068"/>
    </cacheField>
    <cacheField name="ACCOUNT TYPE" numFmtId="43">
      <sharedItems count="8">
        <s v="REV"/>
        <s v="COS"/>
        <s v="G&amp;A"/>
        <s v="ADVERT"/>
        <s v="INTERESTEXP"/>
        <s v="TAXES"/>
        <s v="GAIN/LOSS"/>
        <s v="DEPR &amp; AMORT"/>
      </sharedItems>
    </cacheField>
    <cacheField name="AMT" numFmtId="43">
      <sharedItems containsSemiMixedTypes="0" containsString="0" containsNumber="1" minValue="-1170725.6000000001" maxValue="183906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7083336" createdVersion="6" refreshedVersion="5" minRefreshableVersion="3" recordCount="140" xr:uid="{00000000-000A-0000-FFFF-FFFFA6000000}">
  <cacheSource type="worksheet">
    <worksheetSource ref="A5:K145" sheet="P&amp;L - Detail 7.18"/>
  </cacheSource>
  <cacheFields count="11">
    <cacheField name="ACCT #" numFmtId="49">
      <sharedItems containsBlank="1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43">
      <sharedItems containsNonDate="0" containsString="0" containsBlank="1"/>
    </cacheField>
    <cacheField name="DPA" numFmtId="43">
      <sharedItems containsNonDate="0" containsString="0" containsBlank="1"/>
    </cacheField>
    <cacheField name="ADJ 01" numFmtId="43">
      <sharedItems containsBlank="1" containsMixedTypes="1" containsNumber="1" containsInteger="1" minValue="0" maxValue="0"/>
    </cacheField>
    <cacheField name="ADJ 02" numFmtId="43">
      <sharedItems containsString="0" containsBlank="1" containsNumber="1" containsInteger="1" minValue="0" maxValue="0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8">
        <s v="REV"/>
        <s v="COS"/>
        <s v="ADVERT"/>
        <s v="DEPR &amp; AMORT"/>
        <s v="G&amp;A"/>
        <s v="INTERESTEXP"/>
        <s v="TAXES"/>
        <s v="GAIN/LOSS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7546298" createdVersion="6" refreshedVersion="5" minRefreshableVersion="3" recordCount="248" xr:uid="{00000000-000A-0000-FFFF-FFFFA9000000}">
  <cacheSource type="worksheet">
    <worksheetSource ref="A5:K253" sheet="BS - Detail 7.18"/>
  </cacheSource>
  <cacheFields count="11">
    <cacheField name="ACCT #" numFmtId="0">
      <sharedItems containsBlank="1" containsMixedTypes="1" containsNumber="1" containsInteger="1" minValue="27151" maxValue="27250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0">
      <sharedItems containsNonDate="0" containsString="0" containsBlank="1"/>
    </cacheField>
    <cacheField name="DPA" numFmtId="0">
      <sharedItems containsNonDate="0" containsString="0" containsBlank="1"/>
    </cacheField>
    <cacheField name="ADJ 01" numFmtId="0">
      <sharedItems containsString="0" containsBlank="1" containsNumber="1" containsInteger="1" minValue="0" maxValue="0"/>
    </cacheField>
    <cacheField name="ADJ 02" numFmtId="0">
      <sharedItems containsString="0" containsBlank="1" containsNumber="1" containsInteger="1" minValue="0" maxValue="0"/>
    </cacheField>
    <cacheField name="ADJ 03" numFmtId="0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20">
        <s v="CASH"/>
        <s v="AR"/>
        <s v="OTHER ASSETS"/>
        <s v="RELATED PARTY REC"/>
        <s v="INVENTORY"/>
        <s v="PREPAID"/>
        <s v="PP&amp;E"/>
        <s v="SOFTWARE"/>
        <s v="IGNORE"/>
        <s v="INTANGIBLES"/>
        <s v="LTCAPLEASE.NOTES"/>
        <s v="AP"/>
        <s v="ACCRUED"/>
        <s v="STCAPLEASE.NOTES"/>
        <s v="DEFREV"/>
        <s v="WARRANT LIAB"/>
        <s v="RE"/>
        <s v="COMMON"/>
        <s v="PREFERRED"/>
        <s v="APIC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8124998" createdVersion="6" refreshedVersion="5" minRefreshableVersion="3" recordCount="142" xr:uid="{00000000-000A-0000-FFFF-FFFFAC000000}">
  <cacheSource type="worksheet">
    <worksheetSource ref="A5:K147" sheet="P&amp;L-Detail 8.18"/>
  </cacheSource>
  <cacheFields count="11">
    <cacheField name="ACCT #" numFmtId="49">
      <sharedItems containsBlank="1"/>
    </cacheField>
    <cacheField name="ACCOUNT NAME" numFmtId="49">
      <sharedItems/>
    </cacheField>
    <cacheField name="DPI" numFmtId="0">
      <sharedItems containsNonDate="0" containsString="0" containsBlank="1"/>
    </cacheField>
    <cacheField name="2X" numFmtId="43">
      <sharedItems containsNonDate="0" containsString="0" containsBlank="1"/>
    </cacheField>
    <cacheField name="DPA" numFmtId="43">
      <sharedItems containsNonDate="0" containsString="0" containsBlank="1"/>
    </cacheField>
    <cacheField name="ADJ 01" numFmtId="43">
      <sharedItems containsBlank="1" containsMixedTypes="1" containsNumber="1" containsInteger="1" minValue="0" maxValue="0"/>
    </cacheField>
    <cacheField name="ADJ 02" numFmtId="43">
      <sharedItems containsString="0" containsBlank="1" containsNumber="1" containsInteger="1" minValue="0" maxValue="0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8">
        <s v="REV"/>
        <s v="COS"/>
        <s v="ADVERT"/>
        <s v="DEPR &amp; AMORT"/>
        <s v="G&amp;A"/>
        <s v="INTERESTEXP"/>
        <s v="TAXES"/>
        <s v="GAIN/LOSS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68402776" createdVersion="5" refreshedVersion="5" minRefreshableVersion="3" recordCount="90" xr:uid="{00000000-000A-0000-FFFF-FFFF79000000}">
  <cacheSource type="worksheet">
    <worksheetSource ref="A5:I95" sheet="BS-Detail 9.30.18"/>
  </cacheSource>
  <cacheFields count="9">
    <cacheField name="ACCT #" numFmtId="0">
      <sharedItems/>
    </cacheField>
    <cacheField name="ACCOUNT NAME" numFmtId="43">
      <sharedItems/>
    </cacheField>
    <cacheField name="HE" numFmtId="43">
      <sharedItems containsSemiMixedTypes="0" containsString="0" containsNumber="1" minValue="-20785924.02" maxValue="20179783.109999999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179783.109999999"/>
    </cacheField>
    <cacheField name="ACCOUNT TYPE" numFmtId="43">
      <sharedItems count="18">
        <s v="CASH"/>
        <s v="AR"/>
        <s v="OTHER CURRENT ASSETS"/>
        <s v="INVENTORY"/>
        <s v="ACCRUED"/>
        <s v="PP&amp;E"/>
        <s v="RENTAL EQUIP"/>
        <s v="OTHER ASSETS"/>
        <s v="AP"/>
        <s v="STCAPLEASE.NOTES"/>
        <s v="LTCAPLEASE.NOTES"/>
        <s v="DEFTAXLIAB"/>
        <s v="RELATED PARTY NOTE"/>
        <s v="CREDIT LINE"/>
        <s v="RE"/>
        <s v="COMMON"/>
        <s v="TREASURY"/>
        <s v="APIC"/>
      </sharedItems>
    </cacheField>
    <cacheField name="AMT" numFmtId="43">
      <sharedItems containsSemiMixedTypes="0" containsString="0" containsNumber="1" containsInteger="1" minValue="-20785924" maxValue="201797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858796" createdVersion="6" refreshedVersion="5" minRefreshableVersion="3" recordCount="198" xr:uid="{00000000-000A-0000-FFFF-FFFFAF000000}">
  <cacheSource type="worksheet">
    <worksheetSource ref="A5:K203" sheet="BS-Detail 8.18"/>
  </cacheSource>
  <cacheFields count="11">
    <cacheField name="ACCT #" numFmtId="0">
      <sharedItems containsBlank="1" containsMixedTypes="1" containsNumber="1" containsInteger="1" minValue="27250" maxValue="27250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0">
      <sharedItems containsNonDate="0" containsString="0" containsBlank="1"/>
    </cacheField>
    <cacheField name="DPA" numFmtId="0">
      <sharedItems containsNonDate="0" containsString="0" containsBlank="1"/>
    </cacheField>
    <cacheField name="ADJ 01" numFmtId="0">
      <sharedItems containsString="0" containsBlank="1" containsNumber="1" containsInteger="1" minValue="0" maxValue="0"/>
    </cacheField>
    <cacheField name="ADJ 02" numFmtId="0">
      <sharedItems containsString="0" containsBlank="1" containsNumber="1" containsInteger="1" minValue="0" maxValue="0"/>
    </cacheField>
    <cacheField name="ADJ 03" numFmtId="0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ntainsBlank="1" count="21">
        <s v="CASH"/>
        <s v="AR"/>
        <s v="OTHER ASSETS"/>
        <s v="RELATED PARTY REC"/>
        <s v="INVENTORY"/>
        <s v="PREPAID"/>
        <s v="PP&amp;E"/>
        <s v="SOFTWARE"/>
        <s v="IGNORE"/>
        <s v="INTANGIBLES"/>
        <s v="LTCAPLEASE.NOTES"/>
        <s v="AP"/>
        <s v="ACCRUED"/>
        <s v="STCAPLEASE.NOTES"/>
        <s v="DEFREV"/>
        <s v="WARRANT LIAB"/>
        <s v="RE"/>
        <s v="COMMON"/>
        <s v="PREFERRED"/>
        <s v="APIC"/>
        <m u="1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9050929" createdVersion="6" refreshedVersion="5" minRefreshableVersion="3" recordCount="142" xr:uid="{00000000-000A-0000-FFFF-FFFFB2000000}">
  <cacheSource type="worksheet">
    <worksheetSource ref="A5:K147" sheet="P&amp;L-Detail 9.18"/>
  </cacheSource>
  <cacheFields count="11">
    <cacheField name="ACCT #" numFmtId="49">
      <sharedItems containsBlank="1"/>
    </cacheField>
    <cacheField name="ACCOUNT NAME" numFmtId="49">
      <sharedItems/>
    </cacheField>
    <cacheField name="DPI" numFmtId="0">
      <sharedItems containsNonDate="0" containsString="0" containsBlank="1"/>
    </cacheField>
    <cacheField name="2X" numFmtId="43">
      <sharedItems containsNonDate="0" containsString="0" containsBlank="1"/>
    </cacheField>
    <cacheField name="DPA" numFmtId="43">
      <sharedItems containsNonDate="0" containsString="0" containsBlank="1"/>
    </cacheField>
    <cacheField name="ADJ 01" numFmtId="43">
      <sharedItems containsBlank="1" containsMixedTypes="1" containsNumber="1" containsInteger="1" minValue="0" maxValue="0"/>
    </cacheField>
    <cacheField name="ADJ 02" numFmtId="43">
      <sharedItems containsString="0" containsBlank="1" containsNumber="1" containsInteger="1" minValue="0" maxValue="0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8">
        <s v="REV"/>
        <s v="COS"/>
        <s v="ADVERT"/>
        <s v="DEPR &amp; AMORT"/>
        <s v="G&amp;A"/>
        <s v="INTERESTEXP"/>
        <s v="TAXES"/>
        <s v="GAIN/LOSS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9513891" createdVersion="6" refreshedVersion="5" minRefreshableVersion="3" recordCount="198" xr:uid="{00000000-000A-0000-FFFF-FFFFB5000000}">
  <cacheSource type="worksheet">
    <worksheetSource ref="A5:K203" sheet="BS-Detail 9.18"/>
  </cacheSource>
  <cacheFields count="11">
    <cacheField name="ACCT #" numFmtId="0">
      <sharedItems containsBlank="1" containsMixedTypes="1" containsNumber="1" containsInteger="1" minValue="27250" maxValue="27250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0">
      <sharedItems containsNonDate="0" containsString="0" containsBlank="1"/>
    </cacheField>
    <cacheField name="DPA" numFmtId="0">
      <sharedItems containsNonDate="0" containsString="0" containsBlank="1"/>
    </cacheField>
    <cacheField name="ADJ 01" numFmtId="0">
      <sharedItems containsString="0" containsBlank="1" containsNumber="1" containsInteger="1" minValue="0" maxValue="0"/>
    </cacheField>
    <cacheField name="ADJ 02" numFmtId="0">
      <sharedItems containsString="0" containsBlank="1" containsNumber="1" containsInteger="1" minValue="0" maxValue="0"/>
    </cacheField>
    <cacheField name="ADJ 03" numFmtId="0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ntainsBlank="1" count="21">
        <s v="CASH"/>
        <s v="AR"/>
        <s v="OTHER ASSETS"/>
        <s v="RELATED PARTY REC"/>
        <s v="INVENTORY"/>
        <s v="PREPAID"/>
        <s v="PP&amp;E"/>
        <s v="SOFTWARE"/>
        <s v="IGNORE"/>
        <s v="INTANGIBLES"/>
        <s v="LTCAPLEASE.NOTES"/>
        <s v="AP"/>
        <s v="ACCRUED"/>
        <s v="STCAPLEASE.NOTES"/>
        <s v="DEFREV"/>
        <s v="WARRANT LIAB"/>
        <s v="RE"/>
        <s v="COMMON"/>
        <s v="PREFERRED"/>
        <s v="APIC"/>
        <m u="1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0092592" createdVersion="6" refreshedVersion="5" minRefreshableVersion="3" recordCount="142" xr:uid="{00000000-000A-0000-FFFF-FFFFB8000000}">
  <cacheSource type="worksheet">
    <worksheetSource ref="A5:K147" sheet="P&amp;L-Detail 10.18 "/>
  </cacheSource>
  <cacheFields count="11">
    <cacheField name="ACCT #" numFmtId="49">
      <sharedItems containsBlank="1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43">
      <sharedItems containsNonDate="0" containsString="0" containsBlank="1"/>
    </cacheField>
    <cacheField name="DPA" numFmtId="43">
      <sharedItems containsNonDate="0" containsString="0" containsBlank="1"/>
    </cacheField>
    <cacheField name="ADJ 01" numFmtId="43">
      <sharedItems containsBlank="1" containsMixedTypes="1" containsNumber="1" containsInteger="1" minValue="0" maxValue="0"/>
    </cacheField>
    <cacheField name="ADJ 02" numFmtId="43">
      <sharedItems containsString="0" containsBlank="1" containsNumber="1" containsInteger="1" minValue="0" maxValue="0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8">
        <s v="REV"/>
        <s v="COS"/>
        <s v="ADVERT"/>
        <s v="DEPR &amp; AMORT"/>
        <s v="G&amp;A"/>
        <s v="INTERESTEXP"/>
        <s v="TAXES"/>
        <s v="GAIN/LOSS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0902777" createdVersion="6" refreshedVersion="5" minRefreshableVersion="3" recordCount="196" xr:uid="{00000000-000A-0000-FFFF-FFFFBB000000}">
  <cacheSource type="worksheet">
    <worksheetSource ref="A5:K201" sheet="BS-Detail 10.18"/>
  </cacheSource>
  <cacheFields count="11">
    <cacheField name="ACCT #" numFmtId="0">
      <sharedItems containsBlank="1" containsMixedTypes="1" containsNumber="1" containsInteger="1" minValue="27250" maxValue="27250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43">
      <sharedItems containsNonDate="0" containsString="0" containsBlank="1"/>
    </cacheField>
    <cacheField name="DPA" numFmtId="0">
      <sharedItems containsNonDate="0" containsString="0" containsBlank="1"/>
    </cacheField>
    <cacheField name="ADJ 01" numFmtId="0">
      <sharedItems containsString="0" containsBlank="1" containsNumber="1" containsInteger="1" minValue="0" maxValue="0"/>
    </cacheField>
    <cacheField name="ADJ 02" numFmtId="0">
      <sharedItems containsString="0" containsBlank="1" containsNumber="1" containsInteger="1" minValue="0" maxValue="0"/>
    </cacheField>
    <cacheField name="ADJ 03" numFmtId="0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20">
        <s v="CASH"/>
        <s v="AR"/>
        <s v="OTHER ASSETS"/>
        <s v="RELATED PARTY REC"/>
        <s v="INVENTORY"/>
        <s v="PREPAID"/>
        <s v="PP&amp;E"/>
        <s v="SOFTWARE"/>
        <s v="IGNORE"/>
        <s v="INTANGIBLES"/>
        <s v="LTCAPLEASE.NOTES"/>
        <s v="AP"/>
        <s v="ACCRUED"/>
        <s v="STCAPLEASE.NOTES"/>
        <s v="DEFREV"/>
        <s v="WARRANT LIAB"/>
        <s v="RE"/>
        <s v="COMMON"/>
        <s v="PREFERRED"/>
        <s v="APIC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1481485" createdVersion="6" refreshedVersion="5" minRefreshableVersion="3" recordCount="143" xr:uid="{00000000-000A-0000-FFFF-FFFFBE000000}">
  <cacheSource type="worksheet">
    <worksheetSource ref="A5:K148" sheet="P&amp;L-Detail 11.18"/>
  </cacheSource>
  <cacheFields count="11">
    <cacheField name="ACCT #" numFmtId="49">
      <sharedItems containsBlank="1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43">
      <sharedItems containsNonDate="0" containsString="0" containsBlank="1"/>
    </cacheField>
    <cacheField name="DPA" numFmtId="43">
      <sharedItems containsNonDate="0" containsString="0" containsBlank="1"/>
    </cacheField>
    <cacheField name="ADJ 01" numFmtId="43">
      <sharedItems containsBlank="1" containsMixedTypes="1" containsNumber="1" containsInteger="1" minValue="0" maxValue="0"/>
    </cacheField>
    <cacheField name="ADJ 02" numFmtId="43">
      <sharedItems containsString="0" containsBlank="1" containsNumber="1" containsInteger="1" minValue="0" maxValue="0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8">
        <s v="REV"/>
        <s v="COS"/>
        <s v="ADVERT"/>
        <s v="DEPR &amp; AMORT"/>
        <s v="G&amp;A"/>
        <s v="INTERESTEXP"/>
        <s v="TAXES"/>
        <s v="GAIN/LOSS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1944447" createdVersion="6" refreshedVersion="5" minRefreshableVersion="3" recordCount="204" xr:uid="{00000000-000A-0000-FFFF-FFFFC1000000}">
  <cacheSource type="worksheet">
    <worksheetSource ref="A5:K209" sheet="BS-Detail 11.18"/>
  </cacheSource>
  <cacheFields count="11">
    <cacheField name="ACCT #" numFmtId="0">
      <sharedItems containsBlank="1" containsMixedTypes="1" containsNumber="1" containsInteger="1" minValue="27250" maxValue="27250"/>
    </cacheField>
    <cacheField name="ACCOUNT NAME" numFmtId="49">
      <sharedItems/>
    </cacheField>
    <cacheField name="DPI" numFmtId="0">
      <sharedItems containsNonDate="0" containsString="0" containsBlank="1"/>
    </cacheField>
    <cacheField name="2X" numFmtId="43">
      <sharedItems containsNonDate="0" containsString="0" containsBlank="1"/>
    </cacheField>
    <cacheField name="DPA" numFmtId="0">
      <sharedItems containsNonDate="0" containsString="0" containsBlank="1"/>
    </cacheField>
    <cacheField name="ADJ 01" numFmtId="0">
      <sharedItems containsString="0" containsBlank="1" containsNumber="1" containsInteger="1" minValue="0" maxValue="0"/>
    </cacheField>
    <cacheField name="ADJ 02" numFmtId="0">
      <sharedItems containsString="0" containsBlank="1" containsNumber="1" containsInteger="1" minValue="0" maxValue="0"/>
    </cacheField>
    <cacheField name="ADJ 03" numFmtId="0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20">
        <s v="CASH"/>
        <s v="AR"/>
        <s v="OTHER ASSETS"/>
        <s v="RELATED PARTY REC"/>
        <s v="INVENTORY"/>
        <s v="PREPAID"/>
        <s v="PP&amp;E"/>
        <s v="SOFTWARE"/>
        <s v="IGNORE"/>
        <s v="INTANGIBLES"/>
        <s v="LTCAPLEASE.NOTES"/>
        <s v="AP"/>
        <s v="ACCRUED"/>
        <s v="STCAPLEASE.NOTES"/>
        <s v="DEFREV"/>
        <s v="WARRANT LIAB"/>
        <s v="RE"/>
        <s v="COMMON"/>
        <s v="PREFERRED"/>
        <s v="APIC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2407409" createdVersion="5" refreshedVersion="5" minRefreshableVersion="3" recordCount="99" xr:uid="{00000000-000A-0000-FFFF-FFFFC4000000}">
  <cacheSource type="worksheet">
    <worksheetSource ref="A5:I104" sheet="P&amp;L - Detail 6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65436.38" maxValue="296350"/>
    </cacheField>
    <cacheField name="ADJ 01" numFmtId="43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265436.38" maxValue="296350"/>
    </cacheField>
    <cacheField name="ACCOUNT TYPE" numFmtId="43">
      <sharedItems count="8">
        <s v="REV"/>
        <s v="COS"/>
        <s v="G&amp;A"/>
        <s v="ADVERT"/>
        <s v="INTERESTEXP"/>
        <s v="TAXES"/>
        <s v="GAIN/LOSS"/>
        <s v="DEPR &amp; AMORT"/>
      </sharedItems>
    </cacheField>
    <cacheField name="AMT" numFmtId="43">
      <sharedItems containsSemiMixedTypes="0" containsString="0" containsNumber="1" minValue="-265436.38" maxValue="296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2870371" createdVersion="5" refreshedVersion="5" minRefreshableVersion="3" recordCount="106" xr:uid="{00000000-000A-0000-FFFF-FFFFC7000000}">
  <cacheSource type="worksheet">
    <worksheetSource ref="C5:F111" sheet="P&amp;L-9 mos"/>
  </cacheSource>
  <cacheFields count="4">
    <cacheField name="ACCT #" numFmtId="49">
      <sharedItems/>
    </cacheField>
    <cacheField name="ACCOUNT NAME" numFmtId="49">
      <sharedItems/>
    </cacheField>
    <cacheField name="SEPTEMBER '2019" numFmtId="41">
      <sharedItems containsSemiMixedTypes="0" containsString="0" containsNumber="1" containsInteger="1" minValue="-6213940" maxValue="7624205"/>
    </cacheField>
    <cacheField name="ACCOUNT TYPE" numFmtId="43">
      <sharedItems count="11">
        <s v="Rentals &amp; Leases"/>
        <s v="Sales of Equipment &amp; Other"/>
        <s v="Cost of Equipment &amp; Other"/>
        <s v="Sales &amp; Marketing"/>
        <s v="Cost of Rentals &amp; Leases"/>
        <s v="G&amp;A"/>
        <s v="InterestExp"/>
        <s v="Early Debt"/>
        <s v="Gain/Loss"/>
        <s v="Other Income"/>
        <s v="Tax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83449071" createdVersion="5" refreshedVersion="5" minRefreshableVersion="3" recordCount="106" xr:uid="{00000000-000A-0000-FFFF-FFFFCA000000}">
  <cacheSource type="worksheet">
    <worksheetSource ref="F5:G111" sheet="P&amp;L-9 mos"/>
  </cacheSource>
  <cacheFields count="2">
    <cacheField name="ACCOUNT TYPE" numFmtId="43">
      <sharedItems count="11">
        <s v="Rentals &amp; Leases"/>
        <s v="Sales of Equipment &amp; Other"/>
        <s v="Cost of Equipment &amp; Other"/>
        <s v="Sales &amp; Marketing"/>
        <s v="Cost of Rentals &amp; Leases"/>
        <s v="G&amp;A"/>
        <s v="InterestExp"/>
        <s v="Early Debt"/>
        <s v="Gain/Loss"/>
        <s v="Other Income"/>
        <s v="Taxes"/>
      </sharedItems>
    </cacheField>
    <cacheField name="SEPTEMBER '2018" numFmtId="41">
      <sharedItems containsSemiMixedTypes="0" containsString="0" containsNumber="1" containsInteger="1" minValue="-2899640" maxValue="42789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68981484" createdVersion="5" refreshedVersion="5" minRefreshableVersion="3" recordCount="91" xr:uid="{00000000-000A-0000-FFFF-FFFF7C000000}">
  <cacheSource type="worksheet">
    <worksheetSource ref="A5:I96" sheet="BS-Detail 03.21"/>
  </cacheSource>
  <cacheFields count="9">
    <cacheField name="ACCT #" numFmtId="0">
      <sharedItems/>
    </cacheField>
    <cacheField name="ACCOUNT NAME" numFmtId="43">
      <sharedItems/>
    </cacheField>
    <cacheField name="HE" numFmtId="43">
      <sharedItems containsSemiMixedTypes="0" containsString="0" containsNumber="1" minValue="-21545614.010000002" maxValue="19967434.600000001"/>
    </cacheField>
    <cacheField name="ADJ 01" numFmtId="43">
      <sharedItems containsString="0" containsBlank="1" containsNumber="1" minValue="-769551.67" maxValue="769551.67"/>
    </cacheField>
    <cacheField name="ADJ 02" numFmtId="43">
      <sharedItems containsNonDate="0" containsString="0" containsBlank="1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minValue="-21545614.010000002" maxValue="19967432.600000001"/>
    </cacheField>
    <cacheField name="ACCOUNT TYPE" numFmtId="43">
      <sharedItems count="25">
        <s v="CASH"/>
        <s v="AR"/>
        <s v="OTHER CURRENT ASSETS"/>
        <s v="INVENTORY"/>
        <s v="DEFTAXLIAB"/>
        <s v="ACCRUED"/>
        <s v="PP&amp;E"/>
        <s v="RENTAL EQUIP"/>
        <s v="OTHER ASSETS"/>
        <s v="AP"/>
        <s v="STCAPLEASE.NOTES"/>
        <s v="LTCAPLEASE.NOTES"/>
        <s v="JT VT LIABILITY"/>
        <s v="CONVERT NOTE"/>
        <s v="RELATED PARTY NOTE"/>
        <s v="CREDIT LINE ST"/>
        <s v="CREDIT LINE LT"/>
        <s v="RE"/>
        <s v="COMMON"/>
        <s v="APIC"/>
        <s v="DEFTAXASSET" u="1"/>
        <s v="CREDIT LINE" u="1"/>
        <s v="CREDIT LINE CT" u="1"/>
        <s v="PREFERRED" u="1"/>
        <s v="TREASURY" u="1"/>
      </sharedItems>
    </cacheField>
    <cacheField name="AMT" numFmtId="43">
      <sharedItems containsSemiMixedTypes="0" containsString="0" containsNumber="1" containsInteger="1" minValue="-21545614" maxValue="199674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69444446" createdVersion="5" refreshedVersion="5" minRefreshableVersion="3" recordCount="79" xr:uid="{00000000-000A-0000-FFFF-FFFF7F000000}">
  <cacheSource type="worksheet">
    <worksheetSource ref="A5:I84" sheet="BS - Detail 6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0785924.02" maxValue="20808269.530000001"/>
    </cacheField>
    <cacheField name="ADJ 01" numFmtId="0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808269.530000001"/>
    </cacheField>
    <cacheField name="ACCOUNT TYPE" numFmtId="43">
      <sharedItems count="14">
        <s v="CASH"/>
        <s v="AR"/>
        <s v="OTHER ASSETS"/>
        <s v="INVENTORY"/>
        <s v="PP&amp;E"/>
        <s v="PREPAID"/>
        <s v="AP"/>
        <s v="DEFREV"/>
        <s v="ACCRUED"/>
        <s v="LTCAPLEASE.NOTES"/>
        <s v="RE"/>
        <s v="COMMON"/>
        <s v="PREFERRED"/>
        <s v="APIC"/>
      </sharedItems>
    </cacheField>
    <cacheField name="AMT" numFmtId="43">
      <sharedItems containsSemiMixedTypes="0" containsString="0" containsNumber="1" minValue="-20785924.02" maxValue="20808269.53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69907408" createdVersion="6" refreshedVersion="5" minRefreshableVersion="3" recordCount="143" xr:uid="{00000000-000A-0000-FFFF-FFFF82000000}">
  <cacheSource type="worksheet">
    <worksheetSource ref="A5:K148" sheet="P&amp;L-Detail 12.18"/>
  </cacheSource>
  <cacheFields count="11">
    <cacheField name="ACCT #" numFmtId="49">
      <sharedItems containsBlank="1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43">
      <sharedItems containsNonDate="0" containsString="0" containsBlank="1"/>
    </cacheField>
    <cacheField name="DPA" numFmtId="43">
      <sharedItems containsNonDate="0" containsString="0" containsBlank="1"/>
    </cacheField>
    <cacheField name="ADJ 01" numFmtId="43">
      <sharedItems containsBlank="1" containsMixedTypes="1" containsNumber="1" containsInteger="1" minValue="0" maxValue="0"/>
    </cacheField>
    <cacheField name="ADJ 02" numFmtId="43">
      <sharedItems containsString="0" containsBlank="1" containsNumber="1" containsInteger="1" minValue="0" maxValue="0"/>
    </cacheField>
    <cacheField name="ADJ 03" numFmtId="43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8">
        <s v="REV"/>
        <s v="COS"/>
        <s v="ADVERT"/>
        <s v="DEPR &amp; AMORT"/>
        <s v="G&amp;A"/>
        <s v="INTERESTEXP"/>
        <s v="TAXES"/>
        <s v="GAIN/LOSS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037037" createdVersion="6" refreshedVersion="5" minRefreshableVersion="3" recordCount="204" xr:uid="{00000000-000A-0000-FFFF-FFFF85000000}">
  <cacheSource type="worksheet">
    <worksheetSource ref="A5:K209" sheet="BS-Detail 12.18"/>
  </cacheSource>
  <cacheFields count="11">
    <cacheField name="ACCT #" numFmtId="0">
      <sharedItems containsBlank="1" containsMixedTypes="1" containsNumber="1" containsInteger="1" minValue="27250" maxValue="27250"/>
    </cacheField>
    <cacheField name="ACCOUNT NAME" numFmtId="49">
      <sharedItems/>
    </cacheField>
    <cacheField name="DPI" numFmtId="43">
      <sharedItems containsNonDate="0" containsString="0" containsBlank="1"/>
    </cacheField>
    <cacheField name="2X" numFmtId="43">
      <sharedItems containsNonDate="0" containsString="0" containsBlank="1"/>
    </cacheField>
    <cacheField name="DPA" numFmtId="0">
      <sharedItems containsNonDate="0" containsString="0" containsBlank="1"/>
    </cacheField>
    <cacheField name="ADJ 01" numFmtId="0">
      <sharedItems containsString="0" containsBlank="1" containsNumber="1" containsInteger="1" minValue="0" maxValue="0"/>
    </cacheField>
    <cacheField name="ADJ 02" numFmtId="0">
      <sharedItems containsString="0" containsBlank="1" containsNumber="1" containsInteger="1" minValue="0" maxValue="0"/>
    </cacheField>
    <cacheField name="ADJ 03" numFmtId="0">
      <sharedItems containsString="0" containsBlank="1" containsNumber="1" containsInteger="1" minValue="0" maxValue="0"/>
    </cacheField>
    <cacheField name="CONSOLIDATED" numFmtId="43">
      <sharedItems containsSemiMixedTypes="0" containsString="0" containsNumber="1" containsInteger="1" minValue="0" maxValue="0"/>
    </cacheField>
    <cacheField name="ACCOUNT TYPE" numFmtId="43">
      <sharedItems count="20">
        <s v="CASH"/>
        <s v="AR"/>
        <s v="OTHER ASSETS"/>
        <s v="RELATED PARTY REC"/>
        <s v="INVENTORY"/>
        <s v="PREPAID"/>
        <s v="PP&amp;E"/>
        <s v="SOFTWARE"/>
        <s v="IGNORE"/>
        <s v="INTANGIBLES"/>
        <s v="LTCAPLEASE.NOTES"/>
        <s v="AP"/>
        <s v="ACCRUED"/>
        <s v="STCAPLEASE.NOTES"/>
        <s v="DEFREV"/>
        <s v="WARRANT LIAB"/>
        <s v="RE"/>
        <s v="COMMON"/>
        <s v="PREFERRED"/>
        <s v="APIC"/>
      </sharedItems>
    </cacheField>
    <cacheField name="AMT" numFmtId="4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1759256" createdVersion="4" refreshedVersion="5" minRefreshableVersion="3" recordCount="77" xr:uid="{00000000-000A-0000-FFFF-FFFF88000000}">
  <cacheSource type="worksheet">
    <worksheetSource ref="A5:I82" sheet="BS - Detail.01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0785924.02" maxValue="20808269.530000001"/>
    </cacheField>
    <cacheField name="ADJ 01" numFmtId="0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808269.530000001"/>
    </cacheField>
    <cacheField name="ACCOUNT TYPE" numFmtId="43">
      <sharedItems count="23">
        <s v="CASH"/>
        <s v="AR"/>
        <s v="OTHER ASSETS"/>
        <s v="INVENTORY"/>
        <s v="PP&amp;E"/>
        <s v="PREPAID"/>
        <s v="AP"/>
        <s v="DEFREV"/>
        <s v="ACCRUED"/>
        <s v="LTCAPLEASE.NOTES"/>
        <s v="RE"/>
        <s v="COMMON"/>
        <s v="PREFERRED"/>
        <s v="APIC"/>
        <s v="LOAN FEES" u="1"/>
        <s v="INTANGIBLES" u="1"/>
        <s v="SOFTWARE" u="1"/>
        <s v="OTHER LIAB" u="1"/>
        <s v="IGNORE" u="1"/>
        <s v="WARRANT LIAB" u="1"/>
        <s v="STCAPLEASE.NOTES" u="1"/>
        <s v="AP&amp;ACCRUED" u="1"/>
        <s v="RELATED PARTY REC" u="1"/>
      </sharedItems>
    </cacheField>
    <cacheField name="AMT" numFmtId="43">
      <sharedItems containsSemiMixedTypes="0" containsString="0" containsNumber="1" minValue="-20785924.02" maxValue="20808269.53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2222225" createdVersion="4" refreshedVersion="5" minRefreshableVersion="3" recordCount="79" xr:uid="{00000000-000A-0000-FFFF-FFFF8B000000}">
  <cacheSource type="worksheet">
    <worksheetSource ref="A5:I84" sheet="BS - Detail.02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0785924.02" maxValue="20808269.530000001"/>
    </cacheField>
    <cacheField name="ADJ 01" numFmtId="0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808269.530000001"/>
    </cacheField>
    <cacheField name="ACCOUNT TYPE" numFmtId="43">
      <sharedItems count="23">
        <s v="CASH"/>
        <s v="AR"/>
        <s v="OTHER ASSETS"/>
        <s v="INVENTORY"/>
        <s v="PP&amp;E"/>
        <s v="PREPAID"/>
        <s v="AP"/>
        <s v="DEFREV"/>
        <s v="ACCRUED"/>
        <s v="LTCAPLEASE.NOTES"/>
        <s v="RE"/>
        <s v="COMMON"/>
        <s v="PREFERRED"/>
        <s v="APIC"/>
        <s v="LOAN FEES" u="1"/>
        <s v="INTANGIBLES" u="1"/>
        <s v="SOFTWARE" u="1"/>
        <s v="OTHER LIAB" u="1"/>
        <s v="IGNORE" u="1"/>
        <s v="WARRANT LIAB" u="1"/>
        <s v="STCAPLEASE.NOTES" u="1"/>
        <s v="AP&amp;ACCRUED" u="1"/>
        <s v="RELATED PARTY REC" u="1"/>
      </sharedItems>
    </cacheField>
    <cacheField name="AMT" numFmtId="43">
      <sharedItems containsSemiMixedTypes="0" containsString="0" containsNumber="1" minValue="-20785924.02" maxValue="20808269.53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pe Stone" refreshedDate="44329.326972800925" createdVersion="4" refreshedVersion="5" minRefreshableVersion="3" recordCount="79" xr:uid="{00000000-000A-0000-FFFF-FFFF8E000000}">
  <cacheSource type="worksheet">
    <worksheetSource ref="A5:I84" sheet="BS - Detail.03.18"/>
  </cacheSource>
  <cacheFields count="9">
    <cacheField name="ACCT #" numFmtId="49">
      <sharedItems/>
    </cacheField>
    <cacheField name="ACCOUNT NAME" numFmtId="49">
      <sharedItems/>
    </cacheField>
    <cacheField name="HE" numFmtId="43">
      <sharedItems containsSemiMixedTypes="0" containsString="0" containsNumber="1" minValue="-20785924.02" maxValue="20808269.530000001"/>
    </cacheField>
    <cacheField name="ADJ 01" numFmtId="0">
      <sharedItems containsNonDate="0" containsString="0" containsBlank="1"/>
    </cacheField>
    <cacheField name="ADJ 02" numFmtId="43">
      <sharedItems containsNonDate="0" containsString="0" containsBlank="1"/>
    </cacheField>
    <cacheField name="ADJ 03" numFmtId="43">
      <sharedItems containsNonDate="0" containsString="0" containsBlank="1"/>
    </cacheField>
    <cacheField name="CONSOLIDATED" numFmtId="43">
      <sharedItems containsSemiMixedTypes="0" containsString="0" containsNumber="1" minValue="-20785924.02" maxValue="20808269.530000001"/>
    </cacheField>
    <cacheField name="ACCOUNT TYPE" numFmtId="43">
      <sharedItems containsBlank="1" count="24">
        <s v="CASH"/>
        <s v="AR"/>
        <s v="OTHER ASSETS"/>
        <s v="INVENTORY"/>
        <s v="PP&amp;E"/>
        <s v="PREPAID"/>
        <s v="AP"/>
        <s v="DEFREV"/>
        <s v="ACCRUED"/>
        <s v="LTCAPLEASE.NOTES"/>
        <s v="RE"/>
        <s v="COMMON"/>
        <s v="PREFERRED"/>
        <s v="APIC"/>
        <m u="1"/>
        <s v="LOAN FEES" u="1"/>
        <s v="INTANGIBLES" u="1"/>
        <s v="SOFTWARE" u="1"/>
        <s v="OTHER LIAB" u="1"/>
        <s v="IGNORE" u="1"/>
        <s v="WARRANT LIAB" u="1"/>
        <s v="STCAPLEASE.NOTES" u="1"/>
        <s v="AP&amp;ACCRUED" u="1"/>
        <s v="RELATED PARTY REC" u="1"/>
      </sharedItems>
    </cacheField>
    <cacheField name="AMT" numFmtId="43">
      <sharedItems containsSemiMixedTypes="0" containsString="0" containsNumber="1" minValue="-20785924.02" maxValue="20808269.53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8">
  <r>
    <s v="4000"/>
    <s v="Rental - Income"/>
    <n v="783714.24"/>
    <m/>
    <m/>
    <m/>
    <n v="783714.24"/>
    <x v="0"/>
    <n v="783714"/>
  </r>
  <r>
    <s v="4010"/>
    <s v="Labor Revenue"/>
    <n v="149734.72"/>
    <m/>
    <m/>
    <m/>
    <n v="149734.72"/>
    <x v="1"/>
    <n v="149735"/>
  </r>
  <r>
    <s v="4020"/>
    <s v="Discounts Earned"/>
    <n v="0"/>
    <m/>
    <m/>
    <m/>
    <n v="0"/>
    <x v="1"/>
    <n v="0"/>
  </r>
  <r>
    <s v="4030"/>
    <s v="Hauling Revenue"/>
    <n v="151470.53"/>
    <m/>
    <m/>
    <m/>
    <n v="151470.53"/>
    <x v="1"/>
    <n v="151471"/>
  </r>
  <r>
    <s v="4040"/>
    <s v="Sales Department Revenue"/>
    <n v="0"/>
    <m/>
    <m/>
    <m/>
    <n v="0"/>
    <x v="1"/>
    <n v="0"/>
  </r>
  <r>
    <s v="4050"/>
    <s v="Consignment Sales - Joint Venture"/>
    <n v="103500"/>
    <m/>
    <m/>
    <n v="0"/>
    <n v="103500"/>
    <x v="1"/>
    <n v="103500"/>
  </r>
  <r>
    <s v="4060"/>
    <s v="Sales of Equipment"/>
    <n v="2528565.39"/>
    <n v="0"/>
    <m/>
    <m/>
    <n v="2528565.39"/>
    <x v="1"/>
    <n v="2528565"/>
  </r>
  <r>
    <s v="4070"/>
    <s v="Attachment Sales"/>
    <n v="59182"/>
    <m/>
    <m/>
    <m/>
    <n v="59182"/>
    <x v="1"/>
    <n v="59182"/>
  </r>
  <r>
    <s v="4080"/>
    <s v="Scrap Sales"/>
    <n v="145.26"/>
    <m/>
    <m/>
    <m/>
    <n v="145.26"/>
    <x v="1"/>
    <n v="145"/>
  </r>
  <r>
    <s v="4100"/>
    <s v="Parts Sales"/>
    <n v="227205.7"/>
    <m/>
    <m/>
    <m/>
    <n v="227205.7"/>
    <x v="1"/>
    <n v="227206"/>
  </r>
  <r>
    <s v="4110"/>
    <s v="Parts Department Special Orders"/>
    <n v="0"/>
    <m/>
    <m/>
    <m/>
    <n v="0"/>
    <x v="1"/>
    <n v="0"/>
  </r>
  <r>
    <s v="4120"/>
    <s v="Parts Department Freight"/>
    <n v="21879.25"/>
    <m/>
    <m/>
    <m/>
    <n v="21879.25"/>
    <x v="1"/>
    <n v="21879"/>
  </r>
  <r>
    <s v="4150"/>
    <s v="Finance Charge Income"/>
    <n v="0"/>
    <m/>
    <m/>
    <m/>
    <n v="0"/>
    <x v="1"/>
    <n v="0"/>
  </r>
  <r>
    <s v="4160"/>
    <s v="Outside Services Billed to Customer"/>
    <n v="4344.59"/>
    <m/>
    <m/>
    <m/>
    <n v="4344.59"/>
    <x v="1"/>
    <n v="4345"/>
  </r>
  <r>
    <s v="4180"/>
    <s v="Credit Card Fees"/>
    <n v="-46.41"/>
    <m/>
    <m/>
    <m/>
    <n v="-46.41"/>
    <x v="1"/>
    <n v="-46"/>
  </r>
  <r>
    <s v="4190"/>
    <s v="Sales Tax Adjustment"/>
    <n v="0"/>
    <m/>
    <m/>
    <m/>
    <n v="0"/>
    <x v="2"/>
    <n v="0"/>
  </r>
  <r>
    <s v="5000"/>
    <s v="COGS Equipment"/>
    <n v="-1443857.47"/>
    <n v="-230367.65"/>
    <m/>
    <m/>
    <n v="-1674225.12"/>
    <x v="2"/>
    <n v="-1674225"/>
  </r>
  <r>
    <s v="50000"/>
    <s v="Cost of Goods Sold"/>
    <n v="-109356.83"/>
    <n v="230367.65"/>
    <m/>
    <m/>
    <n v="121010.82"/>
    <x v="2"/>
    <n v="121011"/>
  </r>
  <r>
    <s v="5010"/>
    <s v="COGS Attachments"/>
    <n v="-45193.37"/>
    <m/>
    <m/>
    <m/>
    <n v="-45193.37"/>
    <x v="2"/>
    <n v="-45193"/>
  </r>
  <r>
    <s v="5020"/>
    <s v="COGS Parts"/>
    <n v="-161924.34"/>
    <m/>
    <m/>
    <m/>
    <n v="-161924.34"/>
    <x v="2"/>
    <n v="-161924"/>
  </r>
  <r>
    <s v="5030"/>
    <s v="COGS Joint Venture"/>
    <n v="-88000"/>
    <m/>
    <m/>
    <m/>
    <n v="-88000"/>
    <x v="2"/>
    <n v="-88000"/>
  </r>
  <r>
    <s v="5050"/>
    <s v="COGS Special Order Parts"/>
    <n v="-380"/>
    <m/>
    <m/>
    <m/>
    <n v="-380"/>
    <x v="2"/>
    <n v="-380"/>
  </r>
  <r>
    <s v="5060"/>
    <s v="COGS Hauling"/>
    <n v="0"/>
    <m/>
    <m/>
    <m/>
    <n v="0"/>
    <x v="2"/>
    <n v="0"/>
  </r>
  <r>
    <s v="5070"/>
    <s v="COGS Frieght"/>
    <n v="-35729.26"/>
    <m/>
    <m/>
    <m/>
    <n v="-35729.26"/>
    <x v="2"/>
    <n v="-35729"/>
  </r>
  <r>
    <s v="5090"/>
    <s v="COGS Paint"/>
    <n v="-8893.2800000000007"/>
    <m/>
    <m/>
    <m/>
    <n v="-8893.2800000000007"/>
    <x v="2"/>
    <n v="-8893"/>
  </r>
  <r>
    <s v="5100"/>
    <s v="Pilot Cars"/>
    <n v="0"/>
    <m/>
    <m/>
    <m/>
    <n v="0"/>
    <x v="2"/>
    <n v="0"/>
  </r>
  <r>
    <s v="5110"/>
    <s v="Commission"/>
    <n v="0"/>
    <m/>
    <m/>
    <m/>
    <n v="0"/>
    <x v="3"/>
    <n v="0"/>
  </r>
  <r>
    <s v="5120"/>
    <s v="COGS Outside Service"/>
    <n v="-76264.28"/>
    <m/>
    <m/>
    <m/>
    <n v="-76264.28"/>
    <x v="2"/>
    <n v="-76264"/>
  </r>
  <r>
    <s v="5210"/>
    <s v="COGS Depreciation"/>
    <n v="-127023.86"/>
    <m/>
    <m/>
    <m/>
    <n v="-127023.86"/>
    <x v="4"/>
    <n v="-127024"/>
  </r>
  <r>
    <s v="6000"/>
    <s v="G&amp;A"/>
    <n v="-67387.289999999994"/>
    <m/>
    <m/>
    <m/>
    <n v="-67387.289999999994"/>
    <x v="5"/>
    <n v="-67387"/>
  </r>
  <r>
    <s v="6010"/>
    <s v="Payroll - Adminsitration"/>
    <n v="-67090.67"/>
    <m/>
    <m/>
    <m/>
    <n v="-67090.67"/>
    <x v="5"/>
    <n v="-67091"/>
  </r>
  <r>
    <s v="6011"/>
    <s v="Payroll - Sales"/>
    <n v="-51993.38"/>
    <m/>
    <m/>
    <m/>
    <n v="-51993.38"/>
    <x v="3"/>
    <n v="-51993"/>
  </r>
  <r>
    <s v="6012"/>
    <s v="Payroll - Parts"/>
    <n v="-27841.07"/>
    <m/>
    <m/>
    <m/>
    <n v="-27841.07"/>
    <x v="2"/>
    <n v="-27841"/>
  </r>
  <r>
    <s v="6013"/>
    <s v="Payroll - Trucking"/>
    <n v="-62041.95"/>
    <m/>
    <m/>
    <m/>
    <n v="-62041.95"/>
    <x v="2"/>
    <n v="-62042"/>
  </r>
  <r>
    <s v="6014"/>
    <s v="Payroll - Service Department"/>
    <n v="-156685.42000000001"/>
    <m/>
    <m/>
    <m/>
    <n v="-156685.42000000001"/>
    <x v="2"/>
    <n v="-156685"/>
  </r>
  <r>
    <s v="6015"/>
    <s v="Board Compensation"/>
    <m/>
    <m/>
    <m/>
    <m/>
    <n v="0"/>
    <x v="2"/>
    <n v="0"/>
  </r>
  <r>
    <s v="6016"/>
    <s v="Employee Incentives/Bonus"/>
    <n v="-204.24"/>
    <m/>
    <m/>
    <m/>
    <n v="-204.24"/>
    <x v="2"/>
    <n v="-204"/>
  </r>
  <r>
    <s v="6017"/>
    <s v="Bonus"/>
    <n v="0"/>
    <m/>
    <m/>
    <m/>
    <n v="0"/>
    <x v="2"/>
    <n v="0"/>
  </r>
  <r>
    <s v="6020"/>
    <s v="Marketing Advertising "/>
    <n v="-21482.41"/>
    <m/>
    <m/>
    <m/>
    <n v="-21482.41"/>
    <x v="3"/>
    <n v="-21482"/>
  </r>
  <r>
    <s v="6022"/>
    <s v="Stock Based Compensation"/>
    <n v="0"/>
    <m/>
    <m/>
    <m/>
    <n v="0"/>
    <x v="3"/>
    <n v="0"/>
  </r>
  <r>
    <s v="6025"/>
    <s v="Promotions"/>
    <n v="-3500.01"/>
    <m/>
    <m/>
    <m/>
    <n v="-3500.01"/>
    <x v="3"/>
    <n v="-3500"/>
  </r>
  <r>
    <s v="6030"/>
    <s v="Cargo Insurance"/>
    <n v="0"/>
    <m/>
    <m/>
    <m/>
    <n v="0"/>
    <x v="2"/>
    <n v="0"/>
  </r>
  <r>
    <s v="6035"/>
    <s v="General Liability Insurance"/>
    <n v="-12074.58"/>
    <m/>
    <m/>
    <m/>
    <n v="-12074.58"/>
    <x v="2"/>
    <n v="-12075"/>
  </r>
  <r>
    <s v="6040"/>
    <s v="Medical-First Aid"/>
    <m/>
    <m/>
    <m/>
    <m/>
    <n v="0"/>
    <x v="2"/>
    <n v="0"/>
  </r>
  <r>
    <s v="6045"/>
    <s v="Health Insurance"/>
    <n v="-27204.86"/>
    <m/>
    <m/>
    <m/>
    <n v="-27204.86"/>
    <x v="2"/>
    <n v="-27205"/>
  </r>
  <r>
    <s v="6050"/>
    <s v="Officers Life Insurance"/>
    <n v="-11880.32"/>
    <m/>
    <m/>
    <m/>
    <n v="-11880.32"/>
    <x v="5"/>
    <n v="-11880"/>
  </r>
  <r>
    <s v="6053"/>
    <s v="D&amp;O Insurance"/>
    <n v="-7209.59"/>
    <m/>
    <m/>
    <m/>
    <n v="-7209.59"/>
    <x v="5"/>
    <n v="-7210"/>
  </r>
  <r>
    <s v="6055"/>
    <s v="Computer Technology Expenses"/>
    <n v="-5707.08"/>
    <m/>
    <m/>
    <m/>
    <n v="-5707.08"/>
    <x v="5"/>
    <n v="-5707"/>
  </r>
  <r>
    <s v="6060"/>
    <s v="Dues &amp; Subscriptions"/>
    <n v="-2182.9899999999998"/>
    <m/>
    <m/>
    <m/>
    <n v="-2182.9899999999998"/>
    <x v="5"/>
    <n v="-2183"/>
  </r>
  <r>
    <s v="6065"/>
    <s v="Office Equipment Lease"/>
    <n v="-1594.75"/>
    <m/>
    <m/>
    <m/>
    <n v="-1594.75"/>
    <x v="5"/>
    <n v="-1595"/>
  </r>
  <r>
    <s v="6070"/>
    <s v="Professional Fees"/>
    <n v="-6819.3"/>
    <m/>
    <m/>
    <m/>
    <n v="-6819.3"/>
    <x v="5"/>
    <n v="-6819"/>
  </r>
  <r>
    <s v="6075"/>
    <s v="Mileage Reimbursement"/>
    <n v="6129.91"/>
    <m/>
    <m/>
    <m/>
    <n v="6129.91"/>
    <x v="5"/>
    <n v="6130"/>
  </r>
  <r>
    <s v="6080"/>
    <s v="Charitable Contributions"/>
    <n v="-1000"/>
    <m/>
    <m/>
    <m/>
    <n v="-1000"/>
    <x v="5"/>
    <n v="-1000"/>
  </r>
  <r>
    <s v="6090"/>
    <s v="Commission Paid"/>
    <n v="-950"/>
    <m/>
    <m/>
    <m/>
    <n v="-950"/>
    <x v="6"/>
    <n v="-950"/>
  </r>
  <r>
    <s v="6100"/>
    <s v="Bank Service Charges"/>
    <n v="-1639.6"/>
    <m/>
    <m/>
    <m/>
    <n v="-1639.6"/>
    <x v="5"/>
    <n v="-1640"/>
  </r>
  <r>
    <s v="6120"/>
    <s v="Interest Expense"/>
    <n v="-221819.39"/>
    <m/>
    <m/>
    <m/>
    <n v="-221819.39"/>
    <x v="6"/>
    <n v="-221819"/>
  </r>
  <r>
    <s v="6125"/>
    <s v="Early Debt Payoff"/>
    <n v="-12333.23"/>
    <m/>
    <m/>
    <m/>
    <n v="-12333.23"/>
    <x v="7"/>
    <n v="-12333"/>
  </r>
  <r>
    <s v="6130"/>
    <s v="Late Fees/Finance Charges"/>
    <n v="-2894.99"/>
    <m/>
    <m/>
    <m/>
    <n v="-2894.99"/>
    <x v="6"/>
    <n v="-2895"/>
  </r>
  <r>
    <s v="6140"/>
    <s v="Loan Fees"/>
    <n v="-20975.81"/>
    <m/>
    <m/>
    <m/>
    <n v="-20975.81"/>
    <x v="6"/>
    <n v="-20976"/>
  </r>
  <r>
    <s v="6145"/>
    <s v="Office Supplies"/>
    <n v="-4494.5200000000004"/>
    <m/>
    <m/>
    <m/>
    <n v="-4494.5200000000004"/>
    <x v="5"/>
    <n v="-4495"/>
  </r>
  <r>
    <s v="6150"/>
    <s v="Accounting Outside Services"/>
    <n v="-32061"/>
    <m/>
    <m/>
    <m/>
    <n v="-32061"/>
    <x v="5"/>
    <n v="-32061"/>
  </r>
  <r>
    <s v="6160"/>
    <s v="Legal"/>
    <n v="-22885.16"/>
    <m/>
    <m/>
    <m/>
    <n v="-22885.16"/>
    <x v="5"/>
    <n v="-22885"/>
  </r>
  <r>
    <s v="6165"/>
    <s v="Postage"/>
    <n v="-145.88999999999999"/>
    <m/>
    <m/>
    <m/>
    <n v="-145.88999999999999"/>
    <x v="5"/>
    <n v="-146"/>
  </r>
  <r>
    <s v="6170"/>
    <s v="Continuting Education"/>
    <n v="0"/>
    <m/>
    <m/>
    <m/>
    <n v="0"/>
    <x v="5"/>
    <n v="0"/>
  </r>
  <r>
    <s v="6180"/>
    <s v="Admin Misc. Expenses"/>
    <n v="-100"/>
    <m/>
    <m/>
    <m/>
    <n v="-100"/>
    <x v="5"/>
    <n v="-100"/>
  </r>
  <r>
    <s v="6190"/>
    <s v="Bad Debt"/>
    <n v="0"/>
    <m/>
    <m/>
    <m/>
    <n v="0"/>
    <x v="1"/>
    <n v="0"/>
  </r>
  <r>
    <s v="6200"/>
    <s v="Meals &amp; Entertainment"/>
    <n v="-16755.02"/>
    <m/>
    <m/>
    <m/>
    <n v="-16755.02"/>
    <x v="5"/>
    <n v="-16755"/>
  </r>
  <r>
    <s v="6210"/>
    <s v="Rental (vehicle) Exp"/>
    <n v="-884.41"/>
    <m/>
    <m/>
    <m/>
    <n v="-884.41"/>
    <x v="5"/>
    <n v="-884"/>
  </r>
  <r>
    <s v="6220"/>
    <s v="Per Diem"/>
    <n v="-6840"/>
    <m/>
    <m/>
    <m/>
    <n v="-6840"/>
    <x v="3"/>
    <n v="-6840"/>
  </r>
  <r>
    <s v="6230"/>
    <s v="Airfare"/>
    <n v="-8345.82"/>
    <m/>
    <m/>
    <m/>
    <n v="-8345.82"/>
    <x v="3"/>
    <n v="-8346"/>
  </r>
  <r>
    <s v="6240"/>
    <s v="Lodging"/>
    <n v="-42362.16"/>
    <m/>
    <m/>
    <m/>
    <n v="-42362.16"/>
    <x v="3"/>
    <n v="-42362"/>
  </r>
  <r>
    <s v="6250"/>
    <s v="Other Travel Expenses"/>
    <n v="-4666.42"/>
    <m/>
    <m/>
    <m/>
    <n v="-4666.42"/>
    <x v="3"/>
    <n v="-4666"/>
  </r>
  <r>
    <s v="6300"/>
    <s v="Fees &amp; Permits"/>
    <n v="-3741.91"/>
    <m/>
    <m/>
    <m/>
    <n v="-3741.91"/>
    <x v="5"/>
    <n v="-3742"/>
  </r>
  <r>
    <s v="6310"/>
    <s v="Shop Supplies"/>
    <n v="-13987.1"/>
    <m/>
    <m/>
    <m/>
    <n v="-13987.1"/>
    <x v="2"/>
    <n v="-13987"/>
  </r>
  <r>
    <s v="6320"/>
    <s v="Cylinder Rental "/>
    <n v="-76"/>
    <m/>
    <m/>
    <m/>
    <n v="-76"/>
    <x v="5"/>
    <n v="-76"/>
  </r>
  <r>
    <s v="6330"/>
    <s v="Equipment Rental/Lease"/>
    <n v="-40176.86"/>
    <m/>
    <m/>
    <m/>
    <n v="-40176.86"/>
    <x v="4"/>
    <n v="-40177"/>
  </r>
  <r>
    <s v="6335"/>
    <s v="Trade Show Expenses"/>
    <n v="115"/>
    <m/>
    <m/>
    <m/>
    <n v="115"/>
    <x v="5"/>
    <n v="115"/>
  </r>
  <r>
    <s v="6340"/>
    <s v="Outside Contractor"/>
    <n v="-38673.9"/>
    <m/>
    <m/>
    <m/>
    <n v="-38673.9"/>
    <x v="2"/>
    <n v="-38674"/>
  </r>
  <r>
    <s v="6400"/>
    <s v="Building Rental Expenses"/>
    <n v="-36000"/>
    <m/>
    <m/>
    <m/>
    <n v="-36000"/>
    <x v="2"/>
    <n v="-36000"/>
  </r>
  <r>
    <s v="6410"/>
    <s v="Property Taxes"/>
    <n v="-1296.33"/>
    <m/>
    <m/>
    <m/>
    <n v="-1296.33"/>
    <x v="5"/>
    <n v="-1296"/>
  </r>
  <r>
    <s v="6420"/>
    <s v="Utilities"/>
    <n v="-7321.07"/>
    <m/>
    <m/>
    <m/>
    <n v="-7321.07"/>
    <x v="2"/>
    <n v="-7321"/>
  </r>
  <r>
    <s v="6440"/>
    <s v="Building &amp; Grounds Maintenance"/>
    <n v="-3178.76"/>
    <m/>
    <m/>
    <m/>
    <n v="-3178.76"/>
    <x v="5"/>
    <n v="-3179"/>
  </r>
  <r>
    <s v="6450"/>
    <s v="Security"/>
    <n v="-385.06"/>
    <m/>
    <m/>
    <m/>
    <n v="-385.06"/>
    <x v="5"/>
    <n v="-385"/>
  </r>
  <r>
    <s v="6460"/>
    <s v="Pest Control"/>
    <n v="-153"/>
    <m/>
    <m/>
    <m/>
    <n v="-153"/>
    <x v="5"/>
    <n v="-153"/>
  </r>
  <r>
    <s v="6470"/>
    <s v="Janitorial Expense"/>
    <n v="-1371.98"/>
    <m/>
    <m/>
    <m/>
    <n v="-1371.98"/>
    <x v="2"/>
    <n v="-1372"/>
  </r>
  <r>
    <s v="6500"/>
    <s v="Uniforms"/>
    <n v="-5365.71"/>
    <m/>
    <m/>
    <m/>
    <n v="-5365.71"/>
    <x v="2"/>
    <n v="-5366"/>
  </r>
  <r>
    <s v="6505"/>
    <s v="Tires"/>
    <n v="-11445.11"/>
    <m/>
    <m/>
    <m/>
    <n v="-11445.11"/>
    <x v="2"/>
    <n v="-11445"/>
  </r>
  <r>
    <s v="6510"/>
    <s v="Fuel Expense"/>
    <n v="-46398.95"/>
    <m/>
    <m/>
    <m/>
    <n v="-46398.95"/>
    <x v="2"/>
    <n v="-46399"/>
  </r>
  <r>
    <s v="6515"/>
    <s v="Misc Parts"/>
    <n v="-78395.3"/>
    <m/>
    <m/>
    <m/>
    <n v="-78395.3"/>
    <x v="2"/>
    <n v="-78395"/>
  </r>
  <r>
    <s v="6520"/>
    <s v="Vehicle Maint &amp; Repair"/>
    <n v="-7865.49"/>
    <m/>
    <m/>
    <m/>
    <n v="-7865.49"/>
    <x v="2"/>
    <n v="-7865"/>
  </r>
  <r>
    <s v="6521"/>
    <s v="Equipment Maintanence &amp; Repair"/>
    <n v="-734.1"/>
    <m/>
    <m/>
    <m/>
    <n v="-734.1"/>
    <x v="2"/>
    <n v="-734"/>
  </r>
  <r>
    <s v="6530"/>
    <s v="DMV Fees"/>
    <n v="516"/>
    <m/>
    <m/>
    <m/>
    <n v="516"/>
    <x v="2"/>
    <n v="516"/>
  </r>
  <r>
    <s v="6540"/>
    <s v="Trucking Fees &amp; Permits"/>
    <n v="-5946.97"/>
    <m/>
    <m/>
    <m/>
    <n v="-5946.97"/>
    <x v="2"/>
    <n v="-5947"/>
  </r>
  <r>
    <s v="6550"/>
    <s v="Outside Services  "/>
    <n v="-69692.34"/>
    <m/>
    <m/>
    <m/>
    <n v="-69692.34"/>
    <x v="2"/>
    <n v="-69692"/>
  </r>
  <r>
    <s v="6560"/>
    <s v="Trucking Department - Other Expenses"/>
    <n v="-2660.23"/>
    <m/>
    <m/>
    <m/>
    <n v="-2660.23"/>
    <x v="2"/>
    <n v="-2660"/>
  </r>
  <r>
    <s v="6570"/>
    <s v="Outside Hauling"/>
    <n v="-36427.75"/>
    <m/>
    <m/>
    <m/>
    <n v="-36427.75"/>
    <x v="2"/>
    <n v="-36428"/>
  </r>
  <r>
    <s v="66900"/>
    <s v="Reconciliation Discrepancies"/>
    <n v="0"/>
    <m/>
    <m/>
    <m/>
    <n v="0"/>
    <x v="2"/>
    <n v="0"/>
  </r>
  <r>
    <s v="7000"/>
    <s v="Gain on Sale of Assets"/>
    <n v="0"/>
    <m/>
    <m/>
    <m/>
    <n v="0"/>
    <x v="8"/>
    <n v="0"/>
  </r>
  <r>
    <s v="7100"/>
    <s v="Other Income"/>
    <n v="10077.86"/>
    <n v="0"/>
    <m/>
    <m/>
    <n v="10077.86"/>
    <x v="9"/>
    <n v="10078"/>
  </r>
  <r>
    <s v="7200"/>
    <s v="Interest Income"/>
    <n v="0"/>
    <m/>
    <m/>
    <m/>
    <n v="0"/>
    <x v="9"/>
    <n v="0"/>
  </r>
  <r>
    <s v="8000"/>
    <s v="Loss on Sales of Assets"/>
    <n v="0"/>
    <m/>
    <m/>
    <m/>
    <n v="0"/>
    <x v="8"/>
    <n v="0"/>
  </r>
  <r>
    <s v="8010"/>
    <s v="Discount Taken"/>
    <n v="8120.54"/>
    <m/>
    <m/>
    <m/>
    <n v="8120.54"/>
    <x v="5"/>
    <n v="8121"/>
  </r>
  <r>
    <s v="8020"/>
    <s v="Legal Settlement"/>
    <n v="0"/>
    <m/>
    <m/>
    <m/>
    <n v="0"/>
    <x v="5"/>
    <n v="0"/>
  </r>
  <r>
    <s v="8100"/>
    <s v="Depreciation Expense"/>
    <n v="-73368.570000000007"/>
    <m/>
    <m/>
    <m/>
    <n v="-73368.570000000007"/>
    <x v="2"/>
    <n v="-73369"/>
  </r>
  <r>
    <s v="8150"/>
    <s v="Amortization Expense"/>
    <n v="-20416.59"/>
    <m/>
    <m/>
    <m/>
    <n v="-20416.59"/>
    <x v="6"/>
    <n v="-20417"/>
  </r>
  <r>
    <s v="8300"/>
    <s v="State Income Tax Expense"/>
    <n v="-61230.14"/>
    <m/>
    <m/>
    <m/>
    <n v="-61230.14"/>
    <x v="10"/>
    <n v="-61230"/>
  </r>
  <r>
    <s v="8400"/>
    <s v="Federal Income Tax Expense"/>
    <n v="-91845.21"/>
    <n v="0"/>
    <m/>
    <m/>
    <n v="-91845.21"/>
    <x v="10"/>
    <n v="-91845"/>
  </r>
  <r>
    <s v="8500"/>
    <s v="Heavy Haul Vehicle Tax (IRS)"/>
    <n v="0"/>
    <m/>
    <m/>
    <m/>
    <n v="0"/>
    <x v="5"/>
    <n v="0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80">
  <r>
    <s v="1000"/>
    <s v="Deposit Acct - Chase 8028"/>
    <n v="29330.45"/>
    <m/>
    <m/>
    <m/>
    <n v="29330.45"/>
    <x v="0"/>
    <n v="29330.45"/>
  </r>
  <r>
    <s v="1030"/>
    <s v="Disbursement Acct - Chase 6390"/>
    <n v="-2279.83"/>
    <m/>
    <m/>
    <m/>
    <n v="-2279.83"/>
    <x v="0"/>
    <n v="-2279.83"/>
  </r>
  <r>
    <s v="1040"/>
    <s v="New Wire Acct - Chase 6919"/>
    <n v="17286.240000000002"/>
    <m/>
    <m/>
    <m/>
    <n v="17286.240000000002"/>
    <x v="0"/>
    <n v="17286.240000000002"/>
  </r>
  <r>
    <s v="1050"/>
    <s v="Merchant Acct - Chase 6366 "/>
    <n v="2129.69"/>
    <m/>
    <m/>
    <m/>
    <n v="2129.69"/>
    <x v="0"/>
    <n v="2129.69"/>
  </r>
  <r>
    <s v="1060"/>
    <s v="SBOE Sales Tax Acct - Chase 4004"/>
    <n v="277.08"/>
    <m/>
    <m/>
    <m/>
    <n v="277.08"/>
    <x v="0"/>
    <n v="277.08"/>
  </r>
  <r>
    <s v="1080"/>
    <s v="Checking Acct - Wells Fargo 7556"/>
    <n v="-48.27"/>
    <m/>
    <m/>
    <m/>
    <n v="-48.27"/>
    <x v="0"/>
    <n v="-48.27"/>
  </r>
  <r>
    <s v="1090"/>
    <s v="Bank of the West"/>
    <n v="737.25"/>
    <m/>
    <m/>
    <m/>
    <n v="737.25"/>
    <x v="0"/>
    <n v="737.25"/>
  </r>
  <r>
    <s v="11000"/>
    <s v="Accounts Receivable - Other"/>
    <n v="470353.1"/>
    <m/>
    <m/>
    <m/>
    <n v="470353.1"/>
    <x v="1"/>
    <n v="470353.1"/>
  </r>
  <r>
    <s v="11500"/>
    <s v="Allowance for doubtful accts"/>
    <n v="-56725"/>
    <m/>
    <m/>
    <m/>
    <n v="-56725"/>
    <x v="1"/>
    <n v="-56725"/>
  </r>
  <r>
    <s v="12000"/>
    <s v="Undeposited Funds"/>
    <n v="4478.05"/>
    <m/>
    <m/>
    <m/>
    <n v="4478.05"/>
    <x v="2"/>
    <n v="4478.05"/>
  </r>
  <r>
    <s v="1210"/>
    <s v="Deposit for Trucks"/>
    <n v="5455.58"/>
    <m/>
    <m/>
    <m/>
    <n v="5455.58"/>
    <x v="2"/>
    <n v="5455.58"/>
  </r>
  <r>
    <s v="1220"/>
    <s v="Parts Inventory"/>
    <n v="458324.5"/>
    <m/>
    <m/>
    <m/>
    <n v="458324.5"/>
    <x v="3"/>
    <n v="458324.5"/>
  </r>
  <r>
    <s v="1230"/>
    <s v="Equipment Inventory"/>
    <n v="2175970.66"/>
    <m/>
    <m/>
    <m/>
    <n v="2175970.66"/>
    <x v="3"/>
    <n v="2175970.66"/>
  </r>
  <r>
    <s v="1240"/>
    <s v="Consignment Inventory"/>
    <n v="557674"/>
    <m/>
    <m/>
    <m/>
    <n v="557674"/>
    <x v="3"/>
    <n v="557674"/>
  </r>
  <r>
    <s v="1250"/>
    <s v="Attachments Inventory"/>
    <n v="51220.9"/>
    <m/>
    <m/>
    <m/>
    <n v="51220.9"/>
    <x v="3"/>
    <n v="51220.9"/>
  </r>
  <r>
    <s v="1260"/>
    <s v="Estimated Taxes Paid"/>
    <n v="60000"/>
    <m/>
    <m/>
    <m/>
    <n v="60000"/>
    <x v="2"/>
    <n v="60000"/>
  </r>
  <r>
    <s v="1270"/>
    <s v="Escrow - Anderson Funding"/>
    <n v="-27854.86"/>
    <m/>
    <m/>
    <m/>
    <n v="-27854.86"/>
    <x v="3"/>
    <n v="-27854.86"/>
  </r>
  <r>
    <s v="1297"/>
    <s v="Inventory Reserve"/>
    <n v="-454729.95"/>
    <m/>
    <m/>
    <m/>
    <n v="-454729.95"/>
    <x v="3"/>
    <n v="-454729.95"/>
  </r>
  <r>
    <s v="1298"/>
    <s v="Change of Inventory"/>
    <n v="30536.1"/>
    <m/>
    <m/>
    <m/>
    <n v="30536.1"/>
    <x v="3"/>
    <n v="30536.1"/>
  </r>
  <r>
    <s v="1299"/>
    <s v="Suspense Account"/>
    <n v="-1271.04"/>
    <m/>
    <m/>
    <m/>
    <n v="-1271.04"/>
    <x v="2"/>
    <n v="-1271.04"/>
  </r>
  <r>
    <s v="1310"/>
    <s v="Leasehold Improvements"/>
    <n v="356104.48"/>
    <m/>
    <m/>
    <m/>
    <n v="356104.48"/>
    <x v="4"/>
    <n v="356104.48"/>
  </r>
  <r>
    <s v="1315"/>
    <s v="Accum Depr - LHI"/>
    <n v="-152078.56"/>
    <m/>
    <m/>
    <m/>
    <n v="-152078.56"/>
    <x v="4"/>
    <n v="-152078.56"/>
  </r>
  <r>
    <s v="1320"/>
    <s v="Furniture &amp; Equipment"/>
    <n v="22222.54"/>
    <m/>
    <m/>
    <m/>
    <n v="22222.54"/>
    <x v="4"/>
    <n v="22222.54"/>
  </r>
  <r>
    <s v="1325"/>
    <s v="Accum Depr - Furniture &amp; Equipment"/>
    <n v="-20883.439999999999"/>
    <m/>
    <m/>
    <m/>
    <n v="-20883.439999999999"/>
    <x v="4"/>
    <n v="-20883.439999999999"/>
  </r>
  <r>
    <s v="1330"/>
    <s v="Computer Automation"/>
    <n v="42000.76"/>
    <m/>
    <m/>
    <m/>
    <n v="42000.76"/>
    <x v="4"/>
    <n v="42000.76"/>
  </r>
  <r>
    <s v="1335"/>
    <s v="Accum Depr - Computer Automation"/>
    <n v="-29922.79"/>
    <m/>
    <m/>
    <m/>
    <n v="-29922.79"/>
    <x v="4"/>
    <n v="-29922.79"/>
  </r>
  <r>
    <s v="1340"/>
    <s v="Equipment"/>
    <n v="1747984.96"/>
    <m/>
    <m/>
    <m/>
    <n v="1747984.96"/>
    <x v="4"/>
    <n v="1747984.96"/>
  </r>
  <r>
    <s v="1342"/>
    <s v="Anderson Funding Equipment"/>
    <n v="4705788.3499999996"/>
    <m/>
    <m/>
    <m/>
    <n v="4705788.3499999996"/>
    <x v="4"/>
    <n v="4705788.3499999996"/>
  </r>
  <r>
    <s v="1345"/>
    <s v="Accum Depr - Equipment"/>
    <n v="-1363800.95"/>
    <m/>
    <m/>
    <m/>
    <n v="-1363800.95"/>
    <x v="4"/>
    <n v="-1363800.95"/>
  </r>
  <r>
    <s v="1350"/>
    <s v="Service Trucks"/>
    <n v="225185"/>
    <m/>
    <m/>
    <m/>
    <n v="225185"/>
    <x v="4"/>
    <n v="225185"/>
  </r>
  <r>
    <s v="1355"/>
    <s v="Accum Depr - Service Trucks"/>
    <n v="-126800.48"/>
    <m/>
    <m/>
    <m/>
    <n v="-126800.48"/>
    <x v="4"/>
    <n v="-126800.48"/>
  </r>
  <r>
    <s v="1360"/>
    <s v="Trucks &amp; Trailers"/>
    <n v="741401.39"/>
    <m/>
    <m/>
    <m/>
    <n v="741401.39"/>
    <x v="4"/>
    <n v="741401.39"/>
  </r>
  <r>
    <s v="1365"/>
    <s v="Accum Depr - Trucks &amp; Trailers"/>
    <n v="-295803.32"/>
    <m/>
    <m/>
    <m/>
    <n v="-295803.32"/>
    <x v="4"/>
    <n v="-295803.32"/>
  </r>
  <r>
    <s v="1370"/>
    <s v="Sales Vehicles"/>
    <n v="19737.259999999998"/>
    <m/>
    <m/>
    <m/>
    <n v="19737.259999999998"/>
    <x v="4"/>
    <n v="19737.259999999998"/>
  </r>
  <r>
    <s v="1375"/>
    <s v="Accum Depr - Sales Vehicles"/>
    <n v="-9211.2000000000007"/>
    <m/>
    <m/>
    <m/>
    <n v="-9211.2000000000007"/>
    <x v="4"/>
    <n v="-9211.2000000000007"/>
  </r>
  <r>
    <s v="1400"/>
    <s v="Prepaid Asset"/>
    <n v="17799.150000000001"/>
    <m/>
    <m/>
    <m/>
    <n v="17799.150000000001"/>
    <x v="5"/>
    <n v="17799.150000000001"/>
  </r>
  <r>
    <s v="1410"/>
    <s v="Employee Loan"/>
    <n v="4617.4399999999996"/>
    <m/>
    <m/>
    <m/>
    <n v="4617.4399999999996"/>
    <x v="2"/>
    <n v="4617.4399999999996"/>
  </r>
  <r>
    <s v="1420"/>
    <s v="New York Life #45973606"/>
    <n v="49513.04"/>
    <m/>
    <m/>
    <m/>
    <n v="49513.04"/>
    <x v="2"/>
    <n v="49513.04"/>
  </r>
  <r>
    <s v="1430"/>
    <s v="New York Life #48271835"/>
    <n v="67820.13"/>
    <m/>
    <m/>
    <m/>
    <n v="67820.13"/>
    <x v="2"/>
    <n v="67820.13"/>
  </r>
  <r>
    <s v="1440"/>
    <s v="New York Life #48271882"/>
    <n v="62701.68"/>
    <m/>
    <m/>
    <m/>
    <n v="62701.68"/>
    <x v="2"/>
    <n v="62701.68"/>
  </r>
  <r>
    <s v="1445"/>
    <s v="New York Life #45973523"/>
    <n v="41444"/>
    <m/>
    <m/>
    <m/>
    <n v="41444"/>
    <x v="2"/>
    <n v="41444"/>
  </r>
  <r>
    <s v="1450"/>
    <s v="New York Life #62966478"/>
    <n v="12595.61"/>
    <m/>
    <m/>
    <m/>
    <n v="12595.61"/>
    <x v="2"/>
    <n v="12595.61"/>
  </r>
  <r>
    <s v="1460"/>
    <s v="Petty Cash"/>
    <n v="357.49"/>
    <m/>
    <m/>
    <m/>
    <n v="357.49"/>
    <x v="0"/>
    <n v="357.49"/>
  </r>
  <r>
    <s v="20000"/>
    <s v="Accounts Payable"/>
    <n v="-1261733.6399999999"/>
    <m/>
    <m/>
    <m/>
    <n v="-1261733.6399999999"/>
    <x v="6"/>
    <n v="-1261733.6399999999"/>
  </r>
  <r>
    <s v="2030"/>
    <s v="Chase Visa - 8709"/>
    <n v="-55138.89"/>
    <m/>
    <m/>
    <m/>
    <n v="-55138.89"/>
    <x v="6"/>
    <n v="-55138.89"/>
  </r>
  <r>
    <s v="2050"/>
    <s v="Deferred Revenue"/>
    <n v="-3149212.23"/>
    <m/>
    <m/>
    <m/>
    <n v="-3149212.23"/>
    <x v="7"/>
    <n v="-3149212.23"/>
  </r>
  <r>
    <s v="2110"/>
    <s v="Sales Tax Payable"/>
    <n v="12988.1"/>
    <m/>
    <m/>
    <m/>
    <n v="12988.1"/>
    <x v="8"/>
    <n v="12988.1"/>
  </r>
  <r>
    <s v="2150"/>
    <s v="Income Tax Liability "/>
    <n v="-106760"/>
    <m/>
    <m/>
    <m/>
    <n v="-106760"/>
    <x v="8"/>
    <n v="-106760"/>
  </r>
  <r>
    <s v="2230"/>
    <s v="Hunt &amp; Son's, Inc."/>
    <n v="-112444.25"/>
    <m/>
    <m/>
    <m/>
    <n v="-112444.25"/>
    <x v="9"/>
    <n v="-112444.25"/>
  </r>
  <r>
    <s v="2260"/>
    <s v="RWL Enterprise"/>
    <n v="-112588.96"/>
    <m/>
    <m/>
    <m/>
    <n v="-112588.96"/>
    <x v="9"/>
    <n v="-112588.96"/>
  </r>
  <r>
    <s v="2280"/>
    <s v="Lee Hamre Note Payable"/>
    <n v="-387915.68"/>
    <m/>
    <m/>
    <m/>
    <n v="-387915.68"/>
    <x v="9"/>
    <n v="-387915.68"/>
  </r>
  <r>
    <s v="2310"/>
    <s v="Loan New York Life #48271835"/>
    <n v="-39316.980000000003"/>
    <m/>
    <m/>
    <m/>
    <n v="-39316.980000000003"/>
    <x v="9"/>
    <n v="-39316.980000000003"/>
  </r>
  <r>
    <s v="2320"/>
    <s v="Loan New York Life #45973523"/>
    <n v="-12071.9"/>
    <m/>
    <m/>
    <m/>
    <n v="-12071.9"/>
    <x v="9"/>
    <n v="-12071.9"/>
  </r>
  <r>
    <s v="2330"/>
    <s v="Loan New York Life #45973606"/>
    <n v="-38227.75"/>
    <m/>
    <m/>
    <m/>
    <n v="-38227.75"/>
    <x v="9"/>
    <n v="-38227.75"/>
  </r>
  <r>
    <s v="2340"/>
    <s v="Loan New York Life #48271882"/>
    <n v="-51704"/>
    <m/>
    <m/>
    <m/>
    <n v="-51704"/>
    <x v="9"/>
    <n v="-51704"/>
  </r>
  <r>
    <s v="2360"/>
    <s v="Global/Ascentium (2 Omega Lfts)"/>
    <n v="-3790.63"/>
    <m/>
    <m/>
    <m/>
    <n v="-3790.63"/>
    <x v="9"/>
    <n v="-3790.63"/>
  </r>
  <r>
    <s v="2370"/>
    <s v="Financial Pacific 1 Omega Lift"/>
    <n v="-28447.13"/>
    <m/>
    <m/>
    <m/>
    <n v="-28447.13"/>
    <x v="9"/>
    <n v="-28447.13"/>
  </r>
  <r>
    <s v="2451"/>
    <s v="Tustin Community Bank - T-123"/>
    <n v="-106476.56"/>
    <m/>
    <m/>
    <m/>
    <n v="-106476.56"/>
    <x v="9"/>
    <n v="-106476.56"/>
  </r>
  <r>
    <s v="2453"/>
    <s v="Ford Credit T-124"/>
    <n v="-32484.66"/>
    <m/>
    <m/>
    <m/>
    <n v="-32484.66"/>
    <x v="9"/>
    <n v="-32484.66"/>
  </r>
  <r>
    <s v="2460"/>
    <s v="Bank of the West LOC"/>
    <n v="-491500"/>
    <m/>
    <m/>
    <m/>
    <n v="-491500"/>
    <x v="9"/>
    <n v="-491500"/>
  </r>
  <r>
    <s v="2461"/>
    <s v="Global/Hamni #7163713"/>
    <n v="-46573.93"/>
    <m/>
    <m/>
    <m/>
    <n v="-46573.93"/>
    <x v="9"/>
    <n v="-46573.93"/>
  </r>
  <r>
    <s v="2463"/>
    <s v="Global - 2217441 (HE 3245)"/>
    <n v="-43217.35"/>
    <m/>
    <m/>
    <m/>
    <n v="-43217.35"/>
    <x v="9"/>
    <n v="-43217.35"/>
  </r>
  <r>
    <s v="2464"/>
    <s v="Global - 2173796 (Leavitt)"/>
    <n v="-261500"/>
    <m/>
    <m/>
    <m/>
    <n v="-261500"/>
    <x v="9"/>
    <n v="-261500"/>
  </r>
  <r>
    <s v="2466"/>
    <s v="GLBL/Tustin 3832 (HE 3308-APL)"/>
    <n v="-160585.46"/>
    <m/>
    <m/>
    <m/>
    <n v="-160585.46"/>
    <x v="9"/>
    <n v="-160585.46"/>
  </r>
  <r>
    <s v="2467"/>
    <s v="Global - 8173853 (HE 3306)"/>
    <n v="-71563.08"/>
    <m/>
    <m/>
    <m/>
    <n v="-71563.08"/>
    <x v="9"/>
    <n v="-71563.08"/>
  </r>
  <r>
    <s v="2468"/>
    <s v="Global - 8173852 (HE 3309)"/>
    <n v="-56760.160000000003"/>
    <m/>
    <m/>
    <m/>
    <n v="-56760.160000000003"/>
    <x v="9"/>
    <n v="-56760.160000000003"/>
  </r>
  <r>
    <s v="2469"/>
    <s v="Global - 9173862 (HE 3305)"/>
    <n v="-60744.17"/>
    <m/>
    <m/>
    <m/>
    <n v="-60744.17"/>
    <x v="9"/>
    <n v="-60744.17"/>
  </r>
  <r>
    <s v="2470"/>
    <s v="Global - 9173861 (HE 3307)"/>
    <n v="-68842.960000000006"/>
    <m/>
    <m/>
    <m/>
    <n v="-68842.960000000006"/>
    <x v="9"/>
    <n v="-68842.960000000006"/>
  </r>
  <r>
    <s v="2471"/>
    <s v="Global - 9173860 (HE 3481-3484)"/>
    <n v="-130000"/>
    <m/>
    <m/>
    <m/>
    <n v="-130000"/>
    <x v="9"/>
    <n v="-130000"/>
  </r>
  <r>
    <s v="2472"/>
    <s v="Global/Verdant 1004-002 (HE 3524)"/>
    <n v="-43515.16"/>
    <m/>
    <m/>
    <m/>
    <n v="-43515.16"/>
    <x v="9"/>
    <n v="-43515.16"/>
  </r>
  <r>
    <s v="2473"/>
    <s v="BMO Transportation Fin T-126"/>
    <n v="-107956.68"/>
    <m/>
    <m/>
    <m/>
    <n v="-107956.68"/>
    <x v="9"/>
    <n v="-107956.68"/>
  </r>
  <r>
    <s v="2474 "/>
    <s v="Anderson Funding Equipment"/>
    <n v="-945266"/>
    <m/>
    <m/>
    <m/>
    <n v="-945266"/>
    <x v="9"/>
    <n v="-945266"/>
  </r>
  <r>
    <s v="2475"/>
    <s v="Global - Total Term Seattle"/>
    <n v="-300000"/>
    <m/>
    <m/>
    <m/>
    <n v="-300000"/>
    <x v="9"/>
    <n v="-300000"/>
  </r>
  <r>
    <s v="2476"/>
    <s v="First Found New Kenworth T-127"/>
    <n v="-144978.04"/>
    <m/>
    <m/>
    <m/>
    <n v="-144978.04"/>
    <x v="9"/>
    <n v="-144978.04"/>
  </r>
  <r>
    <s v="2477"/>
    <s v="Global - 02183918 (HE 3542)"/>
    <n v="-87291.06"/>
    <m/>
    <m/>
    <m/>
    <n v="-87291.06"/>
    <x v="9"/>
    <n v="-87291.06"/>
  </r>
  <r>
    <s v="32000"/>
    <s v="Retained Earnings"/>
    <n v="20808269.530000001"/>
    <m/>
    <m/>
    <m/>
    <n v="20808269.530000001"/>
    <x v="10"/>
    <n v="20808269.530000001"/>
  </r>
  <r>
    <s v="3100"/>
    <s v="Stock - Capital"/>
    <n v="-754016.84"/>
    <m/>
    <m/>
    <m/>
    <n v="-754016.84"/>
    <x v="11"/>
    <n v="-754016.84"/>
  </r>
  <r>
    <s v="3115"/>
    <s v="Treasury Stock"/>
    <n v="5437.5"/>
    <m/>
    <m/>
    <m/>
    <n v="5437.5"/>
    <x v="12"/>
    <n v="5437.5"/>
  </r>
  <r>
    <s v="3130"/>
    <s v="AMMX - add. paid in Capital"/>
    <n v="-20785924.02"/>
    <m/>
    <m/>
    <m/>
    <n v="-20785924.02"/>
    <x v="13"/>
    <n v="-20785924.02"/>
  </r>
  <r>
    <s v=""/>
    <s v="Net Income"/>
    <n v="-207784.15"/>
    <m/>
    <m/>
    <m/>
    <n v="-207784.15"/>
    <x v="10"/>
    <n v="-207784.15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79">
  <r>
    <s v="1000"/>
    <s v="Deposit Acct - Chase 8028"/>
    <n v="299566.52"/>
    <m/>
    <m/>
    <m/>
    <n v="299566.52"/>
    <x v="0"/>
    <n v="299566.52"/>
  </r>
  <r>
    <s v="1030"/>
    <s v="Disbursement Acct - Chase 6390"/>
    <n v="14133.25"/>
    <m/>
    <m/>
    <m/>
    <n v="14133.25"/>
    <x v="0"/>
    <n v="14133.25"/>
  </r>
  <r>
    <s v="1040"/>
    <s v="New Wire Acct - Chase 6919"/>
    <n v="0"/>
    <m/>
    <m/>
    <m/>
    <n v="0"/>
    <x v="0"/>
    <n v="0"/>
  </r>
  <r>
    <s v="1050"/>
    <s v="Merchant Acct - Chase 6366 "/>
    <n v="2835.74"/>
    <m/>
    <m/>
    <m/>
    <n v="2835.74"/>
    <x v="0"/>
    <n v="2835.74"/>
  </r>
  <r>
    <s v="1060"/>
    <s v="SBOE Sales Tax Acct - Chase 4004"/>
    <n v="5127.08"/>
    <m/>
    <m/>
    <m/>
    <n v="5127.08"/>
    <x v="0"/>
    <n v="5127.08"/>
  </r>
  <r>
    <s v="1080"/>
    <s v="Checking Acct - Wells Fargo 7556"/>
    <n v="-70.47"/>
    <m/>
    <m/>
    <m/>
    <n v="-70.47"/>
    <x v="0"/>
    <n v="-70.47"/>
  </r>
  <r>
    <s v="1090"/>
    <s v="Bank of the West"/>
    <n v="1479.38"/>
    <m/>
    <m/>
    <m/>
    <n v="1479.38"/>
    <x v="0"/>
    <n v="1479.38"/>
  </r>
  <r>
    <s v="11000"/>
    <s v="Accounts Receivable - Other"/>
    <n v="765331.16"/>
    <m/>
    <m/>
    <m/>
    <n v="765331.16"/>
    <x v="1"/>
    <n v="765331.16"/>
  </r>
  <r>
    <s v="11500"/>
    <s v="Allowance for doubtful accts"/>
    <n v="-56725"/>
    <m/>
    <m/>
    <m/>
    <n v="-56725"/>
    <x v="1"/>
    <n v="-56725"/>
  </r>
  <r>
    <s v="12000"/>
    <s v="Undeposited Funds"/>
    <n v="0"/>
    <m/>
    <m/>
    <m/>
    <n v="0"/>
    <x v="2"/>
    <n v="0"/>
  </r>
  <r>
    <s v="1210"/>
    <s v="Deposit for Trucks"/>
    <n v="5455.58"/>
    <m/>
    <m/>
    <m/>
    <n v="5455.58"/>
    <x v="2"/>
    <n v="5455.58"/>
  </r>
  <r>
    <s v="1220"/>
    <s v="Parts Inventory"/>
    <n v="419633.66"/>
    <m/>
    <m/>
    <m/>
    <n v="419633.66"/>
    <x v="3"/>
    <n v="419633.66"/>
  </r>
  <r>
    <s v="1230"/>
    <s v="Equipment Inventory"/>
    <n v="1327480.55"/>
    <m/>
    <m/>
    <m/>
    <n v="1327480.55"/>
    <x v="3"/>
    <n v="1327480.55"/>
  </r>
  <r>
    <s v="1240"/>
    <s v="Consignment Inventory"/>
    <n v="557674"/>
    <m/>
    <m/>
    <m/>
    <n v="557674"/>
    <x v="3"/>
    <n v="557674"/>
  </r>
  <r>
    <s v="1250"/>
    <s v="Attachments Inventory"/>
    <n v="51220.9"/>
    <m/>
    <m/>
    <m/>
    <n v="51220.9"/>
    <x v="3"/>
    <n v="51220.9"/>
  </r>
  <r>
    <s v="1260"/>
    <s v="Estimated Taxes Paid"/>
    <n v="60000"/>
    <m/>
    <m/>
    <m/>
    <n v="60000"/>
    <x v="2"/>
    <n v="60000"/>
  </r>
  <r>
    <s v="1270"/>
    <s v="Escrow - Anderson Funding"/>
    <n v="-27854.86"/>
    <m/>
    <m/>
    <m/>
    <n v="-27854.86"/>
    <x v="3"/>
    <n v="-27854.86"/>
  </r>
  <r>
    <s v="1297"/>
    <s v="Inventory Reserve"/>
    <n v="-454729.95"/>
    <m/>
    <m/>
    <m/>
    <n v="-454729.95"/>
    <x v="3"/>
    <n v="-454729.95"/>
  </r>
  <r>
    <s v="1298"/>
    <s v="Change of Inventory"/>
    <n v="30358.44"/>
    <m/>
    <m/>
    <m/>
    <n v="30358.44"/>
    <x v="3"/>
    <n v="30358.44"/>
  </r>
  <r>
    <s v="1299"/>
    <s v="Suspense Account"/>
    <n v="-718.94"/>
    <m/>
    <m/>
    <m/>
    <n v="-718.94"/>
    <x v="2"/>
    <n v="-718.94"/>
  </r>
  <r>
    <s v="1310"/>
    <s v="Leasehold Improvements"/>
    <n v="356104.48"/>
    <m/>
    <m/>
    <m/>
    <n v="356104.48"/>
    <x v="4"/>
    <n v="356104.48"/>
  </r>
  <r>
    <s v="1315"/>
    <s v="Accum Depr - LHI"/>
    <n v="-152934.25"/>
    <m/>
    <m/>
    <m/>
    <n v="-152934.25"/>
    <x v="4"/>
    <n v="-152934.25"/>
  </r>
  <r>
    <s v="1320"/>
    <s v="Furniture &amp; Equipment"/>
    <n v="22222.54"/>
    <m/>
    <m/>
    <m/>
    <n v="22222.54"/>
    <x v="4"/>
    <n v="22222.54"/>
  </r>
  <r>
    <s v="1325"/>
    <s v="Accum Depr - Furniture &amp; Equipment"/>
    <n v="-20920.28"/>
    <m/>
    <m/>
    <m/>
    <n v="-20920.28"/>
    <x v="4"/>
    <n v="-20920.28"/>
  </r>
  <r>
    <s v="1330"/>
    <s v="Computer Automation"/>
    <n v="42000.76"/>
    <m/>
    <m/>
    <m/>
    <n v="42000.76"/>
    <x v="4"/>
    <n v="42000.76"/>
  </r>
  <r>
    <s v="1335"/>
    <s v="Accum Depr - Computer Automation"/>
    <n v="-30228.42"/>
    <m/>
    <m/>
    <m/>
    <n v="-30228.42"/>
    <x v="4"/>
    <n v="-30228.42"/>
  </r>
  <r>
    <s v="1340"/>
    <s v="Equipment"/>
    <n v="1747984.96"/>
    <m/>
    <m/>
    <m/>
    <n v="1747984.96"/>
    <x v="4"/>
    <n v="1747984.96"/>
  </r>
  <r>
    <s v="1342"/>
    <s v="Anderson Funding Equipment"/>
    <n v="4705788.3499999996"/>
    <m/>
    <m/>
    <m/>
    <n v="4705788.3499999996"/>
    <x v="4"/>
    <n v="4705788.3499999996"/>
  </r>
  <r>
    <s v="1345"/>
    <s v="Accum Depr - Equipment"/>
    <n v="-1427459.37"/>
    <m/>
    <m/>
    <m/>
    <n v="-1427459.37"/>
    <x v="4"/>
    <n v="-1427459.37"/>
  </r>
  <r>
    <s v="1350"/>
    <s v="Service Trucks"/>
    <n v="225185"/>
    <m/>
    <m/>
    <m/>
    <n v="225185"/>
    <x v="4"/>
    <n v="225185"/>
  </r>
  <r>
    <s v="1355"/>
    <s v="Accum Depr - Service Trucks"/>
    <n v="-129377.51"/>
    <m/>
    <m/>
    <m/>
    <n v="-129377.51"/>
    <x v="4"/>
    <n v="-129377.51"/>
  </r>
  <r>
    <s v="1360"/>
    <s v="Trucks &amp; Trailers"/>
    <n v="741401.39"/>
    <m/>
    <m/>
    <m/>
    <n v="741401.39"/>
    <x v="4"/>
    <n v="741401.39"/>
  </r>
  <r>
    <s v="1365"/>
    <s v="Accum Depr - Trucks &amp; Trailers"/>
    <n v="-305429.15000000002"/>
    <m/>
    <m/>
    <m/>
    <n v="-305429.15000000002"/>
    <x v="4"/>
    <n v="-305429.15000000002"/>
  </r>
  <r>
    <s v="1370"/>
    <s v="Sales Vehicles"/>
    <n v="19737.259999999998"/>
    <m/>
    <m/>
    <m/>
    <n v="19737.259999999998"/>
    <x v="4"/>
    <n v="19737.259999999998"/>
  </r>
  <r>
    <s v="1375"/>
    <s v="Accum Depr - Sales Vehicles"/>
    <n v="-9540.15"/>
    <m/>
    <m/>
    <m/>
    <n v="-9540.15"/>
    <x v="4"/>
    <n v="-9540.15"/>
  </r>
  <r>
    <s v="1400"/>
    <s v="Prepaid Asset"/>
    <n v="17799.150000000001"/>
    <m/>
    <m/>
    <m/>
    <n v="17799.150000000001"/>
    <x v="5"/>
    <n v="17799.150000000001"/>
  </r>
  <r>
    <s v="1410"/>
    <s v="Employee Loan"/>
    <n v="4593.4799999999996"/>
    <m/>
    <m/>
    <m/>
    <n v="4593.4799999999996"/>
    <x v="2"/>
    <n v="4593.4799999999996"/>
  </r>
  <r>
    <s v="1420"/>
    <s v="New York Life #45973606"/>
    <n v="49513.04"/>
    <m/>
    <m/>
    <m/>
    <n v="49513.04"/>
    <x v="2"/>
    <n v="49513.04"/>
  </r>
  <r>
    <s v="1430"/>
    <s v="New York Life #48271835"/>
    <n v="67820.13"/>
    <m/>
    <m/>
    <m/>
    <n v="67820.13"/>
    <x v="2"/>
    <n v="67820.13"/>
  </r>
  <r>
    <s v="1440"/>
    <s v="New York Life #48271882"/>
    <n v="62701.68"/>
    <m/>
    <m/>
    <m/>
    <n v="62701.68"/>
    <x v="2"/>
    <n v="62701.68"/>
  </r>
  <r>
    <s v="1445"/>
    <s v="New York Life #45973523"/>
    <n v="41444"/>
    <m/>
    <m/>
    <m/>
    <n v="41444"/>
    <x v="2"/>
    <n v="41444"/>
  </r>
  <r>
    <s v="1450"/>
    <s v="New York Life #62966478"/>
    <n v="12595.61"/>
    <m/>
    <m/>
    <m/>
    <n v="12595.61"/>
    <x v="2"/>
    <n v="12595.61"/>
  </r>
  <r>
    <s v="1460"/>
    <s v="Petty Cash"/>
    <n v="357.49"/>
    <m/>
    <m/>
    <m/>
    <n v="357.49"/>
    <x v="0"/>
    <n v="357.49"/>
  </r>
  <r>
    <s v="20000"/>
    <s v="Accounts Payable"/>
    <n v="-1141051.2"/>
    <m/>
    <m/>
    <m/>
    <n v="-1141051.2"/>
    <x v="6"/>
    <n v="-1141051.2"/>
  </r>
  <r>
    <s v="2030"/>
    <s v="Chase Visa - 8709"/>
    <n v="-53193.18"/>
    <m/>
    <m/>
    <m/>
    <n v="-53193.18"/>
    <x v="6"/>
    <n v="-53193.18"/>
  </r>
  <r>
    <s v="2050"/>
    <s v="Deferred Revenue"/>
    <n v="-3149212.23"/>
    <m/>
    <m/>
    <m/>
    <n v="-3149212.23"/>
    <x v="7"/>
    <n v="-3149212.23"/>
  </r>
  <r>
    <s v="2110"/>
    <s v="Sales Tax Payable"/>
    <n v="-17383.509999999998"/>
    <m/>
    <m/>
    <m/>
    <n v="-17383.509999999998"/>
    <x v="8"/>
    <n v="-17383.509999999998"/>
  </r>
  <r>
    <s v="2150"/>
    <s v="Income Tax Liability "/>
    <n v="-106760"/>
    <m/>
    <m/>
    <m/>
    <n v="-106760"/>
    <x v="8"/>
    <n v="-106760"/>
  </r>
  <r>
    <s v="2230"/>
    <s v="Hunt &amp; Son's, Inc."/>
    <n v="-112444.25"/>
    <m/>
    <m/>
    <m/>
    <n v="-112444.25"/>
    <x v="9"/>
    <n v="-112444.25"/>
  </r>
  <r>
    <s v="2260"/>
    <s v="RWL Enterprise"/>
    <n v="-112588.96"/>
    <m/>
    <m/>
    <m/>
    <n v="-112588.96"/>
    <x v="9"/>
    <n v="-112588.96"/>
  </r>
  <r>
    <s v="2280"/>
    <s v="Lee Hamre Note Payable"/>
    <n v="-385845.77"/>
    <m/>
    <m/>
    <m/>
    <n v="-385845.77"/>
    <x v="9"/>
    <n v="-385845.77"/>
  </r>
  <r>
    <s v="2310"/>
    <s v="Loan New York Life #48271835"/>
    <n v="-39316.980000000003"/>
    <m/>
    <m/>
    <m/>
    <n v="-39316.980000000003"/>
    <x v="9"/>
    <n v="-39316.980000000003"/>
  </r>
  <r>
    <s v="2320"/>
    <s v="Loan New York Life #45973523"/>
    <n v="-12071.9"/>
    <m/>
    <m/>
    <m/>
    <n v="-12071.9"/>
    <x v="9"/>
    <n v="-12071.9"/>
  </r>
  <r>
    <s v="2330"/>
    <s v="Loan New York Life #45973606"/>
    <n v="-38227.75"/>
    <m/>
    <m/>
    <m/>
    <n v="-38227.75"/>
    <x v="9"/>
    <n v="-38227.75"/>
  </r>
  <r>
    <s v="2340"/>
    <s v="Loan New York Life #48271882"/>
    <n v="-51704"/>
    <m/>
    <m/>
    <m/>
    <n v="-51704"/>
    <x v="9"/>
    <n v="-51704"/>
  </r>
  <r>
    <s v="2370"/>
    <s v="Financial Pacific 1 Omega Lift"/>
    <n v="-27404.67"/>
    <m/>
    <m/>
    <m/>
    <n v="-27404.67"/>
    <x v="9"/>
    <n v="-27404.67"/>
  </r>
  <r>
    <s v="2451"/>
    <s v="Tustin Community Bank - T-123"/>
    <n v="-104108.11"/>
    <m/>
    <m/>
    <m/>
    <n v="-104108.11"/>
    <x v="9"/>
    <n v="-104108.11"/>
  </r>
  <r>
    <s v="2453"/>
    <s v="Ford Credit T-124"/>
    <n v="-31750.18"/>
    <m/>
    <m/>
    <m/>
    <n v="-31750.18"/>
    <x v="9"/>
    <n v="-31750.18"/>
  </r>
  <r>
    <s v="2460"/>
    <s v="Bank of the West LOC"/>
    <n v="-491500"/>
    <m/>
    <m/>
    <m/>
    <n v="-491500"/>
    <x v="9"/>
    <n v="-491500"/>
  </r>
  <r>
    <s v="2461"/>
    <s v="Global/Hamni #7163713"/>
    <n v="-45712.38"/>
    <m/>
    <m/>
    <m/>
    <n v="-45712.38"/>
    <x v="9"/>
    <n v="-45712.38"/>
  </r>
  <r>
    <s v="2463"/>
    <s v="Global - 2217441 (HE 3245)"/>
    <n v="-39498"/>
    <m/>
    <m/>
    <m/>
    <n v="-39498"/>
    <x v="9"/>
    <n v="-39498"/>
  </r>
  <r>
    <s v="2464"/>
    <s v="Global - 2173796 (Leavitt)"/>
    <n v="-200500"/>
    <m/>
    <m/>
    <m/>
    <n v="-200500"/>
    <x v="9"/>
    <n v="-200500"/>
  </r>
  <r>
    <s v="2466"/>
    <s v="GLBL/Tustin 3832 (HE 3308-APL)"/>
    <n v="-152750.44"/>
    <m/>
    <m/>
    <m/>
    <n v="-152750.44"/>
    <x v="9"/>
    <n v="-152750.44"/>
  </r>
  <r>
    <s v="2467"/>
    <s v="Global - 8173853 (HE 3306)"/>
    <n v="-62512.92"/>
    <m/>
    <m/>
    <m/>
    <n v="-62512.92"/>
    <x v="9"/>
    <n v="-62512.92"/>
  </r>
  <r>
    <s v="2468"/>
    <s v="Global - 8173852 (HE 3309)"/>
    <n v="-47710"/>
    <m/>
    <m/>
    <m/>
    <n v="-47710"/>
    <x v="9"/>
    <n v="-47710"/>
  </r>
  <r>
    <s v="2469"/>
    <s v="Global - 9173862 (HE 3305)"/>
    <n v="-51796.38"/>
    <m/>
    <m/>
    <m/>
    <n v="-51796.38"/>
    <x v="9"/>
    <n v="-51796.38"/>
  </r>
  <r>
    <s v="2470"/>
    <s v="Global - 9173861 (HE 3307)"/>
    <n v="-60030.54"/>
    <m/>
    <m/>
    <m/>
    <n v="-60030.54"/>
    <x v="9"/>
    <n v="-60030.54"/>
  </r>
  <r>
    <s v="2471"/>
    <s v="Global - 9173860 (HE 3481-3484)"/>
    <n v="-130000"/>
    <m/>
    <m/>
    <m/>
    <n v="-130000"/>
    <x v="9"/>
    <n v="-130000"/>
  </r>
  <r>
    <s v="2473"/>
    <s v="BMO Transportation Fin T-126"/>
    <n v="-106643.15"/>
    <m/>
    <m/>
    <m/>
    <n v="-106643.15"/>
    <x v="9"/>
    <n v="-106643.15"/>
  </r>
  <r>
    <s v="2474"/>
    <s v="Anderson Funding Equipment"/>
    <n v="-917366"/>
    <m/>
    <m/>
    <m/>
    <n v="-917366"/>
    <x v="9"/>
    <n v="-917366"/>
  </r>
  <r>
    <s v="2476"/>
    <s v="First Found New Kenworth T-127"/>
    <n v="-140508.88"/>
    <m/>
    <m/>
    <m/>
    <n v="-140508.88"/>
    <x v="9"/>
    <n v="-140508.88"/>
  </r>
  <r>
    <s v="2477"/>
    <s v="Global - 02183918 (HE 3542)"/>
    <n v="-87184.98"/>
    <m/>
    <m/>
    <m/>
    <n v="-87184.98"/>
    <x v="9"/>
    <n v="-87184.98"/>
  </r>
  <r>
    <s v="2478"/>
    <s v="KW Solar System"/>
    <n v="-75416.44"/>
    <m/>
    <m/>
    <m/>
    <n v="-75416.44"/>
    <x v="9"/>
    <n v="-75416.44"/>
  </r>
  <r>
    <s v="30000"/>
    <s v="Opening Balance Equity"/>
    <n v="79327"/>
    <m/>
    <m/>
    <m/>
    <n v="79327"/>
    <x v="10"/>
    <n v="79327"/>
  </r>
  <r>
    <s v="32000"/>
    <s v="Retained Earnings"/>
    <n v="20808269.530000001"/>
    <m/>
    <m/>
    <m/>
    <n v="20808269.530000001"/>
    <x v="10"/>
    <n v="20808269.530000001"/>
  </r>
  <r>
    <s v="3100"/>
    <s v="Stock - Capital"/>
    <n v="-754016.84"/>
    <m/>
    <m/>
    <m/>
    <n v="-754016.84"/>
    <x v="11"/>
    <n v="-754016.84"/>
  </r>
  <r>
    <s v="3115"/>
    <s v="Treasury Stock"/>
    <n v="5437.5"/>
    <m/>
    <m/>
    <m/>
    <n v="5437.5"/>
    <x v="12"/>
    <n v="5437.5"/>
  </r>
  <r>
    <s v="3130"/>
    <s v="AMMX - add. paid in Capital"/>
    <n v="-20785924.02"/>
    <m/>
    <m/>
    <m/>
    <n v="-20785924.02"/>
    <x v="13"/>
    <n v="-20785924.02"/>
  </r>
  <r>
    <s v=""/>
    <s v="Net Income"/>
    <n v="-402457.59999999998"/>
    <m/>
    <m/>
    <m/>
    <n v="-402457.59999999998"/>
    <x v="10"/>
    <n v="-402457.59999999998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98">
  <r>
    <s v="4000"/>
    <s v="Rental - Income"/>
    <n v="128270.61"/>
    <m/>
    <m/>
    <m/>
    <n v="128270.61"/>
    <x v="0"/>
    <n v="128270.61"/>
  </r>
  <r>
    <s v="4010"/>
    <s v="Labor Revenue"/>
    <n v="51104.17"/>
    <m/>
    <m/>
    <m/>
    <n v="51104.17"/>
    <x v="0"/>
    <n v="51104.17"/>
  </r>
  <r>
    <s v="4020"/>
    <s v="Discounts Earned"/>
    <n v="0"/>
    <m/>
    <m/>
    <m/>
    <n v="0"/>
    <x v="0"/>
    <n v="0"/>
  </r>
  <r>
    <s v="4030"/>
    <s v="Hauling Revenue"/>
    <n v="18840"/>
    <m/>
    <m/>
    <m/>
    <n v="18840"/>
    <x v="0"/>
    <n v="18840"/>
  </r>
  <r>
    <s v="4050"/>
    <s v="Consignment Sales - Joint Venture"/>
    <n v="0"/>
    <m/>
    <m/>
    <n v="0"/>
    <n v="0"/>
    <x v="0"/>
    <n v="0"/>
  </r>
  <r>
    <s v="4060"/>
    <s v="Sales of Equipment"/>
    <n v="602000"/>
    <m/>
    <m/>
    <m/>
    <n v="602000"/>
    <x v="0"/>
    <n v="602000"/>
  </r>
  <r>
    <s v="4070"/>
    <s v="Attachment Sales"/>
    <n v="4000"/>
    <m/>
    <m/>
    <m/>
    <n v="4000"/>
    <x v="0"/>
    <n v="4000"/>
  </r>
  <r>
    <s v="4080"/>
    <s v="Scrap Sales"/>
    <n v="2295.1999999999998"/>
    <m/>
    <m/>
    <m/>
    <n v="2295.1999999999998"/>
    <x v="0"/>
    <n v="2295.1999999999998"/>
  </r>
  <r>
    <s v="4100"/>
    <s v="Parts Sales"/>
    <n v="54985.65"/>
    <m/>
    <m/>
    <m/>
    <n v="54985.65"/>
    <x v="0"/>
    <n v="54985.65"/>
  </r>
  <r>
    <s v="4110"/>
    <s v="Parts Department Special Orders"/>
    <n v="0"/>
    <m/>
    <m/>
    <m/>
    <n v="0"/>
    <x v="0"/>
    <n v="0"/>
  </r>
  <r>
    <s v="4120"/>
    <s v="Parts Department Freight"/>
    <n v="5301.57"/>
    <m/>
    <m/>
    <m/>
    <n v="5301.57"/>
    <x v="0"/>
    <n v="5301.57"/>
  </r>
  <r>
    <s v="4150"/>
    <s v="Finance Charge Income"/>
    <n v="12.76"/>
    <m/>
    <m/>
    <m/>
    <n v="12.76"/>
    <x v="0"/>
    <n v="12.76"/>
  </r>
  <r>
    <s v="4160"/>
    <s v="Outside Services Billed to Customer"/>
    <n v="24"/>
    <m/>
    <m/>
    <m/>
    <n v="24"/>
    <x v="0"/>
    <n v="24"/>
  </r>
  <r>
    <s v="4180"/>
    <s v="Credit Card Fees"/>
    <n v="0"/>
    <m/>
    <m/>
    <m/>
    <n v="0"/>
    <x v="0"/>
    <n v="0"/>
  </r>
  <r>
    <s v="5000"/>
    <s v="COGS Equipment"/>
    <n v="-162295.20000000001"/>
    <m/>
    <m/>
    <m/>
    <n v="-162295.20000000001"/>
    <x v="1"/>
    <n v="-162295.20000000001"/>
  </r>
  <r>
    <s v="50000"/>
    <s v="Cost of Goods Sold"/>
    <m/>
    <m/>
    <m/>
    <m/>
    <n v="0"/>
    <x v="1"/>
    <n v="0"/>
  </r>
  <r>
    <s v="5010"/>
    <s v="COGS Attachments"/>
    <n v="-2100"/>
    <m/>
    <m/>
    <m/>
    <n v="-2100"/>
    <x v="1"/>
    <n v="-2100"/>
  </r>
  <r>
    <s v="5020"/>
    <s v="COGS Parts"/>
    <n v="-40789.08"/>
    <m/>
    <m/>
    <m/>
    <n v="-40789.08"/>
    <x v="1"/>
    <n v="-40789.08"/>
  </r>
  <r>
    <s v="5030"/>
    <s v="COGS Joint Venture"/>
    <n v="0"/>
    <m/>
    <m/>
    <m/>
    <n v="0"/>
    <x v="1"/>
    <n v="0"/>
  </r>
  <r>
    <s v="5050"/>
    <s v="COGS Special Order Parts"/>
    <n v="-10"/>
    <m/>
    <m/>
    <m/>
    <n v="-10"/>
    <x v="1"/>
    <n v="-10"/>
  </r>
  <r>
    <s v="5060"/>
    <s v="COGS Haulting"/>
    <n v="0"/>
    <m/>
    <m/>
    <m/>
    <n v="0"/>
    <x v="1"/>
    <n v="0"/>
  </r>
  <r>
    <s v="5070"/>
    <s v="COGS Frieght"/>
    <n v="-7704.86"/>
    <m/>
    <m/>
    <m/>
    <n v="-7704.86"/>
    <x v="1"/>
    <n v="-7704.86"/>
  </r>
  <r>
    <s v="5090"/>
    <s v="COGS Paint"/>
    <n v="0"/>
    <m/>
    <m/>
    <m/>
    <n v="0"/>
    <x v="1"/>
    <n v="0"/>
  </r>
  <r>
    <s v="5100"/>
    <s v="Pilot Cars"/>
    <n v="0"/>
    <m/>
    <m/>
    <m/>
    <n v="0"/>
    <x v="1"/>
    <n v="0"/>
  </r>
  <r>
    <s v="5110"/>
    <s v="Commission"/>
    <n v="0"/>
    <m/>
    <m/>
    <m/>
    <n v="0"/>
    <x v="1"/>
    <n v="0"/>
  </r>
  <r>
    <s v="5120"/>
    <s v="COGS Outside Service"/>
    <n v="-2758.41"/>
    <m/>
    <m/>
    <m/>
    <n v="-2758.41"/>
    <x v="1"/>
    <n v="-2758.41"/>
  </r>
  <r>
    <s v="5210"/>
    <s v="COGS Depreciation"/>
    <n v="0"/>
    <m/>
    <m/>
    <m/>
    <n v="0"/>
    <x v="1"/>
    <n v="0"/>
  </r>
  <r>
    <s v="6010"/>
    <s v="Payroll - Adminsitration"/>
    <n v="-9516.68"/>
    <m/>
    <m/>
    <m/>
    <n v="-9516.68"/>
    <x v="2"/>
    <n v="-9516.68"/>
  </r>
  <r>
    <s v="6011"/>
    <s v="Payroll - Sales"/>
    <n v="-15936.84"/>
    <m/>
    <m/>
    <m/>
    <n v="-15936.84"/>
    <x v="2"/>
    <n v="-15936.84"/>
  </r>
  <r>
    <s v="6012"/>
    <s v="Payroll - Parts"/>
    <n v="-6034.28"/>
    <m/>
    <m/>
    <m/>
    <n v="-6034.28"/>
    <x v="2"/>
    <n v="-6034.28"/>
  </r>
  <r>
    <s v="6013"/>
    <s v="Payroll - Trucking"/>
    <n v="-9545.4500000000007"/>
    <m/>
    <m/>
    <m/>
    <n v="-9545.4500000000007"/>
    <x v="2"/>
    <n v="-9545.4500000000007"/>
  </r>
  <r>
    <s v="6014"/>
    <s v="Payroll - Service Department"/>
    <n v="-25877.64"/>
    <m/>
    <m/>
    <m/>
    <n v="-25877.64"/>
    <x v="2"/>
    <n v="-25877.64"/>
  </r>
  <r>
    <s v="6015"/>
    <s v="Board Compensation"/>
    <n v="0"/>
    <m/>
    <m/>
    <m/>
    <n v="0"/>
    <x v="2"/>
    <n v="0"/>
  </r>
  <r>
    <s v="6016"/>
    <s v="Employee Incentives/Bonus"/>
    <n v="0"/>
    <m/>
    <m/>
    <m/>
    <n v="0"/>
    <x v="2"/>
    <n v="0"/>
  </r>
  <r>
    <s v="6017"/>
    <s v="Safety Bonus"/>
    <n v="0"/>
    <m/>
    <m/>
    <m/>
    <n v="0"/>
    <x v="2"/>
    <n v="0"/>
  </r>
  <r>
    <s v="6020"/>
    <s v="Marketing Advertising "/>
    <n v="-1875"/>
    <m/>
    <m/>
    <m/>
    <n v="-1875"/>
    <x v="3"/>
    <n v="-1875"/>
  </r>
  <r>
    <s v="6025"/>
    <s v="Promotions"/>
    <n v="-3064.5"/>
    <m/>
    <m/>
    <m/>
    <n v="-3064.5"/>
    <x v="3"/>
    <n v="-3064.5"/>
  </r>
  <r>
    <s v="6030"/>
    <s v="Cargo Insurance"/>
    <n v="-408.09"/>
    <m/>
    <m/>
    <m/>
    <n v="-408.09"/>
    <x v="2"/>
    <n v="-408.09"/>
  </r>
  <r>
    <s v="6035"/>
    <s v="General Liability Insurance"/>
    <n v="-2892.56"/>
    <m/>
    <m/>
    <m/>
    <n v="-2892.56"/>
    <x v="2"/>
    <n v="-2892.56"/>
  </r>
  <r>
    <s v="6040"/>
    <s v="Medical-First Aid"/>
    <n v="0"/>
    <m/>
    <m/>
    <m/>
    <n v="0"/>
    <x v="2"/>
    <n v="0"/>
  </r>
  <r>
    <s v="6045"/>
    <s v="Health Insurance"/>
    <n v="-7230.57"/>
    <m/>
    <m/>
    <m/>
    <n v="-7230.57"/>
    <x v="2"/>
    <n v="-7230.57"/>
  </r>
  <r>
    <s v="6050"/>
    <s v="Officers Life Insurance"/>
    <n v="-3280.2"/>
    <m/>
    <m/>
    <m/>
    <n v="-3280.2"/>
    <x v="2"/>
    <n v="-3280.2"/>
  </r>
  <r>
    <s v="6055"/>
    <s v="Computer Technology Expenses"/>
    <n v="-964.11"/>
    <m/>
    <m/>
    <m/>
    <n v="-964.11"/>
    <x v="2"/>
    <n v="-964.11"/>
  </r>
  <r>
    <s v="6060"/>
    <s v="Dues &amp; Subscriptions"/>
    <m/>
    <m/>
    <m/>
    <m/>
    <n v="0"/>
    <x v="2"/>
    <n v="0"/>
  </r>
  <r>
    <s v="6065"/>
    <s v="Office Equipment Lease"/>
    <n v="-1319.51"/>
    <m/>
    <m/>
    <m/>
    <n v="-1319.51"/>
    <x v="2"/>
    <n v="-1319.51"/>
  </r>
  <r>
    <s v="6070"/>
    <s v="Professional Fees"/>
    <n v="-152.1"/>
    <m/>
    <m/>
    <m/>
    <n v="-152.1"/>
    <x v="2"/>
    <n v="-152.1"/>
  </r>
  <r>
    <s v="6075"/>
    <s v="Mileage Reimbursement"/>
    <n v="14.8"/>
    <m/>
    <m/>
    <m/>
    <n v="14.8"/>
    <x v="2"/>
    <n v="14.8"/>
  </r>
  <r>
    <s v="6080"/>
    <s v="Charitable Contributions"/>
    <n v="-2000"/>
    <m/>
    <m/>
    <m/>
    <n v="-2000"/>
    <x v="2"/>
    <n v="-2000"/>
  </r>
  <r>
    <s v="6100"/>
    <s v="Bank Service Charges"/>
    <n v="-503.1"/>
    <m/>
    <m/>
    <m/>
    <n v="-503.1"/>
    <x v="2"/>
    <n v="-503.1"/>
  </r>
  <r>
    <s v="6120"/>
    <s v="Interest Expense"/>
    <n v="-15222.94"/>
    <m/>
    <m/>
    <m/>
    <n v="-15222.94"/>
    <x v="4"/>
    <n v="-15222.94"/>
  </r>
  <r>
    <s v="6130"/>
    <s v="Late Fees/Finance Charges"/>
    <n v="-2310.1799999999998"/>
    <m/>
    <m/>
    <m/>
    <n v="-2310.1799999999998"/>
    <x v="2"/>
    <n v="-2310.1799999999998"/>
  </r>
  <r>
    <s v="6140"/>
    <s v="Loan Fees"/>
    <n v="-698.45"/>
    <m/>
    <m/>
    <m/>
    <n v="-698.45"/>
    <x v="2"/>
    <n v="-698.45"/>
  </r>
  <r>
    <s v="6145"/>
    <s v="Office Supplies"/>
    <n v="-431.12"/>
    <m/>
    <m/>
    <m/>
    <n v="-431.12"/>
    <x v="5"/>
    <n v="-431.12"/>
  </r>
  <r>
    <s v="6150"/>
    <s v="Accounting Outside Services"/>
    <n v="-2837.5"/>
    <m/>
    <m/>
    <m/>
    <n v="-2837.5"/>
    <x v="2"/>
    <n v="-2837.5"/>
  </r>
  <r>
    <s v="6160"/>
    <s v="Legal"/>
    <n v="-5798"/>
    <m/>
    <m/>
    <m/>
    <n v="-5798"/>
    <x v="2"/>
    <n v="-5798"/>
  </r>
  <r>
    <s v="6165"/>
    <s v="Postage"/>
    <n v="-227.73"/>
    <m/>
    <m/>
    <m/>
    <n v="-227.73"/>
    <x v="2"/>
    <n v="-227.73"/>
  </r>
  <r>
    <s v="6170"/>
    <s v="Continuting Education"/>
    <n v="0"/>
    <m/>
    <m/>
    <m/>
    <n v="0"/>
    <x v="2"/>
    <n v="0"/>
  </r>
  <r>
    <s v="6180"/>
    <s v="Admin Misc. Expenses"/>
    <n v="-125.06"/>
    <m/>
    <m/>
    <m/>
    <n v="-125.06"/>
    <x v="2"/>
    <n v="-125.06"/>
  </r>
  <r>
    <s v="6190"/>
    <s v="Bad Debt"/>
    <n v="0.5"/>
    <m/>
    <m/>
    <m/>
    <n v="0.5"/>
    <x v="2"/>
    <n v="0.5"/>
  </r>
  <r>
    <s v="6200"/>
    <s v="Meals &amp; Entertainment"/>
    <n v="-136.22999999999999"/>
    <m/>
    <m/>
    <m/>
    <n v="-136.22999999999999"/>
    <x v="2"/>
    <n v="-136.22999999999999"/>
  </r>
  <r>
    <s v="6210"/>
    <s v="Rental (vehicle) Exp"/>
    <n v="-235.72"/>
    <m/>
    <m/>
    <m/>
    <n v="-235.72"/>
    <x v="2"/>
    <n v="-235.72"/>
  </r>
  <r>
    <s v="6220"/>
    <s v="Per Diem"/>
    <n v="-1941.32"/>
    <m/>
    <m/>
    <m/>
    <n v="-1941.32"/>
    <x v="2"/>
    <n v="-1941.32"/>
  </r>
  <r>
    <s v="6230"/>
    <s v="Airfare"/>
    <n v="-2921.1"/>
    <m/>
    <m/>
    <m/>
    <n v="-2921.1"/>
    <x v="2"/>
    <n v="-2921.1"/>
  </r>
  <r>
    <s v="6240"/>
    <s v="Lodging"/>
    <n v="-2153.2199999999998"/>
    <m/>
    <m/>
    <m/>
    <n v="-2153.2199999999998"/>
    <x v="2"/>
    <n v="-2153.2199999999998"/>
  </r>
  <r>
    <s v="6250"/>
    <s v="Other Travel Expenses"/>
    <n v="-783.23"/>
    <m/>
    <m/>
    <m/>
    <n v="-783.23"/>
    <x v="2"/>
    <n v="-783.23"/>
  </r>
  <r>
    <s v="6300"/>
    <s v="Fees &amp; Permits"/>
    <n v="-1599.35"/>
    <m/>
    <m/>
    <m/>
    <n v="-1599.35"/>
    <x v="2"/>
    <n v="-1599.35"/>
  </r>
  <r>
    <s v="6310"/>
    <s v="Shop Supplies"/>
    <n v="-3281.28"/>
    <m/>
    <m/>
    <m/>
    <n v="-3281.28"/>
    <x v="2"/>
    <n v="-3281.28"/>
  </r>
  <r>
    <s v="6320"/>
    <s v="Cylinder Rental "/>
    <n v="0"/>
    <m/>
    <m/>
    <m/>
    <n v="0"/>
    <x v="2"/>
    <n v="0"/>
  </r>
  <r>
    <s v="6330"/>
    <s v="Equipment Rental/Lease"/>
    <n v="-57"/>
    <m/>
    <m/>
    <m/>
    <n v="-57"/>
    <x v="2"/>
    <n v="-57"/>
  </r>
  <r>
    <s v="6335"/>
    <s v="Trade Show Expenses"/>
    <n v="-386.1"/>
    <m/>
    <m/>
    <m/>
    <n v="-386.1"/>
    <x v="2"/>
    <n v="-386.1"/>
  </r>
  <r>
    <s v="6340"/>
    <s v="Outside Contractor"/>
    <n v="-2283.35"/>
    <m/>
    <m/>
    <m/>
    <n v="-2283.35"/>
    <x v="2"/>
    <n v="-2283.35"/>
  </r>
  <r>
    <s v="6400"/>
    <s v="Building Rental Expenses"/>
    <n v="-9800"/>
    <m/>
    <m/>
    <m/>
    <n v="-9800"/>
    <x v="2"/>
    <n v="-9800"/>
  </r>
  <r>
    <s v="6410"/>
    <s v="Property Taxes"/>
    <n v="0"/>
    <m/>
    <m/>
    <m/>
    <n v="0"/>
    <x v="5"/>
    <n v="0"/>
  </r>
  <r>
    <s v="6420"/>
    <s v="Utilities"/>
    <n v="-3648.92"/>
    <m/>
    <m/>
    <m/>
    <n v="-3648.92"/>
    <x v="2"/>
    <n v="-3648.92"/>
  </r>
  <r>
    <s v="6440"/>
    <s v="Building &amp; Grounds Maintenance"/>
    <n v="-299.37"/>
    <m/>
    <m/>
    <m/>
    <n v="-299.37"/>
    <x v="2"/>
    <n v="-299.37"/>
  </r>
  <r>
    <s v="6450"/>
    <s v="Security"/>
    <n v="0"/>
    <m/>
    <m/>
    <m/>
    <n v="0"/>
    <x v="2"/>
    <n v="0"/>
  </r>
  <r>
    <s v="6460"/>
    <s v="Pest Control"/>
    <n v="-51"/>
    <m/>
    <m/>
    <m/>
    <n v="-51"/>
    <x v="2"/>
    <n v="-51"/>
  </r>
  <r>
    <s v="6470"/>
    <s v="Janitorial Expense"/>
    <n v="-741.23"/>
    <m/>
    <m/>
    <m/>
    <n v="-741.23"/>
    <x v="2"/>
    <n v="-741.23"/>
  </r>
  <r>
    <s v="6510"/>
    <s v="Fuel Expense"/>
    <n v="-7073.92"/>
    <m/>
    <m/>
    <m/>
    <n v="-7073.92"/>
    <x v="2"/>
    <n v="-7073.92"/>
  </r>
  <r>
    <s v="6520"/>
    <s v="Vehicle Maint &amp; Repair"/>
    <n v="-577.03"/>
    <m/>
    <m/>
    <m/>
    <n v="-577.03"/>
    <x v="2"/>
    <n v="-577.03"/>
  </r>
  <r>
    <s v="6521"/>
    <s v="Equipment Maintanence &amp; Repair"/>
    <n v="-3391.35"/>
    <m/>
    <m/>
    <m/>
    <n v="-3391.35"/>
    <x v="2"/>
    <n v="-3391.35"/>
  </r>
  <r>
    <s v="6530"/>
    <s v="DMV Fees"/>
    <n v="0"/>
    <m/>
    <m/>
    <m/>
    <n v="0"/>
    <x v="2"/>
    <n v="0"/>
  </r>
  <r>
    <s v="6540"/>
    <s v="Trucking Fees &amp; Permits"/>
    <n v="-643.48"/>
    <m/>
    <m/>
    <m/>
    <n v="-643.48"/>
    <x v="2"/>
    <n v="-643.48"/>
  </r>
  <r>
    <s v="6550"/>
    <s v="Outside Services  "/>
    <n v="0"/>
    <m/>
    <m/>
    <m/>
    <n v="0"/>
    <x v="2"/>
    <n v="0"/>
  </r>
  <r>
    <s v="6560"/>
    <s v="Trucking Department - Other Expenses"/>
    <n v="-132.47999999999999"/>
    <m/>
    <m/>
    <m/>
    <n v="-132.47999999999999"/>
    <x v="2"/>
    <n v="-132.47999999999999"/>
  </r>
  <r>
    <s v="6570"/>
    <s v="Outside Hauling"/>
    <n v="-14900"/>
    <m/>
    <m/>
    <m/>
    <n v="-14900"/>
    <x v="2"/>
    <n v="-14900"/>
  </r>
  <r>
    <s v="7000"/>
    <s v="Gain on Sale of Assets"/>
    <n v="0"/>
    <m/>
    <m/>
    <m/>
    <n v="0"/>
    <x v="6"/>
    <n v="0"/>
  </r>
  <r>
    <s v="7100"/>
    <s v="Other Income"/>
    <n v="0"/>
    <m/>
    <m/>
    <m/>
    <n v="0"/>
    <x v="0"/>
    <n v="0"/>
  </r>
  <r>
    <s v="7200"/>
    <s v="Interest Income"/>
    <n v="0"/>
    <m/>
    <m/>
    <m/>
    <n v="0"/>
    <x v="0"/>
    <n v="0"/>
  </r>
  <r>
    <s v="8000"/>
    <s v="Loss on Sales of Assets"/>
    <n v="0"/>
    <m/>
    <m/>
    <m/>
    <n v="0"/>
    <x v="6"/>
    <n v="0"/>
  </r>
  <r>
    <s v="8001"/>
    <s v="Loss on Stock to Debt Reduction"/>
    <n v="0"/>
    <m/>
    <m/>
    <m/>
    <n v="0"/>
    <x v="6"/>
    <n v="0"/>
  </r>
  <r>
    <s v="8010"/>
    <s v="Discount Taken"/>
    <n v="-12846.26"/>
    <m/>
    <m/>
    <m/>
    <n v="-12846.26"/>
    <x v="2"/>
    <n v="-12846.26"/>
  </r>
  <r>
    <s v="8020"/>
    <s v="Legal Settlement"/>
    <n v="0"/>
    <m/>
    <m/>
    <m/>
    <n v="0"/>
    <x v="2"/>
    <n v="0"/>
  </r>
  <r>
    <s v="8100"/>
    <s v="Depreciation Expense"/>
    <n v="-69414.14"/>
    <m/>
    <m/>
    <m/>
    <n v="-69414.14"/>
    <x v="7"/>
    <n v="-69414.14"/>
  </r>
  <r>
    <s v="8200"/>
    <s v="Non-Deductible Expenses"/>
    <n v="0"/>
    <m/>
    <m/>
    <m/>
    <n v="0"/>
    <x v="2"/>
    <n v="0"/>
  </r>
  <r>
    <s v="8300"/>
    <s v="State Income Tax Expense"/>
    <n v="-25000"/>
    <m/>
    <m/>
    <m/>
    <n v="-25000"/>
    <x v="5"/>
    <n v="-25000"/>
  </r>
  <r>
    <s v="8400"/>
    <s v="Federal Income Tax Expense"/>
    <n v="0"/>
    <m/>
    <m/>
    <m/>
    <n v="0"/>
    <x v="5"/>
    <n v="0"/>
  </r>
  <r>
    <s v="8500"/>
    <s v="Heavy Haul Vehicle Tax (IRS)"/>
    <n v="0"/>
    <m/>
    <m/>
    <m/>
    <n v="0"/>
    <x v="5"/>
    <n v="0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98">
  <r>
    <s v="4000"/>
    <s v="Rental - Income"/>
    <n v="191978.67"/>
    <m/>
    <m/>
    <m/>
    <n v="191978.67"/>
    <x v="0"/>
    <n v="191978.67"/>
  </r>
  <r>
    <s v="4010"/>
    <s v="Labor Revenue"/>
    <n v="8524.44"/>
    <m/>
    <m/>
    <m/>
    <n v="8524.44"/>
    <x v="0"/>
    <n v="8524.44"/>
  </r>
  <r>
    <s v="4020"/>
    <s v="Discounts Earned"/>
    <n v="0"/>
    <m/>
    <m/>
    <m/>
    <n v="0"/>
    <x v="0"/>
    <n v="0"/>
  </r>
  <r>
    <s v="4030"/>
    <s v="Hauling Revenue"/>
    <n v="79075"/>
    <m/>
    <m/>
    <m/>
    <n v="79075"/>
    <x v="0"/>
    <n v="79075"/>
  </r>
  <r>
    <s v="4050"/>
    <s v="Consignment Sales - Joint Venture"/>
    <n v="0"/>
    <m/>
    <m/>
    <n v="0"/>
    <n v="0"/>
    <x v="0"/>
    <n v="0"/>
  </r>
  <r>
    <s v="4060"/>
    <s v="Sales of Equipment"/>
    <n v="170052.7"/>
    <m/>
    <m/>
    <m/>
    <n v="170052.7"/>
    <x v="0"/>
    <n v="170052.7"/>
  </r>
  <r>
    <s v="4070"/>
    <s v="Attachment Sales"/>
    <n v="0"/>
    <m/>
    <m/>
    <m/>
    <n v="0"/>
    <x v="0"/>
    <n v="0"/>
  </r>
  <r>
    <s v="4090"/>
    <s v="Service Department Revenue"/>
    <n v="0"/>
    <m/>
    <m/>
    <m/>
    <n v="0"/>
    <x v="0"/>
    <n v="0"/>
  </r>
  <r>
    <s v="4100"/>
    <s v="Parts Sales"/>
    <n v="97463.45"/>
    <m/>
    <m/>
    <m/>
    <n v="97463.45"/>
    <x v="0"/>
    <n v="97463.45"/>
  </r>
  <r>
    <s v="4110"/>
    <s v="Parts Department Special Orders"/>
    <n v="0"/>
    <m/>
    <m/>
    <m/>
    <n v="0"/>
    <x v="0"/>
    <n v="0"/>
  </r>
  <r>
    <s v="4120"/>
    <s v="Parts Department Freight"/>
    <n v="5370.21"/>
    <m/>
    <m/>
    <m/>
    <n v="5370.21"/>
    <x v="0"/>
    <n v="5370.21"/>
  </r>
  <r>
    <s v="4150"/>
    <s v="Finance Charge Income"/>
    <n v="3.54"/>
    <m/>
    <m/>
    <m/>
    <n v="3.54"/>
    <x v="0"/>
    <n v="3.54"/>
  </r>
  <r>
    <s v="4160"/>
    <s v="Outside Services Billed to Customer"/>
    <n v="0"/>
    <m/>
    <m/>
    <m/>
    <n v="0"/>
    <x v="0"/>
    <n v="0"/>
  </r>
  <r>
    <s v="4180"/>
    <s v="Credit Card Fees"/>
    <n v="0"/>
    <m/>
    <m/>
    <m/>
    <n v="0"/>
    <x v="0"/>
    <n v="0"/>
  </r>
  <r>
    <s v="5000"/>
    <s v="COGS Equipment"/>
    <n v="-11000"/>
    <m/>
    <m/>
    <m/>
    <n v="-11000"/>
    <x v="1"/>
    <n v="-11000"/>
  </r>
  <r>
    <s v="50000"/>
    <s v="Cost of Goods Sold"/>
    <m/>
    <m/>
    <m/>
    <m/>
    <n v="0"/>
    <x v="1"/>
    <n v="0"/>
  </r>
  <r>
    <s v="5010"/>
    <s v="COGS Attachments"/>
    <n v="0"/>
    <m/>
    <m/>
    <m/>
    <n v="0"/>
    <x v="1"/>
    <n v="0"/>
  </r>
  <r>
    <s v="5020"/>
    <s v="COGS Parts"/>
    <n v="-108193.31"/>
    <m/>
    <m/>
    <m/>
    <n v="-108193.31"/>
    <x v="1"/>
    <n v="-108193.31"/>
  </r>
  <r>
    <s v="5030"/>
    <s v="COGS Joint Venture"/>
    <n v="0"/>
    <m/>
    <m/>
    <m/>
    <n v="0"/>
    <x v="1"/>
    <n v="0"/>
  </r>
  <r>
    <s v="5050"/>
    <s v="COGS Special Order Parts"/>
    <n v="206.47"/>
    <m/>
    <m/>
    <m/>
    <n v="206.47"/>
    <x v="1"/>
    <n v="206.47"/>
  </r>
  <r>
    <s v="5060"/>
    <s v="COGS Haulting"/>
    <n v="-4312.28"/>
    <m/>
    <m/>
    <m/>
    <n v="-4312.28"/>
    <x v="1"/>
    <n v="-4312.28"/>
  </r>
  <r>
    <s v="5070"/>
    <s v="COGS Frieght"/>
    <n v="-7013.5"/>
    <m/>
    <m/>
    <m/>
    <n v="-7013.5"/>
    <x v="1"/>
    <n v="-7013.5"/>
  </r>
  <r>
    <s v="5090"/>
    <s v="COGS Paint"/>
    <n v="-139.13"/>
    <m/>
    <m/>
    <m/>
    <n v="-139.13"/>
    <x v="1"/>
    <n v="-139.13"/>
  </r>
  <r>
    <s v="5100"/>
    <s v="Pilot Cars"/>
    <n v="0"/>
    <m/>
    <m/>
    <m/>
    <n v="0"/>
    <x v="1"/>
    <n v="0"/>
  </r>
  <r>
    <s v="5110"/>
    <s v="Commission"/>
    <n v="0"/>
    <m/>
    <m/>
    <m/>
    <n v="0"/>
    <x v="1"/>
    <n v="0"/>
  </r>
  <r>
    <s v="5120"/>
    <s v="COGS Outside Service"/>
    <n v="-14971.14"/>
    <m/>
    <m/>
    <m/>
    <n v="-14971.14"/>
    <x v="1"/>
    <n v="-14971.14"/>
  </r>
  <r>
    <s v="5210"/>
    <s v="COGS Depreciation"/>
    <n v="0"/>
    <m/>
    <m/>
    <m/>
    <n v="0"/>
    <x v="1"/>
    <n v="0"/>
  </r>
  <r>
    <s v="6010"/>
    <s v="Payroll - Adminsitration"/>
    <n v="-9611.41"/>
    <m/>
    <m/>
    <m/>
    <n v="-9611.41"/>
    <x v="2"/>
    <n v="-9611.41"/>
  </r>
  <r>
    <s v="6011"/>
    <s v="Payroll - Sales"/>
    <n v="-19921.05"/>
    <m/>
    <m/>
    <m/>
    <n v="-19921.05"/>
    <x v="2"/>
    <n v="-19921.05"/>
  </r>
  <r>
    <s v="6012"/>
    <s v="Payroll - Parts"/>
    <n v="-6362.11"/>
    <m/>
    <m/>
    <m/>
    <n v="-6362.11"/>
    <x v="2"/>
    <n v="-6362.11"/>
  </r>
  <r>
    <s v="6013"/>
    <s v="Payroll - Trucking"/>
    <n v="-20462.04"/>
    <m/>
    <m/>
    <m/>
    <n v="-20462.04"/>
    <x v="2"/>
    <n v="-20462.04"/>
  </r>
  <r>
    <s v="6014"/>
    <s v="Payroll - Service Department"/>
    <n v="-33216.870000000003"/>
    <m/>
    <m/>
    <m/>
    <n v="-33216.870000000003"/>
    <x v="2"/>
    <n v="-33216.870000000003"/>
  </r>
  <r>
    <s v="6015"/>
    <s v="Board Compensation"/>
    <n v="0"/>
    <m/>
    <m/>
    <m/>
    <n v="0"/>
    <x v="2"/>
    <n v="0"/>
  </r>
  <r>
    <s v="6016"/>
    <s v="Employee Incentives/Bonus"/>
    <n v="0"/>
    <m/>
    <m/>
    <m/>
    <n v="0"/>
    <x v="2"/>
    <n v="0"/>
  </r>
  <r>
    <s v="6017"/>
    <s v="Safety Bonus"/>
    <n v="0"/>
    <m/>
    <m/>
    <m/>
    <n v="0"/>
    <x v="2"/>
    <n v="0"/>
  </r>
  <r>
    <s v="6020"/>
    <s v="Marketing Advertising "/>
    <n v="-99"/>
    <m/>
    <m/>
    <m/>
    <n v="-99"/>
    <x v="3"/>
    <n v="-99"/>
  </r>
  <r>
    <s v="6025"/>
    <s v="Promotions"/>
    <n v="-2747.4"/>
    <m/>
    <m/>
    <m/>
    <n v="-2747.4"/>
    <x v="3"/>
    <n v="-2747.4"/>
  </r>
  <r>
    <s v="6030"/>
    <s v="Cargo Insurance"/>
    <n v="-408.09"/>
    <m/>
    <m/>
    <m/>
    <n v="-408.09"/>
    <x v="2"/>
    <n v="-408.09"/>
  </r>
  <r>
    <s v="6035"/>
    <s v="General Liability Insurance"/>
    <n v="-3639.49"/>
    <m/>
    <m/>
    <m/>
    <n v="-3639.49"/>
    <x v="2"/>
    <n v="-3639.49"/>
  </r>
  <r>
    <s v="6040"/>
    <s v="Medical-First Aid"/>
    <n v="0"/>
    <m/>
    <m/>
    <m/>
    <n v="0"/>
    <x v="2"/>
    <n v="0"/>
  </r>
  <r>
    <s v="6045"/>
    <s v="Health Insurance"/>
    <n v="-5070.93"/>
    <m/>
    <m/>
    <m/>
    <n v="-5070.93"/>
    <x v="2"/>
    <n v="-5070.93"/>
  </r>
  <r>
    <s v="6050"/>
    <s v="Officers Life Insurance"/>
    <n v="-3280.2"/>
    <m/>
    <m/>
    <m/>
    <n v="-3280.2"/>
    <x v="2"/>
    <n v="-3280.2"/>
  </r>
  <r>
    <s v="6055"/>
    <s v="Computer Technology Expenses"/>
    <n v="-1458.85"/>
    <m/>
    <m/>
    <m/>
    <n v="-1458.85"/>
    <x v="2"/>
    <n v="-1458.85"/>
  </r>
  <r>
    <s v="6060"/>
    <s v="Dues &amp; Subscriptions"/>
    <n v="-18.21"/>
    <m/>
    <m/>
    <m/>
    <n v="-18.21"/>
    <x v="2"/>
    <n v="-18.21"/>
  </r>
  <r>
    <s v="6065"/>
    <s v="Office Equipment Lease"/>
    <n v="-1458.87"/>
    <m/>
    <m/>
    <m/>
    <n v="-1458.87"/>
    <x v="2"/>
    <n v="-1458.87"/>
  </r>
  <r>
    <s v="6070"/>
    <s v="Professional Fees"/>
    <n v="-152.1"/>
    <m/>
    <m/>
    <m/>
    <n v="-152.1"/>
    <x v="2"/>
    <n v="-152.1"/>
  </r>
  <r>
    <s v="6075"/>
    <s v="Mileage Reimbursement"/>
    <n v="416.9"/>
    <m/>
    <m/>
    <m/>
    <n v="416.9"/>
    <x v="2"/>
    <n v="416.9"/>
  </r>
  <r>
    <s v="6080"/>
    <s v="Charitable Contributions"/>
    <n v="-135"/>
    <m/>
    <m/>
    <m/>
    <n v="-135"/>
    <x v="2"/>
    <n v="-135"/>
  </r>
  <r>
    <s v="6100"/>
    <s v="Bank Service Charges"/>
    <n v="-1160.3699999999999"/>
    <m/>
    <m/>
    <m/>
    <n v="-1160.3699999999999"/>
    <x v="2"/>
    <n v="-1160.3699999999999"/>
  </r>
  <r>
    <s v="6120"/>
    <s v="Interest Expense"/>
    <n v="-28343.040000000001"/>
    <m/>
    <m/>
    <m/>
    <n v="-28343.040000000001"/>
    <x v="4"/>
    <n v="-28343.040000000001"/>
  </r>
  <r>
    <s v="6130"/>
    <s v="Late Fees/Finance Charges"/>
    <n v="-2149.06"/>
    <m/>
    <m/>
    <m/>
    <n v="-2149.06"/>
    <x v="2"/>
    <n v="-2149.06"/>
  </r>
  <r>
    <s v="6140"/>
    <s v="Loan Fees"/>
    <n v="0"/>
    <m/>
    <m/>
    <m/>
    <n v="0"/>
    <x v="2"/>
    <n v="0"/>
  </r>
  <r>
    <s v="6145"/>
    <s v="Office Supplies"/>
    <n v="-330.77"/>
    <m/>
    <m/>
    <m/>
    <n v="-330.77"/>
    <x v="5"/>
    <n v="-330.77"/>
  </r>
  <r>
    <s v="6150"/>
    <s v="Accounting Outside Services"/>
    <n v="-3911.75"/>
    <m/>
    <m/>
    <m/>
    <n v="-3911.75"/>
    <x v="2"/>
    <n v="-3911.75"/>
  </r>
  <r>
    <s v="6160"/>
    <s v="Legal"/>
    <n v="-9180.64"/>
    <m/>
    <m/>
    <m/>
    <n v="-9180.64"/>
    <x v="2"/>
    <n v="-9180.64"/>
  </r>
  <r>
    <s v="6165"/>
    <s v="Postage"/>
    <n v="0"/>
    <m/>
    <m/>
    <m/>
    <n v="0"/>
    <x v="2"/>
    <n v="0"/>
  </r>
  <r>
    <s v="6170"/>
    <s v="Continuting Education"/>
    <n v="0"/>
    <m/>
    <m/>
    <m/>
    <n v="0"/>
    <x v="2"/>
    <n v="0"/>
  </r>
  <r>
    <s v="6180"/>
    <s v="Admin Misc. Expenses"/>
    <n v="-6.59"/>
    <m/>
    <m/>
    <m/>
    <n v="-6.59"/>
    <x v="2"/>
    <n v="-6.59"/>
  </r>
  <r>
    <s v="6190"/>
    <s v="Bad Debt"/>
    <n v="0"/>
    <m/>
    <m/>
    <m/>
    <n v="0"/>
    <x v="2"/>
    <n v="0"/>
  </r>
  <r>
    <s v="6200"/>
    <s v="Meals &amp; Entertainment"/>
    <n v="-216.2"/>
    <m/>
    <m/>
    <m/>
    <n v="-216.2"/>
    <x v="2"/>
    <n v="-216.2"/>
  </r>
  <r>
    <s v="6210"/>
    <s v="Rental (vehicle) Exp"/>
    <n v="0"/>
    <m/>
    <m/>
    <m/>
    <n v="0"/>
    <x v="2"/>
    <n v="0"/>
  </r>
  <r>
    <s v="6220"/>
    <s v="Per Diem"/>
    <n v="-1508"/>
    <m/>
    <m/>
    <m/>
    <n v="-1508"/>
    <x v="2"/>
    <n v="-1508"/>
  </r>
  <r>
    <s v="6230"/>
    <s v="Airfare"/>
    <n v="-11342.4"/>
    <m/>
    <m/>
    <m/>
    <n v="-11342.4"/>
    <x v="2"/>
    <n v="-11342.4"/>
  </r>
  <r>
    <s v="6240"/>
    <s v="Lodging"/>
    <n v="-5654.28"/>
    <m/>
    <m/>
    <m/>
    <n v="-5654.28"/>
    <x v="2"/>
    <n v="-5654.28"/>
  </r>
  <r>
    <s v="6250"/>
    <s v="Other Travel Expenses"/>
    <n v="0"/>
    <m/>
    <m/>
    <m/>
    <n v="0"/>
    <x v="2"/>
    <n v="0"/>
  </r>
  <r>
    <s v="6300"/>
    <s v="Fees &amp; Permits"/>
    <n v="-116.74"/>
    <m/>
    <m/>
    <m/>
    <n v="-116.74"/>
    <x v="2"/>
    <n v="-116.74"/>
  </r>
  <r>
    <s v="6310"/>
    <s v="Shop Supplies"/>
    <n v="-3261.89"/>
    <m/>
    <m/>
    <m/>
    <n v="-3261.89"/>
    <x v="2"/>
    <n v="-3261.89"/>
  </r>
  <r>
    <s v="6320"/>
    <s v="Cylinder Rental "/>
    <n v="0"/>
    <m/>
    <m/>
    <m/>
    <n v="0"/>
    <x v="2"/>
    <n v="0"/>
  </r>
  <r>
    <s v="6330"/>
    <s v="Equipment Rental/Lease"/>
    <n v="-5599.01"/>
    <m/>
    <m/>
    <m/>
    <n v="-5599.01"/>
    <x v="2"/>
    <n v="-5599.01"/>
  </r>
  <r>
    <s v="6335"/>
    <s v="Trade Show Expenses"/>
    <n v="-3390"/>
    <m/>
    <m/>
    <m/>
    <n v="-3390"/>
    <x v="2"/>
    <n v="-3390"/>
  </r>
  <r>
    <s v="6340"/>
    <s v="Outside Contractor"/>
    <n v="0"/>
    <m/>
    <m/>
    <m/>
    <n v="0"/>
    <x v="2"/>
    <n v="0"/>
  </r>
  <r>
    <s v="6400"/>
    <s v="Building Rental Expenses"/>
    <n v="0"/>
    <m/>
    <m/>
    <m/>
    <n v="0"/>
    <x v="2"/>
    <n v="0"/>
  </r>
  <r>
    <s v="6410"/>
    <s v="Property Taxes"/>
    <n v="-4895.37"/>
    <m/>
    <m/>
    <m/>
    <n v="-4895.37"/>
    <x v="5"/>
    <n v="-4895.37"/>
  </r>
  <r>
    <s v="6420"/>
    <s v="Utilities"/>
    <n v="-1989.8"/>
    <m/>
    <m/>
    <m/>
    <n v="-1989.8"/>
    <x v="2"/>
    <n v="-1989.8"/>
  </r>
  <r>
    <s v="6440"/>
    <s v="Building &amp; Grounds Maintenance"/>
    <n v="-3693.23"/>
    <m/>
    <m/>
    <m/>
    <n v="-3693.23"/>
    <x v="2"/>
    <n v="-3693.23"/>
  </r>
  <r>
    <s v="6450"/>
    <s v="Security"/>
    <n v="-239.69"/>
    <m/>
    <m/>
    <m/>
    <n v="-239.69"/>
    <x v="2"/>
    <n v="-239.69"/>
  </r>
  <r>
    <s v="6460"/>
    <s v="Pest Control"/>
    <n v="-51"/>
    <m/>
    <m/>
    <m/>
    <n v="-51"/>
    <x v="2"/>
    <n v="-51"/>
  </r>
  <r>
    <s v="6470"/>
    <s v="Janitorial Expense"/>
    <n v="-879.44"/>
    <m/>
    <m/>
    <m/>
    <n v="-879.44"/>
    <x v="2"/>
    <n v="-879.44"/>
  </r>
  <r>
    <s v="6510"/>
    <s v="Fuel Expense"/>
    <n v="-11510.33"/>
    <m/>
    <m/>
    <m/>
    <n v="-11510.33"/>
    <x v="2"/>
    <n v="-11510.33"/>
  </r>
  <r>
    <s v="6520"/>
    <s v="Vehicle Maint &amp; Repair"/>
    <n v="-952.66"/>
    <m/>
    <m/>
    <m/>
    <n v="-952.66"/>
    <x v="2"/>
    <n v="-952.66"/>
  </r>
  <r>
    <s v="6521"/>
    <s v="Equipment Maintanence &amp; Repair"/>
    <n v="-1739.28"/>
    <m/>
    <m/>
    <m/>
    <n v="-1739.28"/>
    <x v="2"/>
    <n v="-1739.28"/>
  </r>
  <r>
    <s v="6530"/>
    <s v="DMV Fees"/>
    <n v="0"/>
    <m/>
    <m/>
    <m/>
    <n v="0"/>
    <x v="2"/>
    <n v="0"/>
  </r>
  <r>
    <s v="6540"/>
    <s v="Trucking Fees &amp; Permits"/>
    <n v="-1474.67"/>
    <m/>
    <m/>
    <m/>
    <n v="-1474.67"/>
    <x v="2"/>
    <n v="-1474.67"/>
  </r>
  <r>
    <s v="6550"/>
    <s v="Outside Services  "/>
    <n v="-556.70000000000005"/>
    <m/>
    <m/>
    <m/>
    <n v="-556.70000000000005"/>
    <x v="2"/>
    <n v="-556.70000000000005"/>
  </r>
  <r>
    <s v="6560"/>
    <s v="Trucking Department - Other Expenses"/>
    <n v="-2040.53"/>
    <m/>
    <m/>
    <m/>
    <n v="-2040.53"/>
    <x v="2"/>
    <n v="-2040.53"/>
  </r>
  <r>
    <s v="6570"/>
    <s v="Outside Hauling"/>
    <n v="-27420"/>
    <m/>
    <m/>
    <m/>
    <n v="-27420"/>
    <x v="2"/>
    <n v="-27420"/>
  </r>
  <r>
    <s v="7000"/>
    <s v="Gain on Sale of Assets"/>
    <n v="0"/>
    <m/>
    <m/>
    <m/>
    <n v="0"/>
    <x v="6"/>
    <n v="0"/>
  </r>
  <r>
    <s v="7100"/>
    <s v="Other Income"/>
    <n v="0"/>
    <m/>
    <m/>
    <m/>
    <n v="0"/>
    <x v="0"/>
    <n v="0"/>
  </r>
  <r>
    <s v="7200"/>
    <s v="Interest Income"/>
    <n v="0"/>
    <m/>
    <m/>
    <m/>
    <n v="0"/>
    <x v="0"/>
    <n v="0"/>
  </r>
  <r>
    <s v="8000"/>
    <s v="Loss on Sales of Assets"/>
    <n v="0"/>
    <m/>
    <m/>
    <m/>
    <n v="0"/>
    <x v="6"/>
    <n v="0"/>
  </r>
  <r>
    <s v="8001"/>
    <s v="Loss on Stock to Debt Reduction"/>
    <n v="0"/>
    <m/>
    <m/>
    <m/>
    <n v="0"/>
    <x v="6"/>
    <n v="0"/>
  </r>
  <r>
    <s v="8010"/>
    <s v="Discount Taken"/>
    <n v="-176.42"/>
    <m/>
    <m/>
    <m/>
    <n v="-176.42"/>
    <x v="2"/>
    <n v="-176.42"/>
  </r>
  <r>
    <s v="8020"/>
    <s v="Legal Settlement"/>
    <n v="0"/>
    <m/>
    <m/>
    <m/>
    <n v="0"/>
    <x v="2"/>
    <n v="0"/>
  </r>
  <r>
    <s v="8100"/>
    <s v="Depreciation Expense"/>
    <n v="-61827.3"/>
    <m/>
    <m/>
    <m/>
    <n v="-61827.3"/>
    <x v="7"/>
    <n v="-61827.3"/>
  </r>
  <r>
    <s v="8200"/>
    <s v="Non-Deductible Expenses"/>
    <n v="0"/>
    <m/>
    <m/>
    <m/>
    <n v="0"/>
    <x v="2"/>
    <n v="0"/>
  </r>
  <r>
    <s v="8300"/>
    <s v="State Income Tax Expense"/>
    <n v="0"/>
    <m/>
    <m/>
    <m/>
    <n v="0"/>
    <x v="5"/>
    <n v="0"/>
  </r>
  <r>
    <s v="8400"/>
    <s v="Federal Income Tax Expense"/>
    <n v="0"/>
    <m/>
    <m/>
    <m/>
    <n v="0"/>
    <x v="5"/>
    <n v="0"/>
  </r>
  <r>
    <s v="8500"/>
    <s v="Heavy Haul Vehicle Tax (IRS)"/>
    <n v="0"/>
    <m/>
    <m/>
    <m/>
    <n v="0"/>
    <x v="5"/>
    <n v="0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count="99">
  <r>
    <s v="4000"/>
    <s v="Rental - Income"/>
    <n v="140410"/>
    <m/>
    <m/>
    <m/>
    <n v="140410"/>
    <x v="0"/>
    <n v="140410"/>
  </r>
  <r>
    <s v="4010"/>
    <s v="Labor Revenue"/>
    <n v="20520.509999999998"/>
    <m/>
    <m/>
    <m/>
    <n v="20520.509999999998"/>
    <x v="0"/>
    <n v="20520.509999999998"/>
  </r>
  <r>
    <s v="4020"/>
    <s v="Discounts Earned"/>
    <n v="0"/>
    <m/>
    <m/>
    <m/>
    <n v="0"/>
    <x v="0"/>
    <n v="0"/>
  </r>
  <r>
    <s v="4030"/>
    <s v="Hauling Revenue"/>
    <n v="39400"/>
    <m/>
    <m/>
    <m/>
    <n v="39400"/>
    <x v="0"/>
    <n v="39400"/>
  </r>
  <r>
    <s v="4050"/>
    <s v="Consignment Sales - Joint Venture"/>
    <n v="7800"/>
    <m/>
    <m/>
    <n v="0"/>
    <n v="7800"/>
    <x v="0"/>
    <n v="7800"/>
  </r>
  <r>
    <s v="4060"/>
    <s v="Sales of Equipment"/>
    <n v="39927.49"/>
    <m/>
    <m/>
    <m/>
    <n v="39927.49"/>
    <x v="0"/>
    <n v="39927.49"/>
  </r>
  <r>
    <s v="4070"/>
    <s v="Attachment Sales"/>
    <n v="0"/>
    <m/>
    <m/>
    <m/>
    <n v="0"/>
    <x v="0"/>
    <n v="0"/>
  </r>
  <r>
    <s v="4090"/>
    <s v="Service Department Revenue"/>
    <n v="0"/>
    <m/>
    <m/>
    <m/>
    <n v="0"/>
    <x v="0"/>
    <n v="0"/>
  </r>
  <r>
    <s v="4100"/>
    <s v="Parts Sales"/>
    <n v="58913.16"/>
    <m/>
    <m/>
    <m/>
    <n v="58913.16"/>
    <x v="0"/>
    <n v="58913.16"/>
  </r>
  <r>
    <s v="4110"/>
    <s v="Parts Department Special Orders"/>
    <n v="-105.76"/>
    <m/>
    <m/>
    <m/>
    <n v="-105.76"/>
    <x v="0"/>
    <n v="-105.76"/>
  </r>
  <r>
    <s v="4120"/>
    <s v="Parts Department Freight"/>
    <n v="5653.23"/>
    <m/>
    <m/>
    <m/>
    <n v="5653.23"/>
    <x v="0"/>
    <n v="5653.23"/>
  </r>
  <r>
    <s v="4150"/>
    <s v="Finance Charge Income"/>
    <n v="-3.8"/>
    <m/>
    <m/>
    <m/>
    <n v="-3.8"/>
    <x v="0"/>
    <n v="-3.8"/>
  </r>
  <r>
    <s v="4160"/>
    <s v="Outside Services Billed to Customer"/>
    <n v="1913.72"/>
    <m/>
    <m/>
    <m/>
    <n v="1913.72"/>
    <x v="0"/>
    <n v="1913.72"/>
  </r>
  <r>
    <s v="4180"/>
    <s v="Credit Card Fees"/>
    <n v="0"/>
    <m/>
    <m/>
    <m/>
    <n v="0"/>
    <x v="0"/>
    <n v="0"/>
  </r>
  <r>
    <s v="5000"/>
    <s v="COGS Equipment"/>
    <n v="-36112.480000000003"/>
    <m/>
    <m/>
    <m/>
    <n v="-36112.480000000003"/>
    <x v="1"/>
    <n v="-36112.480000000003"/>
  </r>
  <r>
    <s v="50000"/>
    <s v="Cost of Goods Sold"/>
    <m/>
    <m/>
    <m/>
    <m/>
    <n v="0"/>
    <x v="1"/>
    <n v="0"/>
  </r>
  <r>
    <s v="5010"/>
    <s v="COGS Attachments"/>
    <n v="0"/>
    <m/>
    <m/>
    <m/>
    <n v="0"/>
    <x v="1"/>
    <n v="0"/>
  </r>
  <r>
    <s v="5020"/>
    <s v="COGS Parts"/>
    <n v="-46897.43"/>
    <m/>
    <m/>
    <m/>
    <n v="-46897.43"/>
    <x v="1"/>
    <n v="-46897.43"/>
  </r>
  <r>
    <s v="5030"/>
    <s v="COGS Joint Venture"/>
    <n v="-6600"/>
    <m/>
    <m/>
    <m/>
    <n v="-6600"/>
    <x v="1"/>
    <n v="-6600"/>
  </r>
  <r>
    <s v="5050"/>
    <s v="COGS Special Order Parts"/>
    <n v="-90"/>
    <m/>
    <m/>
    <m/>
    <n v="-90"/>
    <x v="1"/>
    <n v="-90"/>
  </r>
  <r>
    <s v="5060"/>
    <s v="COGS Haulting"/>
    <n v="-20305"/>
    <m/>
    <m/>
    <m/>
    <n v="-20305"/>
    <x v="1"/>
    <n v="-20305"/>
  </r>
  <r>
    <s v="5070"/>
    <s v="COGS Frieght"/>
    <n v="-7887.61"/>
    <m/>
    <m/>
    <m/>
    <n v="-7887.61"/>
    <x v="1"/>
    <n v="-7887.61"/>
  </r>
  <r>
    <s v="5090"/>
    <s v="COGS Paint"/>
    <n v="-526.57000000000005"/>
    <m/>
    <m/>
    <m/>
    <n v="-526.57000000000005"/>
    <x v="1"/>
    <n v="-526.57000000000005"/>
  </r>
  <r>
    <s v="5100"/>
    <s v="Pilot Cars"/>
    <n v="-1276.5"/>
    <m/>
    <m/>
    <m/>
    <n v="-1276.5"/>
    <x v="1"/>
    <n v="-1276.5"/>
  </r>
  <r>
    <s v="5110"/>
    <s v="Commission"/>
    <n v="-1000"/>
    <m/>
    <m/>
    <m/>
    <n v="-1000"/>
    <x v="1"/>
    <n v="-1000"/>
  </r>
  <r>
    <s v="5120"/>
    <s v="COGS Outside Service"/>
    <n v="-16788"/>
    <m/>
    <m/>
    <m/>
    <n v="-16788"/>
    <x v="1"/>
    <n v="-16788"/>
  </r>
  <r>
    <s v="5210"/>
    <s v="COGS Depreciation"/>
    <n v="0"/>
    <m/>
    <m/>
    <m/>
    <n v="0"/>
    <x v="1"/>
    <n v="0"/>
  </r>
  <r>
    <s v="6010"/>
    <s v="Payroll - Adminsitration"/>
    <n v="-9155.01"/>
    <m/>
    <m/>
    <m/>
    <n v="-9155.01"/>
    <x v="2"/>
    <n v="-9155.01"/>
  </r>
  <r>
    <s v="6011"/>
    <s v="Payroll - Sales"/>
    <n v="-16504.84"/>
    <m/>
    <m/>
    <m/>
    <n v="-16504.84"/>
    <x v="2"/>
    <n v="-16504.84"/>
  </r>
  <r>
    <s v="6012"/>
    <s v="Payroll - Parts"/>
    <n v="-5410"/>
    <m/>
    <m/>
    <m/>
    <n v="-5410"/>
    <x v="2"/>
    <n v="-5410"/>
  </r>
  <r>
    <s v="6013"/>
    <s v="Payroll - Trucking"/>
    <n v="-7234.32"/>
    <m/>
    <m/>
    <m/>
    <n v="-7234.32"/>
    <x v="2"/>
    <n v="-7234.32"/>
  </r>
  <r>
    <s v="6014"/>
    <s v="Payroll - Service Department"/>
    <n v="-34619.51"/>
    <m/>
    <m/>
    <m/>
    <n v="-34619.51"/>
    <x v="2"/>
    <n v="-34619.51"/>
  </r>
  <r>
    <s v="6015"/>
    <s v="Board Compensation"/>
    <n v="0"/>
    <m/>
    <m/>
    <m/>
    <n v="0"/>
    <x v="2"/>
    <n v="0"/>
  </r>
  <r>
    <s v="6016"/>
    <s v="Employee Incentives/Bonus"/>
    <n v="0"/>
    <m/>
    <m/>
    <m/>
    <n v="0"/>
    <x v="2"/>
    <n v="0"/>
  </r>
  <r>
    <s v="6017"/>
    <s v="Safety Bonus"/>
    <n v="0"/>
    <m/>
    <m/>
    <m/>
    <n v="0"/>
    <x v="2"/>
    <n v="0"/>
  </r>
  <r>
    <s v="6020"/>
    <s v="Marketing Advertising "/>
    <n v="-2224"/>
    <m/>
    <m/>
    <m/>
    <n v="-2224"/>
    <x v="3"/>
    <n v="-2224"/>
  </r>
  <r>
    <s v="6025"/>
    <s v="Promotions"/>
    <n v="-4727.2700000000004"/>
    <m/>
    <m/>
    <m/>
    <n v="-4727.2700000000004"/>
    <x v="3"/>
    <n v="-4727.2700000000004"/>
  </r>
  <r>
    <s v="6030"/>
    <s v="Cargo Insurance"/>
    <n v="0"/>
    <m/>
    <m/>
    <m/>
    <n v="0"/>
    <x v="2"/>
    <n v="0"/>
  </r>
  <r>
    <s v="6035"/>
    <s v="General Liability Insurance"/>
    <n v="-4218.54"/>
    <m/>
    <m/>
    <m/>
    <n v="-4218.54"/>
    <x v="2"/>
    <n v="-4218.54"/>
  </r>
  <r>
    <s v="6040"/>
    <s v="Medical-First Aid"/>
    <n v="0"/>
    <m/>
    <m/>
    <m/>
    <n v="0"/>
    <x v="2"/>
    <n v="0"/>
  </r>
  <r>
    <s v="6045"/>
    <s v="Health Insurance"/>
    <n v="-6166.82"/>
    <m/>
    <m/>
    <m/>
    <n v="-6166.82"/>
    <x v="2"/>
    <n v="-6166.82"/>
  </r>
  <r>
    <s v="6050"/>
    <s v="Officers Life Insurance"/>
    <n v="-3280.2"/>
    <m/>
    <m/>
    <m/>
    <n v="-3280.2"/>
    <x v="2"/>
    <n v="-3280.2"/>
  </r>
  <r>
    <s v="6055"/>
    <s v="Computer Technology Expenses"/>
    <n v="-1046.67"/>
    <m/>
    <m/>
    <m/>
    <n v="-1046.67"/>
    <x v="2"/>
    <n v="-1046.67"/>
  </r>
  <r>
    <s v="6060"/>
    <s v="Dues &amp; Subscriptions"/>
    <n v="216.92"/>
    <m/>
    <m/>
    <m/>
    <n v="216.92"/>
    <x v="2"/>
    <n v="216.92"/>
  </r>
  <r>
    <s v="6065"/>
    <s v="Office Equipment Lease"/>
    <n v="-1332.22"/>
    <m/>
    <m/>
    <m/>
    <n v="-1332.22"/>
    <x v="2"/>
    <n v="-1332.22"/>
  </r>
  <r>
    <s v="6070"/>
    <s v="Professional Fees"/>
    <n v="-152.1"/>
    <m/>
    <m/>
    <m/>
    <n v="-152.1"/>
    <x v="2"/>
    <n v="-152.1"/>
  </r>
  <r>
    <s v="6075"/>
    <s v="Mileage Reimbursement"/>
    <n v="769.4"/>
    <m/>
    <m/>
    <m/>
    <n v="769.4"/>
    <x v="2"/>
    <n v="769.4"/>
  </r>
  <r>
    <s v="6080"/>
    <s v="Charitable Contributions"/>
    <n v="-4100"/>
    <m/>
    <m/>
    <m/>
    <n v="-4100"/>
    <x v="2"/>
    <n v="-4100"/>
  </r>
  <r>
    <s v="6090"/>
    <s v="Commission Paid"/>
    <n v="-20000"/>
    <m/>
    <m/>
    <m/>
    <n v="-20000"/>
    <x v="2"/>
    <n v="-20000"/>
  </r>
  <r>
    <s v="6100"/>
    <s v="Bank Service Charges"/>
    <n v="-574.75"/>
    <m/>
    <m/>
    <m/>
    <n v="-574.75"/>
    <x v="2"/>
    <n v="-574.75"/>
  </r>
  <r>
    <s v="6120"/>
    <s v="Interest Expense"/>
    <n v="-21679.05"/>
    <m/>
    <m/>
    <m/>
    <n v="-21679.05"/>
    <x v="4"/>
    <n v="-21679.05"/>
  </r>
  <r>
    <s v="6130"/>
    <s v="Late Fees/Finance Charges"/>
    <n v="-2367.3000000000002"/>
    <m/>
    <m/>
    <m/>
    <n v="-2367.3000000000002"/>
    <x v="2"/>
    <n v="-2367.3000000000002"/>
  </r>
  <r>
    <s v="6140"/>
    <s v="Loan Fees"/>
    <n v="-323.25"/>
    <m/>
    <m/>
    <m/>
    <n v="-323.25"/>
    <x v="2"/>
    <n v="-323.25"/>
  </r>
  <r>
    <s v="6145"/>
    <s v="Office Supplies"/>
    <n v="-463.1"/>
    <m/>
    <m/>
    <m/>
    <n v="-463.1"/>
    <x v="5"/>
    <n v="-463.1"/>
  </r>
  <r>
    <s v="6150"/>
    <s v="Accounting Outside Services"/>
    <n v="-52079.08"/>
    <m/>
    <m/>
    <m/>
    <n v="-52079.08"/>
    <x v="2"/>
    <n v="-52079.08"/>
  </r>
  <r>
    <s v="6160"/>
    <s v="Legal"/>
    <n v="-2999.91"/>
    <m/>
    <m/>
    <m/>
    <n v="-2999.91"/>
    <x v="2"/>
    <n v="-2999.91"/>
  </r>
  <r>
    <s v="6165"/>
    <s v="Postage"/>
    <n v="0"/>
    <m/>
    <m/>
    <m/>
    <n v="0"/>
    <x v="2"/>
    <n v="0"/>
  </r>
  <r>
    <s v="6170"/>
    <s v="Continuting Education"/>
    <n v="-3250"/>
    <m/>
    <m/>
    <m/>
    <n v="-3250"/>
    <x v="2"/>
    <n v="-3250"/>
  </r>
  <r>
    <s v="6180"/>
    <s v="Admin Misc. Expenses"/>
    <n v="-195.27"/>
    <m/>
    <m/>
    <m/>
    <n v="-195.27"/>
    <x v="2"/>
    <n v="-195.27"/>
  </r>
  <r>
    <s v="6190"/>
    <s v="Bad Debt"/>
    <n v="0"/>
    <m/>
    <m/>
    <m/>
    <n v="0"/>
    <x v="2"/>
    <n v="0"/>
  </r>
  <r>
    <s v="6200"/>
    <s v="Meals &amp; Entertainment"/>
    <n v="-4724.6099999999997"/>
    <m/>
    <m/>
    <m/>
    <n v="-4724.6099999999997"/>
    <x v="2"/>
    <n v="-4724.6099999999997"/>
  </r>
  <r>
    <s v="6210"/>
    <s v="Rental (vehicle) Exp"/>
    <n v="-3979.03"/>
    <m/>
    <m/>
    <m/>
    <n v="-3979.03"/>
    <x v="2"/>
    <n v="-3979.03"/>
  </r>
  <r>
    <s v="6220"/>
    <s v="Per Diem"/>
    <n v="-1820"/>
    <m/>
    <m/>
    <m/>
    <n v="-1820"/>
    <x v="2"/>
    <n v="-1820"/>
  </r>
  <r>
    <s v="6230"/>
    <s v="Airfare"/>
    <n v="-2180.6999999999998"/>
    <m/>
    <m/>
    <m/>
    <n v="-2180.6999999999998"/>
    <x v="2"/>
    <n v="-2180.6999999999998"/>
  </r>
  <r>
    <s v="6240"/>
    <s v="Lodging"/>
    <n v="-14269.68"/>
    <m/>
    <m/>
    <m/>
    <n v="-14269.68"/>
    <x v="2"/>
    <n v="-14269.68"/>
  </r>
  <r>
    <s v="6250"/>
    <s v="Other Travel Expenses"/>
    <n v="-1079.25"/>
    <m/>
    <m/>
    <m/>
    <n v="-1079.25"/>
    <x v="2"/>
    <n v="-1079.25"/>
  </r>
  <r>
    <s v="6300"/>
    <s v="Fees &amp; Permits"/>
    <n v="-59.3"/>
    <m/>
    <m/>
    <m/>
    <n v="-59.3"/>
    <x v="2"/>
    <n v="-59.3"/>
  </r>
  <r>
    <s v="6310"/>
    <s v="Shop Supplies"/>
    <n v="-5932.06"/>
    <m/>
    <m/>
    <m/>
    <n v="-5932.06"/>
    <x v="2"/>
    <n v="-5932.06"/>
  </r>
  <r>
    <s v="6320"/>
    <s v="Cylinder Rental "/>
    <n v="0"/>
    <m/>
    <m/>
    <m/>
    <n v="0"/>
    <x v="2"/>
    <n v="0"/>
  </r>
  <r>
    <s v="6330"/>
    <s v="Equipment Rental/Lease"/>
    <n v="-57"/>
    <m/>
    <m/>
    <m/>
    <n v="-57"/>
    <x v="2"/>
    <n v="-57"/>
  </r>
  <r>
    <s v="6335"/>
    <s v="Trade Show Expenses"/>
    <n v="-24.36"/>
    <m/>
    <m/>
    <m/>
    <n v="-24.36"/>
    <x v="2"/>
    <n v="-24.36"/>
  </r>
  <r>
    <s v="6340"/>
    <s v="Outside Contractor"/>
    <n v="0"/>
    <m/>
    <m/>
    <m/>
    <n v="0"/>
    <x v="2"/>
    <n v="0"/>
  </r>
  <r>
    <s v="6400"/>
    <s v="Building Rental Expenses"/>
    <n v="-9800"/>
    <m/>
    <m/>
    <m/>
    <n v="-9800"/>
    <x v="2"/>
    <n v="-9800"/>
  </r>
  <r>
    <s v="6410"/>
    <s v="Property Taxes"/>
    <n v="0"/>
    <m/>
    <m/>
    <m/>
    <n v="0"/>
    <x v="5"/>
    <n v="0"/>
  </r>
  <r>
    <s v="6420"/>
    <s v="Utilities"/>
    <n v="-1512.95"/>
    <m/>
    <m/>
    <m/>
    <n v="-1512.95"/>
    <x v="2"/>
    <n v="-1512.95"/>
  </r>
  <r>
    <s v="6440"/>
    <s v="Building &amp; Grounds Maintenance"/>
    <n v="-460.2"/>
    <m/>
    <m/>
    <m/>
    <n v="-460.2"/>
    <x v="2"/>
    <n v="-460.2"/>
  </r>
  <r>
    <s v="6450"/>
    <s v="Security"/>
    <n v="-128.47999999999999"/>
    <m/>
    <m/>
    <m/>
    <n v="-128.47999999999999"/>
    <x v="2"/>
    <n v="-128.47999999999999"/>
  </r>
  <r>
    <s v="6460"/>
    <s v="Pest Control"/>
    <n v="-51"/>
    <m/>
    <m/>
    <m/>
    <n v="-51"/>
    <x v="2"/>
    <n v="-51"/>
  </r>
  <r>
    <s v="6470"/>
    <s v="Janitorial Expense"/>
    <n v="-874.8"/>
    <m/>
    <m/>
    <m/>
    <n v="-874.8"/>
    <x v="2"/>
    <n v="-874.8"/>
  </r>
  <r>
    <s v="6510"/>
    <s v="Fuel Expense"/>
    <n v="-8484.3700000000008"/>
    <m/>
    <m/>
    <m/>
    <n v="-8484.3700000000008"/>
    <x v="2"/>
    <n v="-8484.3700000000008"/>
  </r>
  <r>
    <s v="6520"/>
    <s v="Vehicle Maint &amp; Repair"/>
    <n v="-217.15"/>
    <m/>
    <m/>
    <m/>
    <n v="-217.15"/>
    <x v="2"/>
    <n v="-217.15"/>
  </r>
  <r>
    <s v="6521"/>
    <s v="Equipment Maintanence &amp; Repair"/>
    <n v="-278.95"/>
    <m/>
    <m/>
    <m/>
    <n v="-278.95"/>
    <x v="2"/>
    <n v="-278.95"/>
  </r>
  <r>
    <s v="6530"/>
    <s v="DMV Fees"/>
    <n v="0"/>
    <m/>
    <m/>
    <m/>
    <n v="0"/>
    <x v="2"/>
    <n v="0"/>
  </r>
  <r>
    <s v="6540"/>
    <s v="Trucking Fees &amp; Permits"/>
    <n v="-1169.92"/>
    <m/>
    <m/>
    <m/>
    <n v="-1169.92"/>
    <x v="2"/>
    <n v="-1169.92"/>
  </r>
  <r>
    <s v="6550"/>
    <s v="Outside Services  "/>
    <n v="0"/>
    <m/>
    <m/>
    <m/>
    <n v="0"/>
    <x v="2"/>
    <n v="0"/>
  </r>
  <r>
    <s v="6560"/>
    <s v="Trucking Department - Other Expenses"/>
    <n v="-168.34"/>
    <m/>
    <m/>
    <m/>
    <n v="-168.34"/>
    <x v="2"/>
    <n v="-168.34"/>
  </r>
  <r>
    <s v="6570"/>
    <s v="Outside Hauling"/>
    <n v="-81868.929999999993"/>
    <m/>
    <m/>
    <m/>
    <n v="-81868.929999999993"/>
    <x v="2"/>
    <n v="-81868.929999999993"/>
  </r>
  <r>
    <s v="7000"/>
    <s v="Gain on Sale of Assets"/>
    <n v="0"/>
    <m/>
    <m/>
    <m/>
    <n v="0"/>
    <x v="6"/>
    <n v="0"/>
  </r>
  <r>
    <s v="7100"/>
    <s v="Other Income"/>
    <n v="0"/>
    <m/>
    <m/>
    <m/>
    <n v="0"/>
    <x v="0"/>
    <n v="0"/>
  </r>
  <r>
    <s v="7200"/>
    <s v="Interest Income"/>
    <n v="0"/>
    <m/>
    <m/>
    <m/>
    <n v="0"/>
    <x v="0"/>
    <n v="0"/>
  </r>
  <r>
    <s v="8000"/>
    <s v="Loss on Sales of Assets"/>
    <n v="0"/>
    <m/>
    <m/>
    <m/>
    <n v="0"/>
    <x v="6"/>
    <n v="0"/>
  </r>
  <r>
    <s v="8001"/>
    <s v="Loss on Stock to Debt Reduction"/>
    <n v="0"/>
    <m/>
    <m/>
    <m/>
    <n v="0"/>
    <x v="6"/>
    <n v="0"/>
  </r>
  <r>
    <s v="8010"/>
    <s v="Discount Taken"/>
    <n v="-2735.63"/>
    <m/>
    <m/>
    <m/>
    <n v="-2735.63"/>
    <x v="2"/>
    <n v="-2735.63"/>
  </r>
  <r>
    <s v="8020"/>
    <s v="Legal Settlement"/>
    <n v="0"/>
    <m/>
    <m/>
    <m/>
    <n v="0"/>
    <x v="2"/>
    <n v="0"/>
  </r>
  <r>
    <s v="8100"/>
    <s v="Depreciation Expense"/>
    <n v="-77139.570000000007"/>
    <m/>
    <m/>
    <m/>
    <n v="-77139.570000000007"/>
    <x v="7"/>
    <n v="-77139.570000000007"/>
  </r>
  <r>
    <s v="8200"/>
    <s v="Non-Deductible Expenses"/>
    <n v="-774.3"/>
    <m/>
    <m/>
    <m/>
    <n v="-774.3"/>
    <x v="2"/>
    <n v="-774.3"/>
  </r>
  <r>
    <s v="8300"/>
    <s v="State Income Tax Expense"/>
    <n v="-7250"/>
    <m/>
    <m/>
    <m/>
    <n v="-7250"/>
    <x v="5"/>
    <n v="-7250"/>
  </r>
  <r>
    <s v="8400"/>
    <s v="Federal Income Tax Expense"/>
    <n v="0"/>
    <m/>
    <m/>
    <m/>
    <n v="0"/>
    <x v="5"/>
    <n v="0"/>
  </r>
  <r>
    <s v="8500"/>
    <s v="Heavy Haul Vehicle Tax (IRS)"/>
    <n v="0"/>
    <m/>
    <m/>
    <m/>
    <n v="0"/>
    <x v="5"/>
    <n v="0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count="98">
  <r>
    <s v="4000"/>
    <s v="Rental - Income"/>
    <n v="192077.5"/>
    <m/>
    <m/>
    <m/>
    <n v="192077.5"/>
    <x v="0"/>
    <n v="192077.5"/>
  </r>
  <r>
    <s v="4010"/>
    <s v="Labor Revenue"/>
    <n v="6016"/>
    <m/>
    <m/>
    <m/>
    <n v="6016"/>
    <x v="0"/>
    <n v="6016"/>
  </r>
  <r>
    <s v="4020"/>
    <s v="Discounts Earned"/>
    <n v="0"/>
    <m/>
    <m/>
    <m/>
    <n v="0"/>
    <x v="0"/>
    <n v="0"/>
  </r>
  <r>
    <s v="4030"/>
    <s v="Hauling Revenue"/>
    <n v="55000"/>
    <m/>
    <m/>
    <m/>
    <n v="55000"/>
    <x v="0"/>
    <n v="55000"/>
  </r>
  <r>
    <s v="4050"/>
    <s v="Consignment Sales - Joint Venture"/>
    <n v="0"/>
    <m/>
    <m/>
    <n v="0"/>
    <n v="0"/>
    <x v="0"/>
    <n v="0"/>
  </r>
  <r>
    <s v="4060"/>
    <s v="Sales of Equipment"/>
    <n v="125000"/>
    <m/>
    <m/>
    <m/>
    <n v="125000"/>
    <x v="0"/>
    <n v="125000"/>
  </r>
  <r>
    <s v="4070"/>
    <s v="Attachment Sales"/>
    <n v="0"/>
    <m/>
    <m/>
    <m/>
    <n v="0"/>
    <x v="0"/>
    <n v="0"/>
  </r>
  <r>
    <s v="4090"/>
    <s v="Service Department Revenue"/>
    <n v="0"/>
    <m/>
    <m/>
    <m/>
    <n v="0"/>
    <x v="0"/>
    <n v="0"/>
  </r>
  <r>
    <s v="4100"/>
    <s v="Parts Sales"/>
    <n v="85510.19"/>
    <m/>
    <m/>
    <m/>
    <n v="85510.19"/>
    <x v="0"/>
    <n v="85510.19"/>
  </r>
  <r>
    <s v="4110"/>
    <s v="Parts Department Special Orders"/>
    <n v="0"/>
    <m/>
    <m/>
    <m/>
    <n v="0"/>
    <x v="0"/>
    <n v="0"/>
  </r>
  <r>
    <s v="4120"/>
    <s v="Parts Department Freight"/>
    <n v="3402.43"/>
    <m/>
    <m/>
    <m/>
    <n v="3402.43"/>
    <x v="0"/>
    <n v="3402.43"/>
  </r>
  <r>
    <s v="4150"/>
    <s v="Finance Charge Income"/>
    <n v="0"/>
    <m/>
    <m/>
    <m/>
    <n v="0"/>
    <x v="0"/>
    <n v="0"/>
  </r>
  <r>
    <s v="4160"/>
    <s v="Outside Services Billed to Customer"/>
    <n v="2460"/>
    <m/>
    <m/>
    <m/>
    <n v="2460"/>
    <x v="0"/>
    <n v="2460"/>
  </r>
  <r>
    <s v="4180"/>
    <s v="Credit Card Fees"/>
    <n v="0"/>
    <m/>
    <m/>
    <m/>
    <n v="0"/>
    <x v="0"/>
    <n v="0"/>
  </r>
  <r>
    <s v="5000"/>
    <s v="COGS Equipment"/>
    <n v="-71090.06"/>
    <m/>
    <m/>
    <m/>
    <n v="-71090.06"/>
    <x v="1"/>
    <n v="-71090.06"/>
  </r>
  <r>
    <s v="50000"/>
    <s v="Cost of Goods Sold"/>
    <m/>
    <m/>
    <m/>
    <m/>
    <n v="0"/>
    <x v="1"/>
    <n v="0"/>
  </r>
  <r>
    <s v="5010"/>
    <s v="COGS Attachments"/>
    <n v="0"/>
    <m/>
    <m/>
    <m/>
    <n v="0"/>
    <x v="1"/>
    <n v="0"/>
  </r>
  <r>
    <s v="5020"/>
    <s v="COGS Parts"/>
    <n v="-68548.710000000006"/>
    <m/>
    <m/>
    <m/>
    <n v="-68548.710000000006"/>
    <x v="1"/>
    <n v="-68548.710000000006"/>
  </r>
  <r>
    <s v="5030"/>
    <s v="COGS Joint Venture"/>
    <n v="0"/>
    <m/>
    <m/>
    <m/>
    <n v="0"/>
    <x v="1"/>
    <n v="0"/>
  </r>
  <r>
    <s v="5050"/>
    <s v="COGS Special Order Parts"/>
    <n v="-470.4"/>
    <m/>
    <m/>
    <m/>
    <n v="-470.4"/>
    <x v="1"/>
    <n v="-470.4"/>
  </r>
  <r>
    <s v="5060"/>
    <s v="COGS Haulting"/>
    <n v="-15225"/>
    <m/>
    <m/>
    <m/>
    <n v="-15225"/>
    <x v="1"/>
    <n v="-15225"/>
  </r>
  <r>
    <s v="5070"/>
    <s v="COGS Frieght"/>
    <n v="-8797.3799999999992"/>
    <m/>
    <m/>
    <m/>
    <n v="-8797.3799999999992"/>
    <x v="1"/>
    <n v="-8797.3799999999992"/>
  </r>
  <r>
    <s v="5090"/>
    <s v="COGS Paint"/>
    <n v="-1587.51"/>
    <m/>
    <m/>
    <m/>
    <n v="-1587.51"/>
    <x v="1"/>
    <n v="-1587.51"/>
  </r>
  <r>
    <s v="5100"/>
    <s v="Pilot Cars"/>
    <n v="0"/>
    <m/>
    <m/>
    <m/>
    <n v="0"/>
    <x v="1"/>
    <n v="0"/>
  </r>
  <r>
    <s v="5110"/>
    <s v="Commission"/>
    <n v="0"/>
    <m/>
    <m/>
    <m/>
    <n v="0"/>
    <x v="1"/>
    <n v="0"/>
  </r>
  <r>
    <s v="5120"/>
    <s v="COGS Outside Service"/>
    <n v="-28496.55"/>
    <m/>
    <m/>
    <m/>
    <n v="-28496.55"/>
    <x v="1"/>
    <n v="-28496.55"/>
  </r>
  <r>
    <s v="5210"/>
    <s v="COGS Depreciation"/>
    <n v="0"/>
    <m/>
    <m/>
    <m/>
    <n v="0"/>
    <x v="1"/>
    <n v="0"/>
  </r>
  <r>
    <s v="6010"/>
    <s v="Payroll - Adminsitration"/>
    <n v="-11264.35"/>
    <m/>
    <m/>
    <m/>
    <n v="-11264.35"/>
    <x v="2"/>
    <n v="-11264.35"/>
  </r>
  <r>
    <s v="6011"/>
    <s v="Payroll - Sales"/>
    <n v="-18208.84"/>
    <m/>
    <m/>
    <m/>
    <n v="-18208.84"/>
    <x v="2"/>
    <n v="-18208.84"/>
  </r>
  <r>
    <s v="6012"/>
    <s v="Payroll - Parts"/>
    <n v="-6520.61"/>
    <m/>
    <m/>
    <m/>
    <n v="-6520.61"/>
    <x v="2"/>
    <n v="-6520.61"/>
  </r>
  <r>
    <s v="6013"/>
    <s v="Payroll - Trucking"/>
    <n v="-10791.96"/>
    <m/>
    <m/>
    <m/>
    <n v="-10791.96"/>
    <x v="2"/>
    <n v="-10791.96"/>
  </r>
  <r>
    <s v="6014"/>
    <s v="Payroll - Service Department"/>
    <n v="-30577.65"/>
    <m/>
    <m/>
    <m/>
    <n v="-30577.65"/>
    <x v="2"/>
    <n v="-30577.65"/>
  </r>
  <r>
    <s v="6015"/>
    <s v="Board Compensation"/>
    <n v="0"/>
    <m/>
    <m/>
    <m/>
    <n v="0"/>
    <x v="2"/>
    <n v="0"/>
  </r>
  <r>
    <s v="6016"/>
    <s v="Employee Incentives/Bonus"/>
    <n v="0"/>
    <m/>
    <m/>
    <m/>
    <n v="0"/>
    <x v="2"/>
    <n v="0"/>
  </r>
  <r>
    <s v="6017"/>
    <s v="Safety Bonus"/>
    <n v="0"/>
    <m/>
    <m/>
    <m/>
    <n v="0"/>
    <x v="2"/>
    <n v="0"/>
  </r>
  <r>
    <s v="6020"/>
    <s v="Marketing Advertising "/>
    <n v="-2604.21"/>
    <m/>
    <m/>
    <m/>
    <n v="-2604.21"/>
    <x v="3"/>
    <n v="-2604.21"/>
  </r>
  <r>
    <s v="6025"/>
    <s v="Promotions"/>
    <n v="-3927"/>
    <m/>
    <m/>
    <m/>
    <n v="-3927"/>
    <x v="3"/>
    <n v="-3927"/>
  </r>
  <r>
    <s v="6030"/>
    <s v="Cargo Insurance"/>
    <n v="0"/>
    <m/>
    <m/>
    <m/>
    <n v="0"/>
    <x v="2"/>
    <n v="0"/>
  </r>
  <r>
    <s v="6035"/>
    <s v="General Liability Insurance"/>
    <n v="-1412"/>
    <m/>
    <m/>
    <m/>
    <n v="-1412"/>
    <x v="2"/>
    <n v="-1412"/>
  </r>
  <r>
    <s v="6040"/>
    <s v="Medical-First Aid"/>
    <n v="0"/>
    <m/>
    <m/>
    <m/>
    <n v="0"/>
    <x v="2"/>
    <n v="0"/>
  </r>
  <r>
    <s v="6045"/>
    <s v="Health Insurance"/>
    <n v="-5373.69"/>
    <m/>
    <m/>
    <m/>
    <n v="-5373.69"/>
    <x v="2"/>
    <n v="-5373.69"/>
  </r>
  <r>
    <s v="6050"/>
    <s v="Officers Life Insurance"/>
    <n v="-3280.2"/>
    <m/>
    <m/>
    <m/>
    <n v="-3280.2"/>
    <x v="2"/>
    <n v="-3280.2"/>
  </r>
  <r>
    <s v="6055"/>
    <s v="Computer Technology Expenses"/>
    <n v="-1012.58"/>
    <m/>
    <m/>
    <m/>
    <n v="-1012.58"/>
    <x v="2"/>
    <n v="-1012.58"/>
  </r>
  <r>
    <s v="6060"/>
    <s v="Dues &amp; Subscriptions"/>
    <n v="-25"/>
    <m/>
    <m/>
    <m/>
    <n v="-25"/>
    <x v="2"/>
    <n v="-25"/>
  </r>
  <r>
    <s v="6065"/>
    <s v="Office Equipment Lease"/>
    <n v="-1505.33"/>
    <m/>
    <m/>
    <m/>
    <n v="-1505.33"/>
    <x v="2"/>
    <n v="-1505.33"/>
  </r>
  <r>
    <s v="6070"/>
    <s v="Professional Fees"/>
    <n v="-152.1"/>
    <m/>
    <m/>
    <m/>
    <n v="-152.1"/>
    <x v="2"/>
    <n v="-152.1"/>
  </r>
  <r>
    <s v="6075"/>
    <s v="Mileage Reimbursement"/>
    <n v="155.80000000000001"/>
    <m/>
    <m/>
    <m/>
    <n v="155.80000000000001"/>
    <x v="2"/>
    <n v="155.80000000000001"/>
  </r>
  <r>
    <s v="6080"/>
    <s v="Charitable Contributions"/>
    <n v="3313.34"/>
    <m/>
    <m/>
    <m/>
    <n v="3313.34"/>
    <x v="2"/>
    <n v="3313.34"/>
  </r>
  <r>
    <s v="6100"/>
    <s v="Bank Service Charges"/>
    <n v="-1739.43"/>
    <m/>
    <m/>
    <m/>
    <n v="-1739.43"/>
    <x v="2"/>
    <n v="-1739.43"/>
  </r>
  <r>
    <s v="6120"/>
    <s v="Interest Expense"/>
    <n v="-19780.71"/>
    <m/>
    <m/>
    <m/>
    <n v="-19780.71"/>
    <x v="4"/>
    <n v="-19780.71"/>
  </r>
  <r>
    <s v="6130"/>
    <s v="Late Fees/Finance Charges"/>
    <n v="-2149.73"/>
    <m/>
    <m/>
    <m/>
    <n v="-2149.73"/>
    <x v="2"/>
    <n v="-2149.73"/>
  </r>
  <r>
    <s v="6140"/>
    <s v="Loan Fees"/>
    <n v="0"/>
    <m/>
    <m/>
    <m/>
    <n v="0"/>
    <x v="2"/>
    <n v="0"/>
  </r>
  <r>
    <s v="6145"/>
    <s v="Office Supplies"/>
    <n v="-198.31"/>
    <m/>
    <m/>
    <m/>
    <n v="-198.31"/>
    <x v="5"/>
    <n v="-198.31"/>
  </r>
  <r>
    <s v="6150"/>
    <s v="Accounting Outside Services"/>
    <n v="-937.5"/>
    <m/>
    <m/>
    <m/>
    <n v="-937.5"/>
    <x v="2"/>
    <n v="-937.5"/>
  </r>
  <r>
    <s v="6160"/>
    <s v="Legal"/>
    <n v="-9393"/>
    <m/>
    <m/>
    <m/>
    <n v="-9393"/>
    <x v="2"/>
    <n v="-9393"/>
  </r>
  <r>
    <s v="6165"/>
    <s v="Postage"/>
    <n v="0"/>
    <m/>
    <m/>
    <m/>
    <n v="0"/>
    <x v="2"/>
    <n v="0"/>
  </r>
  <r>
    <s v="6170"/>
    <s v="Continuting Education"/>
    <n v="0"/>
    <m/>
    <m/>
    <m/>
    <n v="0"/>
    <x v="2"/>
    <n v="0"/>
  </r>
  <r>
    <s v="6180"/>
    <s v="Admin Misc. Expenses"/>
    <n v="-112.51"/>
    <m/>
    <m/>
    <m/>
    <n v="-112.51"/>
    <x v="2"/>
    <n v="-112.51"/>
  </r>
  <r>
    <s v="6190"/>
    <s v="Bad Debt"/>
    <n v="0"/>
    <m/>
    <m/>
    <m/>
    <n v="0"/>
    <x v="2"/>
    <n v="0"/>
  </r>
  <r>
    <s v="6200"/>
    <s v="Meals &amp; Entertainment"/>
    <n v="-21.21"/>
    <m/>
    <m/>
    <m/>
    <n v="-21.21"/>
    <x v="2"/>
    <n v="-21.21"/>
  </r>
  <r>
    <s v="6210"/>
    <s v="Rental (vehicle) Exp"/>
    <n v="0"/>
    <m/>
    <m/>
    <m/>
    <n v="0"/>
    <x v="2"/>
    <n v="0"/>
  </r>
  <r>
    <s v="6220"/>
    <s v="Per Diem"/>
    <n v="-2392"/>
    <m/>
    <m/>
    <m/>
    <n v="-2392"/>
    <x v="2"/>
    <n v="-2392"/>
  </r>
  <r>
    <s v="6230"/>
    <s v="Airfare"/>
    <n v="-25"/>
    <m/>
    <m/>
    <m/>
    <n v="-25"/>
    <x v="2"/>
    <n v="-25"/>
  </r>
  <r>
    <s v="6240"/>
    <s v="Lodging"/>
    <n v="-3185.23"/>
    <m/>
    <m/>
    <m/>
    <n v="-3185.23"/>
    <x v="2"/>
    <n v="-3185.23"/>
  </r>
  <r>
    <s v="6250"/>
    <s v="Other Travel Expenses"/>
    <n v="-809.61"/>
    <m/>
    <m/>
    <m/>
    <n v="-809.61"/>
    <x v="2"/>
    <n v="-809.61"/>
  </r>
  <r>
    <s v="6300"/>
    <s v="Fees &amp; Permits"/>
    <n v="-53.5"/>
    <m/>
    <m/>
    <m/>
    <n v="-53.5"/>
    <x v="2"/>
    <n v="-53.5"/>
  </r>
  <r>
    <s v="6310"/>
    <s v="Shop Supplies"/>
    <n v="-3038.77"/>
    <m/>
    <m/>
    <m/>
    <n v="-3038.77"/>
    <x v="2"/>
    <n v="-3038.77"/>
  </r>
  <r>
    <s v="6320"/>
    <s v="Cylinder Rental "/>
    <n v="0"/>
    <m/>
    <m/>
    <m/>
    <n v="0"/>
    <x v="2"/>
    <n v="0"/>
  </r>
  <r>
    <s v="6330"/>
    <s v="Equipment Rental/Lease"/>
    <n v="-57"/>
    <m/>
    <m/>
    <m/>
    <n v="-57"/>
    <x v="2"/>
    <n v="-57"/>
  </r>
  <r>
    <s v="6335"/>
    <s v="Trade Show Expenses"/>
    <n v="0"/>
    <m/>
    <m/>
    <m/>
    <n v="0"/>
    <x v="2"/>
    <n v="0"/>
  </r>
  <r>
    <s v="6340"/>
    <s v="Outside Contractor"/>
    <n v="0"/>
    <m/>
    <m/>
    <m/>
    <n v="0"/>
    <x v="2"/>
    <n v="0"/>
  </r>
  <r>
    <s v="6400"/>
    <s v="Building Rental Expenses"/>
    <n v="-9800"/>
    <m/>
    <m/>
    <m/>
    <n v="-9800"/>
    <x v="2"/>
    <n v="-9800"/>
  </r>
  <r>
    <s v="6410"/>
    <s v="Property Taxes"/>
    <n v="0"/>
    <m/>
    <m/>
    <m/>
    <n v="0"/>
    <x v="5"/>
    <n v="0"/>
  </r>
  <r>
    <s v="6420"/>
    <s v="Utilities"/>
    <n v="-166.93"/>
    <m/>
    <m/>
    <m/>
    <n v="-166.93"/>
    <x v="2"/>
    <n v="-166.93"/>
  </r>
  <r>
    <s v="6440"/>
    <s v="Building &amp; Grounds Maintenance"/>
    <n v="-100"/>
    <m/>
    <m/>
    <m/>
    <n v="-100"/>
    <x v="2"/>
    <n v="-100"/>
  </r>
  <r>
    <s v="6450"/>
    <s v="Security"/>
    <n v="-114.32"/>
    <m/>
    <m/>
    <m/>
    <n v="-114.32"/>
    <x v="2"/>
    <n v="-114.32"/>
  </r>
  <r>
    <s v="6460"/>
    <s v="Pest Control"/>
    <n v="-51"/>
    <m/>
    <m/>
    <m/>
    <n v="-51"/>
    <x v="2"/>
    <n v="-51"/>
  </r>
  <r>
    <s v="6470"/>
    <s v="Janitorial Expense"/>
    <n v="-487.91"/>
    <m/>
    <m/>
    <m/>
    <n v="-487.91"/>
    <x v="2"/>
    <n v="-487.91"/>
  </r>
  <r>
    <s v="6510"/>
    <s v="Fuel Expense"/>
    <n v="-15192.53"/>
    <m/>
    <m/>
    <m/>
    <n v="-15192.53"/>
    <x v="2"/>
    <n v="-15192.53"/>
  </r>
  <r>
    <s v="6520"/>
    <s v="Vehicle Maint &amp; Repair"/>
    <n v="-668.55"/>
    <m/>
    <m/>
    <m/>
    <n v="-668.55"/>
    <x v="2"/>
    <n v="-668.55"/>
  </r>
  <r>
    <s v="6521"/>
    <s v="Equipment Maintanence &amp; Repair"/>
    <n v="-97.1"/>
    <m/>
    <m/>
    <m/>
    <n v="-97.1"/>
    <x v="2"/>
    <n v="-97.1"/>
  </r>
  <r>
    <s v="6530"/>
    <s v="DMV Fees"/>
    <n v="-2249.64"/>
    <m/>
    <m/>
    <m/>
    <n v="-2249.64"/>
    <x v="2"/>
    <n v="-2249.64"/>
  </r>
  <r>
    <s v="6540"/>
    <s v="Trucking Fees &amp; Permits"/>
    <n v="-3541.7"/>
    <m/>
    <m/>
    <m/>
    <n v="-3541.7"/>
    <x v="2"/>
    <n v="-3541.7"/>
  </r>
  <r>
    <s v="6550"/>
    <s v="Outside Services  "/>
    <n v="302.7"/>
    <m/>
    <m/>
    <m/>
    <n v="302.7"/>
    <x v="2"/>
    <n v="302.7"/>
  </r>
  <r>
    <s v="6560"/>
    <s v="Trucking Department - Other Expenses"/>
    <n v="-1261.9100000000001"/>
    <m/>
    <m/>
    <m/>
    <n v="-1261.9100000000001"/>
    <x v="2"/>
    <n v="-1261.9100000000001"/>
  </r>
  <r>
    <s v="6570"/>
    <s v="Outside Hauling"/>
    <n v="-31136"/>
    <m/>
    <m/>
    <m/>
    <n v="-31136"/>
    <x v="2"/>
    <n v="-31136"/>
  </r>
  <r>
    <s v="7000"/>
    <s v="Gain on Sale of Assets"/>
    <n v="0"/>
    <m/>
    <m/>
    <m/>
    <n v="0"/>
    <x v="6"/>
    <n v="0"/>
  </r>
  <r>
    <s v="7100"/>
    <s v="Other Income"/>
    <n v="0"/>
    <m/>
    <m/>
    <m/>
    <n v="0"/>
    <x v="0"/>
    <n v="0"/>
  </r>
  <r>
    <s v="7200"/>
    <s v="Interest Income"/>
    <n v="0"/>
    <m/>
    <m/>
    <m/>
    <n v="0"/>
    <x v="0"/>
    <n v="0"/>
  </r>
  <r>
    <s v="8000"/>
    <s v="Loss on Sales of Assets"/>
    <n v="0"/>
    <m/>
    <m/>
    <m/>
    <n v="0"/>
    <x v="6"/>
    <n v="0"/>
  </r>
  <r>
    <s v="8001"/>
    <s v="Loss on Stock to Debt Reduction"/>
    <n v="0"/>
    <m/>
    <m/>
    <m/>
    <n v="0"/>
    <x v="6"/>
    <n v="0"/>
  </r>
  <r>
    <s v="8010"/>
    <s v="Discount Taken"/>
    <n v="-416.94"/>
    <m/>
    <m/>
    <m/>
    <n v="-416.94"/>
    <x v="2"/>
    <n v="-416.94"/>
  </r>
  <r>
    <s v="8020"/>
    <s v="Legal Settlement"/>
    <n v="0"/>
    <m/>
    <m/>
    <m/>
    <n v="0"/>
    <x v="2"/>
    <n v="0"/>
  </r>
  <r>
    <s v="8100"/>
    <s v="Depreciation Expense"/>
    <n v="-77388.39"/>
    <m/>
    <m/>
    <m/>
    <n v="-77388.39"/>
    <x v="7"/>
    <n v="-77388.39"/>
  </r>
  <r>
    <s v="8200"/>
    <s v="Non-Deductible Expenses"/>
    <n v="0"/>
    <m/>
    <m/>
    <m/>
    <n v="0"/>
    <x v="2"/>
    <n v="0"/>
  </r>
  <r>
    <s v="8300"/>
    <s v="State Income Tax Expense"/>
    <n v="-7250"/>
    <m/>
    <m/>
    <m/>
    <n v="-7250"/>
    <x v="5"/>
    <n v="-7250"/>
  </r>
  <r>
    <s v="8400"/>
    <s v="Federal Income Tax Expense"/>
    <n v="0"/>
    <m/>
    <m/>
    <m/>
    <n v="0"/>
    <x v="5"/>
    <n v="0"/>
  </r>
  <r>
    <s v="8500"/>
    <s v="Heavy Haul Vehicle Tax (IRS)"/>
    <n v="0"/>
    <m/>
    <m/>
    <m/>
    <n v="0"/>
    <x v="5"/>
    <n v="0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count="98">
  <r>
    <s v="4000"/>
    <s v="Rental - Income"/>
    <n v="-10830"/>
    <m/>
    <m/>
    <m/>
    <n v="-10830"/>
    <x v="0"/>
    <n v="-10830"/>
  </r>
  <r>
    <s v="4010"/>
    <s v="Labor Revenue"/>
    <n v="12585.02"/>
    <m/>
    <m/>
    <m/>
    <n v="12585.02"/>
    <x v="0"/>
    <n v="12585.02"/>
  </r>
  <r>
    <s v="4020"/>
    <s v="Discounts Earned"/>
    <n v="0"/>
    <m/>
    <m/>
    <m/>
    <n v="0"/>
    <x v="0"/>
    <n v="0"/>
  </r>
  <r>
    <s v="4030"/>
    <s v="Hauling Revenue"/>
    <n v="4385"/>
    <m/>
    <m/>
    <m/>
    <n v="4385"/>
    <x v="0"/>
    <n v="4385"/>
  </r>
  <r>
    <s v="4050"/>
    <s v="Consignment Sales - Joint Venture"/>
    <n v="0"/>
    <m/>
    <m/>
    <n v="0"/>
    <n v="0"/>
    <x v="0"/>
    <n v="0"/>
  </r>
  <r>
    <s v="4060"/>
    <s v="Sales of Equipment"/>
    <n v="1839068"/>
    <m/>
    <m/>
    <m/>
    <n v="1839068"/>
    <x v="0"/>
    <n v="1839068"/>
  </r>
  <r>
    <s v="4070"/>
    <s v="Attachment Sales"/>
    <n v="24500"/>
    <m/>
    <m/>
    <m/>
    <n v="24500"/>
    <x v="0"/>
    <n v="24500"/>
  </r>
  <r>
    <s v="4080"/>
    <s v="Scrap Sales"/>
    <n v="5442.1"/>
    <m/>
    <m/>
    <m/>
    <n v="5442.1"/>
    <x v="0"/>
    <n v="5442.1"/>
  </r>
  <r>
    <s v="4100"/>
    <s v="Parts Sales"/>
    <n v="86472.07"/>
    <m/>
    <m/>
    <m/>
    <n v="86472.07"/>
    <x v="0"/>
    <n v="86472.07"/>
  </r>
  <r>
    <s v="4110"/>
    <s v="Parts Department Special Orders"/>
    <n v="0"/>
    <m/>
    <m/>
    <m/>
    <n v="0"/>
    <x v="0"/>
    <n v="0"/>
  </r>
  <r>
    <s v="4120"/>
    <s v="Parts Department Freight"/>
    <n v="6703.76"/>
    <m/>
    <m/>
    <m/>
    <n v="6703.76"/>
    <x v="0"/>
    <n v="6703.76"/>
  </r>
  <r>
    <s v="4150"/>
    <s v="Finance Charge Income"/>
    <n v="0"/>
    <m/>
    <m/>
    <m/>
    <n v="0"/>
    <x v="0"/>
    <n v="0"/>
  </r>
  <r>
    <s v="4160"/>
    <s v="Outside Services Billed to Customer"/>
    <n v="650"/>
    <m/>
    <m/>
    <m/>
    <n v="650"/>
    <x v="0"/>
    <n v="650"/>
  </r>
  <r>
    <s v="4180"/>
    <s v="Credit Card Fees"/>
    <n v="0"/>
    <m/>
    <m/>
    <m/>
    <n v="0"/>
    <x v="0"/>
    <n v="0"/>
  </r>
  <r>
    <s v="5000"/>
    <s v="COGS Equipment"/>
    <n v="-1170725.6000000001"/>
    <m/>
    <m/>
    <m/>
    <n v="-1170725.6000000001"/>
    <x v="1"/>
    <n v="-1170725.6000000001"/>
  </r>
  <r>
    <s v="50000"/>
    <s v="Cost of Goods Sold"/>
    <n v="0"/>
    <m/>
    <m/>
    <m/>
    <n v="0"/>
    <x v="1"/>
    <n v="0"/>
  </r>
  <r>
    <s v="5010"/>
    <s v="COGS Attachments"/>
    <n v="-21500"/>
    <m/>
    <m/>
    <m/>
    <n v="-21500"/>
    <x v="1"/>
    <n v="-21500"/>
  </r>
  <r>
    <s v="5020"/>
    <s v="COGS Parts"/>
    <n v="-92474.89"/>
    <m/>
    <m/>
    <m/>
    <n v="-92474.89"/>
    <x v="1"/>
    <n v="-92474.89"/>
  </r>
  <r>
    <s v="5030"/>
    <s v="COGS Joint Venture"/>
    <n v="0"/>
    <m/>
    <m/>
    <m/>
    <n v="0"/>
    <x v="1"/>
    <n v="0"/>
  </r>
  <r>
    <s v="5050"/>
    <s v="COGS Special Order Parts"/>
    <n v="-24.2"/>
    <m/>
    <m/>
    <m/>
    <n v="-24.2"/>
    <x v="1"/>
    <n v="-24.2"/>
  </r>
  <r>
    <s v="5060"/>
    <s v="COGS Haulting"/>
    <n v="-482.16"/>
    <m/>
    <m/>
    <m/>
    <n v="-482.16"/>
    <x v="1"/>
    <n v="-482.16"/>
  </r>
  <r>
    <s v="5070"/>
    <s v="COGS Frieght"/>
    <n v="-6471.12"/>
    <m/>
    <m/>
    <m/>
    <n v="-6471.12"/>
    <x v="1"/>
    <n v="-6471.12"/>
  </r>
  <r>
    <s v="5090"/>
    <s v="COGS Paint"/>
    <n v="-1066.04"/>
    <m/>
    <m/>
    <m/>
    <n v="-1066.04"/>
    <x v="1"/>
    <n v="-1066.04"/>
  </r>
  <r>
    <s v="5100"/>
    <s v="Pilot Cars"/>
    <n v="0"/>
    <m/>
    <m/>
    <m/>
    <n v="0"/>
    <x v="1"/>
    <n v="0"/>
  </r>
  <r>
    <s v="5110"/>
    <s v="Commission"/>
    <n v="-43500"/>
    <m/>
    <m/>
    <m/>
    <n v="-43500"/>
    <x v="1"/>
    <n v="-43500"/>
  </r>
  <r>
    <s v="5120"/>
    <s v="COGS Outside Service"/>
    <n v="-38683.25"/>
    <m/>
    <m/>
    <m/>
    <n v="-38683.25"/>
    <x v="1"/>
    <n v="-38683.25"/>
  </r>
  <r>
    <s v="5210"/>
    <s v="COGS Depreciation"/>
    <n v="0"/>
    <m/>
    <m/>
    <m/>
    <n v="0"/>
    <x v="1"/>
    <n v="0"/>
  </r>
  <r>
    <s v="6010"/>
    <s v="Payroll - Adminsitration"/>
    <n v="-13695.88"/>
    <m/>
    <m/>
    <m/>
    <n v="-13695.88"/>
    <x v="2"/>
    <n v="-13695.88"/>
  </r>
  <r>
    <s v="6011"/>
    <s v="Payroll - Sales"/>
    <n v="-28441.05"/>
    <m/>
    <m/>
    <m/>
    <n v="-28441.05"/>
    <x v="2"/>
    <n v="-28441.05"/>
  </r>
  <r>
    <s v="6012"/>
    <s v="Payroll - Parts"/>
    <n v="-7058.04"/>
    <m/>
    <m/>
    <m/>
    <n v="-7058.04"/>
    <x v="2"/>
    <n v="-7058.04"/>
  </r>
  <r>
    <s v="6013"/>
    <s v="Payroll - Trucking"/>
    <n v="-18239.12"/>
    <m/>
    <m/>
    <m/>
    <n v="-18239.12"/>
    <x v="2"/>
    <n v="-18239.12"/>
  </r>
  <r>
    <s v="6014"/>
    <s v="Payroll - Service Department"/>
    <n v="-36284.629999999997"/>
    <m/>
    <m/>
    <m/>
    <n v="-36284.629999999997"/>
    <x v="2"/>
    <n v="-36284.629999999997"/>
  </r>
  <r>
    <s v="6015"/>
    <s v="Board Compensation"/>
    <n v="0"/>
    <m/>
    <m/>
    <m/>
    <n v="0"/>
    <x v="2"/>
    <n v="0"/>
  </r>
  <r>
    <s v="6016"/>
    <s v="Employee Incentives/Bonus"/>
    <n v="0"/>
    <m/>
    <m/>
    <m/>
    <n v="0"/>
    <x v="2"/>
    <n v="0"/>
  </r>
  <r>
    <s v="6017"/>
    <s v="Safety Bonus"/>
    <n v="0"/>
    <m/>
    <m/>
    <m/>
    <n v="0"/>
    <x v="2"/>
    <n v="0"/>
  </r>
  <r>
    <s v="6020"/>
    <s v="Marketing Advertising "/>
    <n v="-2329"/>
    <m/>
    <m/>
    <m/>
    <n v="-2329"/>
    <x v="3"/>
    <n v="-2329"/>
  </r>
  <r>
    <s v="6025"/>
    <s v="Promotions"/>
    <n v="-5022.6000000000004"/>
    <m/>
    <m/>
    <m/>
    <n v="-5022.6000000000004"/>
    <x v="3"/>
    <n v="-5022.6000000000004"/>
  </r>
  <r>
    <s v="6030"/>
    <s v="Cargo Insurance"/>
    <n v="0"/>
    <m/>
    <m/>
    <m/>
    <n v="0"/>
    <x v="2"/>
    <n v="0"/>
  </r>
  <r>
    <s v="6035"/>
    <s v="General Liability Insurance"/>
    <n v="-5407.33"/>
    <m/>
    <m/>
    <m/>
    <n v="-5407.33"/>
    <x v="2"/>
    <n v="-5407.33"/>
  </r>
  <r>
    <s v="6040"/>
    <s v="Medical-First Aid"/>
    <n v="0"/>
    <m/>
    <m/>
    <m/>
    <n v="0"/>
    <x v="2"/>
    <n v="0"/>
  </r>
  <r>
    <s v="6045"/>
    <s v="Health Insurance"/>
    <n v="-6017.82"/>
    <m/>
    <m/>
    <m/>
    <n v="-6017.82"/>
    <x v="2"/>
    <n v="-6017.82"/>
  </r>
  <r>
    <s v="6050"/>
    <s v="Officers Life Insurance"/>
    <n v="-3280.2"/>
    <m/>
    <m/>
    <m/>
    <n v="-3280.2"/>
    <x v="2"/>
    <n v="-3280.2"/>
  </r>
  <r>
    <s v="6055"/>
    <s v="Computer Technology Expenses"/>
    <n v="0"/>
    <m/>
    <m/>
    <m/>
    <n v="0"/>
    <x v="2"/>
    <n v="0"/>
  </r>
  <r>
    <s v="6060"/>
    <s v="Dues &amp; Subscriptions"/>
    <n v="-25"/>
    <m/>
    <m/>
    <m/>
    <n v="-25"/>
    <x v="2"/>
    <n v="-25"/>
  </r>
  <r>
    <s v="6065"/>
    <s v="Office Equipment Lease"/>
    <n v="-1334.26"/>
    <m/>
    <m/>
    <m/>
    <n v="-1334.26"/>
    <x v="2"/>
    <n v="-1334.26"/>
  </r>
  <r>
    <s v="6070"/>
    <s v="Professional Fees"/>
    <n v="-184.68"/>
    <m/>
    <m/>
    <m/>
    <n v="-184.68"/>
    <x v="2"/>
    <n v="-184.68"/>
  </r>
  <r>
    <s v="6075"/>
    <s v="Mileage Reimbursement"/>
    <n v="172"/>
    <m/>
    <m/>
    <m/>
    <n v="172"/>
    <x v="2"/>
    <n v="172"/>
  </r>
  <r>
    <s v="6080"/>
    <s v="Charitable Contributions"/>
    <n v="0"/>
    <m/>
    <m/>
    <m/>
    <n v="0"/>
    <x v="2"/>
    <n v="0"/>
  </r>
  <r>
    <s v="6100"/>
    <s v="Bank Service Charges"/>
    <n v="-279.7"/>
    <m/>
    <m/>
    <m/>
    <n v="-279.7"/>
    <x v="2"/>
    <n v="-279.7"/>
  </r>
  <r>
    <s v="6120"/>
    <s v="Interest Expense"/>
    <n v="-53884.94"/>
    <m/>
    <m/>
    <m/>
    <n v="-53884.94"/>
    <x v="4"/>
    <n v="-53884.94"/>
  </r>
  <r>
    <s v="6130"/>
    <s v="Late Fees/Finance Charges"/>
    <n v="-1614.08"/>
    <m/>
    <m/>
    <m/>
    <n v="-1614.08"/>
    <x v="2"/>
    <n v="-1614.08"/>
  </r>
  <r>
    <s v="6140"/>
    <s v="Loan Fees"/>
    <n v="-46723.82"/>
    <m/>
    <m/>
    <m/>
    <n v="-46723.82"/>
    <x v="2"/>
    <n v="-46723.82"/>
  </r>
  <r>
    <s v="6145"/>
    <s v="Office Supplies"/>
    <n v="-851.8"/>
    <m/>
    <m/>
    <m/>
    <n v="-851.8"/>
    <x v="5"/>
    <n v="-851.8"/>
  </r>
  <r>
    <s v="6150"/>
    <s v="Accounting Outside Services"/>
    <n v="-1256.25"/>
    <m/>
    <m/>
    <m/>
    <n v="-1256.25"/>
    <x v="2"/>
    <n v="-1256.25"/>
  </r>
  <r>
    <s v="6160"/>
    <s v="Legal"/>
    <n v="-2110.9299999999998"/>
    <m/>
    <m/>
    <m/>
    <n v="-2110.9299999999998"/>
    <x v="2"/>
    <n v="-2110.9299999999998"/>
  </r>
  <r>
    <s v="6165"/>
    <s v="Postage"/>
    <n v="0"/>
    <m/>
    <m/>
    <m/>
    <n v="0"/>
    <x v="2"/>
    <n v="0"/>
  </r>
  <r>
    <s v="6170"/>
    <s v="Continuting Education"/>
    <n v="-900"/>
    <m/>
    <m/>
    <m/>
    <n v="-900"/>
    <x v="2"/>
    <n v="-900"/>
  </r>
  <r>
    <s v="6180"/>
    <s v="Admin Misc. Expenses"/>
    <n v="-30"/>
    <m/>
    <m/>
    <m/>
    <n v="-30"/>
    <x v="2"/>
    <n v="-30"/>
  </r>
  <r>
    <s v="6190"/>
    <s v="Bad Debt"/>
    <n v="0"/>
    <m/>
    <m/>
    <m/>
    <n v="0"/>
    <x v="2"/>
    <n v="0"/>
  </r>
  <r>
    <s v="6200"/>
    <s v="Meals &amp; Entertainment"/>
    <n v="-257.87"/>
    <m/>
    <m/>
    <m/>
    <n v="-257.87"/>
    <x v="2"/>
    <n v="-257.87"/>
  </r>
  <r>
    <s v="6210"/>
    <s v="Rental (vehicle) Exp"/>
    <n v="-1050.4100000000001"/>
    <m/>
    <m/>
    <m/>
    <n v="-1050.4100000000001"/>
    <x v="2"/>
    <n v="-1050.4100000000001"/>
  </r>
  <r>
    <s v="6220"/>
    <s v="Per Diem"/>
    <n v="-2756"/>
    <m/>
    <m/>
    <m/>
    <n v="-2756"/>
    <x v="2"/>
    <n v="-2756"/>
  </r>
  <r>
    <s v="6230"/>
    <s v="Airfare"/>
    <n v="349.86"/>
    <m/>
    <m/>
    <m/>
    <n v="349.86"/>
    <x v="2"/>
    <n v="349.86"/>
  </r>
  <r>
    <s v="6240"/>
    <s v="Lodging"/>
    <n v="-3054.43"/>
    <m/>
    <m/>
    <m/>
    <n v="-3054.43"/>
    <x v="2"/>
    <n v="-3054.43"/>
  </r>
  <r>
    <s v="6250"/>
    <s v="Other Travel Expenses"/>
    <n v="-16.809999999999999"/>
    <m/>
    <m/>
    <m/>
    <n v="-16.809999999999999"/>
    <x v="2"/>
    <n v="-16.809999999999999"/>
  </r>
  <r>
    <s v="6300"/>
    <s v="Fees &amp; Permits"/>
    <n v="-35"/>
    <m/>
    <m/>
    <m/>
    <n v="-35"/>
    <x v="2"/>
    <n v="-35"/>
  </r>
  <r>
    <s v="6310"/>
    <s v="Shop Supplies"/>
    <n v="-3917.12"/>
    <m/>
    <m/>
    <m/>
    <n v="-3917.12"/>
    <x v="2"/>
    <n v="-3917.12"/>
  </r>
  <r>
    <s v="6320"/>
    <s v="Cylinder Rental "/>
    <n v="0"/>
    <m/>
    <m/>
    <m/>
    <n v="0"/>
    <x v="2"/>
    <n v="0"/>
  </r>
  <r>
    <s v="6330"/>
    <s v="Equipment Rental/Lease"/>
    <n v="-57"/>
    <m/>
    <m/>
    <m/>
    <n v="-57"/>
    <x v="2"/>
    <n v="-57"/>
  </r>
  <r>
    <s v="6335"/>
    <s v="Trade Show Expenses"/>
    <n v="-118.52"/>
    <m/>
    <m/>
    <m/>
    <n v="-118.52"/>
    <x v="2"/>
    <n v="-118.52"/>
  </r>
  <r>
    <s v="6340"/>
    <s v="Outside Contractor"/>
    <n v="0"/>
    <m/>
    <m/>
    <m/>
    <n v="0"/>
    <x v="2"/>
    <n v="0"/>
  </r>
  <r>
    <s v="6400"/>
    <s v="Building Rental Expenses"/>
    <n v="-19600"/>
    <m/>
    <m/>
    <m/>
    <n v="-19600"/>
    <x v="2"/>
    <n v="-19600"/>
  </r>
  <r>
    <s v="6410"/>
    <s v="Property Taxes"/>
    <n v="0"/>
    <m/>
    <m/>
    <m/>
    <n v="0"/>
    <x v="5"/>
    <n v="0"/>
  </r>
  <r>
    <s v="6420"/>
    <s v="Utilities"/>
    <n v="-1077.3399999999999"/>
    <m/>
    <m/>
    <m/>
    <n v="-1077.3399999999999"/>
    <x v="2"/>
    <n v="-1077.3399999999999"/>
  </r>
  <r>
    <s v="6440"/>
    <s v="Building &amp; Grounds Maintenance"/>
    <n v="-10300"/>
    <m/>
    <m/>
    <m/>
    <n v="-10300"/>
    <x v="2"/>
    <n v="-10300"/>
  </r>
  <r>
    <s v="6450"/>
    <s v="Security"/>
    <n v="-68.28"/>
    <m/>
    <m/>
    <m/>
    <n v="-68.28"/>
    <x v="2"/>
    <n v="-68.28"/>
  </r>
  <r>
    <s v="6460"/>
    <s v="Pest Control"/>
    <n v="-51"/>
    <m/>
    <m/>
    <m/>
    <n v="-51"/>
    <x v="2"/>
    <n v="-51"/>
  </r>
  <r>
    <s v="6470"/>
    <s v="Janitorial Expense"/>
    <n v="-1079.28"/>
    <m/>
    <m/>
    <m/>
    <n v="-1079.28"/>
    <x v="2"/>
    <n v="-1079.28"/>
  </r>
  <r>
    <s v="6510"/>
    <s v="Fuel Expense"/>
    <n v="-16060.17"/>
    <m/>
    <m/>
    <m/>
    <n v="-16060.17"/>
    <x v="2"/>
    <n v="-16060.17"/>
  </r>
  <r>
    <s v="6520"/>
    <s v="Vehicle Maint &amp; Repair"/>
    <n v="-1586.51"/>
    <m/>
    <m/>
    <m/>
    <n v="-1586.51"/>
    <x v="2"/>
    <n v="-1586.51"/>
  </r>
  <r>
    <s v="6521"/>
    <s v="Equipment Maintanence &amp; Repair"/>
    <n v="-127.5"/>
    <m/>
    <m/>
    <m/>
    <n v="-127.5"/>
    <x v="2"/>
    <n v="-127.5"/>
  </r>
  <r>
    <s v="6530"/>
    <s v="DMV Fees"/>
    <n v="-1058"/>
    <m/>
    <m/>
    <m/>
    <n v="-1058"/>
    <x v="2"/>
    <n v="-1058"/>
  </r>
  <r>
    <s v="6540"/>
    <s v="Trucking Fees &amp; Permits"/>
    <n v="-1707.63"/>
    <m/>
    <m/>
    <m/>
    <n v="-1707.63"/>
    <x v="2"/>
    <n v="-1707.63"/>
  </r>
  <r>
    <s v="6550"/>
    <s v="Outside Services  "/>
    <n v="-220.14"/>
    <m/>
    <m/>
    <m/>
    <n v="-220.14"/>
    <x v="2"/>
    <n v="-220.14"/>
  </r>
  <r>
    <s v="6560"/>
    <s v="Trucking Department - Other Expenses"/>
    <n v="-1341.3"/>
    <m/>
    <m/>
    <m/>
    <n v="-1341.3"/>
    <x v="2"/>
    <n v="-1341.3"/>
  </r>
  <r>
    <s v="6570"/>
    <s v="Outside Hauling"/>
    <n v="-14325"/>
    <m/>
    <m/>
    <m/>
    <n v="-14325"/>
    <x v="2"/>
    <n v="-14325"/>
  </r>
  <r>
    <s v="7000"/>
    <s v="Gain on Sale of Assets"/>
    <n v="0"/>
    <m/>
    <m/>
    <m/>
    <n v="0"/>
    <x v="6"/>
    <n v="0"/>
  </r>
  <r>
    <s v="7100"/>
    <s v="Other Income"/>
    <n v="0"/>
    <m/>
    <m/>
    <m/>
    <n v="0"/>
    <x v="0"/>
    <n v="0"/>
  </r>
  <r>
    <s v="7200"/>
    <s v="Interest Income"/>
    <n v="0"/>
    <m/>
    <m/>
    <m/>
    <n v="0"/>
    <x v="0"/>
    <n v="0"/>
  </r>
  <r>
    <s v="8000"/>
    <s v="Loss on Sales of Assets"/>
    <n v="0"/>
    <m/>
    <m/>
    <m/>
    <n v="0"/>
    <x v="6"/>
    <n v="0"/>
  </r>
  <r>
    <s v="8001"/>
    <s v="Loss on Stock to Debt Reduction"/>
    <n v="0"/>
    <m/>
    <m/>
    <m/>
    <n v="0"/>
    <x v="6"/>
    <n v="0"/>
  </r>
  <r>
    <s v="8010"/>
    <s v="Discount Taken"/>
    <n v="-422.27"/>
    <m/>
    <m/>
    <m/>
    <n v="-422.27"/>
    <x v="2"/>
    <n v="-422.27"/>
  </r>
  <r>
    <s v="8020"/>
    <s v="Legal Settlement"/>
    <n v="0"/>
    <m/>
    <m/>
    <m/>
    <n v="0"/>
    <x v="2"/>
    <n v="0"/>
  </r>
  <r>
    <s v="8100"/>
    <s v="Depreciation Expense"/>
    <n v="-77388.39"/>
    <m/>
    <m/>
    <m/>
    <n v="-77388.39"/>
    <x v="7"/>
    <n v="-77388.39"/>
  </r>
  <r>
    <s v="8200"/>
    <s v="Non-Deductible Expenses"/>
    <n v="0"/>
    <m/>
    <m/>
    <m/>
    <n v="0"/>
    <x v="2"/>
    <n v="0"/>
  </r>
  <r>
    <s v="8300"/>
    <s v="State Income Tax Expense"/>
    <n v="-7250"/>
    <m/>
    <m/>
    <m/>
    <n v="-7250"/>
    <x v="5"/>
    <n v="-7250"/>
  </r>
  <r>
    <s v="8400"/>
    <s v="Federal Income Tax Expense"/>
    <n v="0"/>
    <m/>
    <m/>
    <m/>
    <n v="0"/>
    <x v="5"/>
    <n v="0"/>
  </r>
  <r>
    <s v="8500"/>
    <s v="Heavy Haul Vehicle Tax (IRS)"/>
    <n v="0"/>
    <m/>
    <m/>
    <m/>
    <n v="0"/>
    <x v="5"/>
    <n v="0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count="140">
  <r>
    <s v="40000"/>
    <s v="Retail-Monthly Subscriptions"/>
    <m/>
    <m/>
    <m/>
    <m/>
    <m/>
    <m/>
    <n v="0"/>
    <x v="0"/>
    <n v="0"/>
  </r>
  <r>
    <s v="40001"/>
    <s v="Retail - Other accounts"/>
    <m/>
    <m/>
    <m/>
    <m/>
    <m/>
    <m/>
    <n v="0"/>
    <x v="0"/>
    <n v="0"/>
  </r>
  <r>
    <s v="40200"/>
    <s v="Retail-Set-Up Fees"/>
    <m/>
    <m/>
    <m/>
    <m/>
    <m/>
    <m/>
    <n v="0"/>
    <x v="0"/>
    <n v="0"/>
  </r>
  <r>
    <s v="40400"/>
    <s v="Retail-Other Income"/>
    <m/>
    <m/>
    <m/>
    <m/>
    <m/>
    <m/>
    <n v="0"/>
    <x v="0"/>
    <n v="0"/>
  </r>
  <r>
    <s v="40600"/>
    <s v="Rural Market- Monthly Subscrip"/>
    <m/>
    <m/>
    <m/>
    <m/>
    <m/>
    <m/>
    <n v="0"/>
    <x v="0"/>
    <n v="0"/>
  </r>
  <r>
    <s v="46500"/>
    <s v="Intercompany transfer of assets (Sales)"/>
    <m/>
    <m/>
    <m/>
    <m/>
    <m/>
    <n v="0"/>
    <n v="0"/>
    <x v="0"/>
    <n v="0"/>
  </r>
  <r>
    <s v="40601"/>
    <s v="Rural Market- Equipment Sales"/>
    <m/>
    <m/>
    <m/>
    <m/>
    <m/>
    <m/>
    <n v="0"/>
    <x v="0"/>
    <n v="0"/>
  </r>
  <r>
    <s v="40602"/>
    <s v="Rural Market-Set Up Fees"/>
    <m/>
    <m/>
    <m/>
    <m/>
    <m/>
    <m/>
    <n v="0"/>
    <x v="0"/>
    <n v="0"/>
  </r>
  <r>
    <s v="40603"/>
    <s v="Rural Market-Other Income"/>
    <m/>
    <m/>
    <m/>
    <m/>
    <m/>
    <m/>
    <n v="0"/>
    <x v="0"/>
    <n v="0"/>
  </r>
  <r>
    <s v="40604"/>
    <s v="Rural Market - T-Mobile"/>
    <m/>
    <m/>
    <m/>
    <m/>
    <m/>
    <m/>
    <n v="0"/>
    <x v="0"/>
    <n v="0"/>
  </r>
  <r>
    <s v="40800"/>
    <s v="Business Sys  - Monthly Subscr"/>
    <m/>
    <m/>
    <m/>
    <m/>
    <m/>
    <m/>
    <n v="0"/>
    <x v="0"/>
    <n v="0"/>
  </r>
  <r>
    <s v="40800.01"/>
    <s v="Business Phone Services"/>
    <m/>
    <m/>
    <m/>
    <m/>
    <m/>
    <m/>
    <n v="0"/>
    <x v="0"/>
    <n v="0"/>
  </r>
  <r>
    <s v="40801"/>
    <s v="Business Services - Equipment"/>
    <m/>
    <m/>
    <m/>
    <m/>
    <m/>
    <m/>
    <n v="0"/>
    <x v="0"/>
    <n v="0"/>
  </r>
  <r>
    <s v="40802"/>
    <s v="Business Services - SetUp Fee"/>
    <m/>
    <m/>
    <m/>
    <m/>
    <m/>
    <m/>
    <n v="0"/>
    <x v="0"/>
    <n v="0"/>
  </r>
  <r>
    <s v="40803"/>
    <s v="Business Services Other Inc"/>
    <m/>
    <m/>
    <m/>
    <m/>
    <m/>
    <m/>
    <n v="0"/>
    <x v="0"/>
    <n v="0"/>
  </r>
  <r>
    <s v="40804"/>
    <s v="Bus Sys - Phone Charge"/>
    <m/>
    <m/>
    <m/>
    <m/>
    <m/>
    <m/>
    <n v="0"/>
    <x v="0"/>
    <n v="0"/>
  </r>
  <r>
    <s v="40807"/>
    <s v="Business Services - Barter"/>
    <m/>
    <m/>
    <m/>
    <m/>
    <m/>
    <m/>
    <n v="0"/>
    <x v="0"/>
    <n v="0"/>
  </r>
  <r>
    <s v="40808"/>
    <s v="Business Services One Time Fee"/>
    <m/>
    <m/>
    <m/>
    <m/>
    <m/>
    <m/>
    <n v="0"/>
    <x v="0"/>
    <n v="0"/>
  </r>
  <r>
    <s v="41000"/>
    <s v="Wholesale-Monthly Subscription"/>
    <m/>
    <m/>
    <m/>
    <m/>
    <m/>
    <m/>
    <n v="0"/>
    <x v="0"/>
    <n v="0"/>
  </r>
  <r>
    <s v="41300"/>
    <s v="Wholesale-Other Income"/>
    <m/>
    <m/>
    <m/>
    <m/>
    <m/>
    <m/>
    <n v="0"/>
    <x v="0"/>
    <n v="0"/>
  </r>
  <r>
    <s v="43000"/>
    <s v="Hot Spot - Monthly Subs"/>
    <m/>
    <m/>
    <m/>
    <m/>
    <m/>
    <m/>
    <n v="0"/>
    <x v="0"/>
    <n v="0"/>
  </r>
  <r>
    <s v="46000"/>
    <s v="Customer Refunds"/>
    <m/>
    <m/>
    <m/>
    <m/>
    <m/>
    <m/>
    <n v="0"/>
    <x v="0"/>
    <n v="0"/>
  </r>
  <r>
    <s v="46000.01"/>
    <s v="Bus Services Customer Refunds"/>
    <m/>
    <m/>
    <m/>
    <m/>
    <m/>
    <m/>
    <n v="0"/>
    <x v="0"/>
    <n v="0"/>
  </r>
  <r>
    <s v="46100"/>
    <s v="Service Credits"/>
    <m/>
    <m/>
    <m/>
    <m/>
    <m/>
    <m/>
    <n v="0"/>
    <x v="0"/>
    <n v="0"/>
  </r>
  <r>
    <s v="48200"/>
    <s v="Other Income"/>
    <m/>
    <m/>
    <m/>
    <m/>
    <m/>
    <m/>
    <n v="0"/>
    <x v="0"/>
    <n v="0"/>
  </r>
  <r>
    <s v="48202"/>
    <s v="Long Distance Income"/>
    <m/>
    <m/>
    <m/>
    <m/>
    <m/>
    <m/>
    <n v="0"/>
    <x v="0"/>
    <n v="0"/>
  </r>
  <r>
    <s v="48203"/>
    <s v="Phone Income"/>
    <m/>
    <m/>
    <m/>
    <m/>
    <m/>
    <m/>
    <n v="0"/>
    <x v="0"/>
    <n v="0"/>
  </r>
  <r>
    <s v="50000"/>
    <s v="Internet Cost"/>
    <m/>
    <m/>
    <m/>
    <m/>
    <m/>
    <m/>
    <n v="0"/>
    <x v="1"/>
    <n v="0"/>
  </r>
  <r>
    <s v="50000.01"/>
    <s v="Internet Cost - Bus Services"/>
    <m/>
    <m/>
    <m/>
    <m/>
    <m/>
    <m/>
    <n v="0"/>
    <x v="1"/>
    <n v="0"/>
  </r>
  <r>
    <s v="50201"/>
    <s v="VOIP Costs"/>
    <m/>
    <m/>
    <m/>
    <m/>
    <m/>
    <m/>
    <n v="0"/>
    <x v="1"/>
    <n v="0"/>
  </r>
  <r>
    <s v="50500"/>
    <s v="Gateway / RPOP"/>
    <m/>
    <m/>
    <m/>
    <m/>
    <m/>
    <m/>
    <n v="0"/>
    <x v="1"/>
    <n v="0"/>
  </r>
  <r>
    <s v="63500"/>
    <s v="Commissions"/>
    <m/>
    <m/>
    <m/>
    <m/>
    <m/>
    <m/>
    <n v="0"/>
    <x v="1"/>
    <n v="0"/>
  </r>
  <r>
    <s v="63800"/>
    <s v="Sub-Contractors"/>
    <m/>
    <m/>
    <m/>
    <m/>
    <m/>
    <m/>
    <n v="0"/>
    <x v="1"/>
    <n v="0"/>
  </r>
  <r>
    <s v="75000"/>
    <s v="Manufacturing Supplies"/>
    <m/>
    <m/>
    <m/>
    <m/>
    <m/>
    <m/>
    <n v="0"/>
    <x v="1"/>
    <n v="0"/>
  </r>
  <r>
    <m/>
    <s v="Hardware costs"/>
    <m/>
    <m/>
    <m/>
    <m/>
    <m/>
    <m/>
    <n v="0"/>
    <x v="1"/>
    <n v="0"/>
  </r>
  <r>
    <m/>
    <s v="COGS - Intercompany transfer of assets"/>
    <m/>
    <m/>
    <m/>
    <m/>
    <m/>
    <n v="0"/>
    <n v="0"/>
    <x v="1"/>
    <n v="0"/>
  </r>
  <r>
    <s v="60100"/>
    <s v="Advertising &amp; Promotion"/>
    <m/>
    <m/>
    <m/>
    <m/>
    <m/>
    <m/>
    <n v="0"/>
    <x v="2"/>
    <n v="0"/>
  </r>
  <r>
    <s v="60125"/>
    <s v="Advertising Barter"/>
    <m/>
    <m/>
    <m/>
    <m/>
    <m/>
    <m/>
    <n v="0"/>
    <x v="2"/>
    <n v="0"/>
  </r>
  <r>
    <s v="60200"/>
    <s v="Referral Credits"/>
    <m/>
    <m/>
    <m/>
    <m/>
    <m/>
    <m/>
    <n v="0"/>
    <x v="2"/>
    <n v="0"/>
  </r>
  <r>
    <s v="60500"/>
    <s v="Amortization"/>
    <m/>
    <m/>
    <m/>
    <m/>
    <m/>
    <m/>
    <n v="0"/>
    <x v="3"/>
    <n v="0"/>
  </r>
  <r>
    <s v="61000"/>
    <s v="Vehicle Repairs"/>
    <m/>
    <m/>
    <m/>
    <m/>
    <m/>
    <m/>
    <n v="0"/>
    <x v="4"/>
    <n v="0"/>
  </r>
  <r>
    <s v="61000.01"/>
    <s v="Vehicle - Tune up &amp; Oil Change"/>
    <m/>
    <m/>
    <m/>
    <m/>
    <m/>
    <m/>
    <n v="0"/>
    <x v="1"/>
    <n v="0"/>
  </r>
  <r>
    <s v="61000.02"/>
    <s v="Vehicle - Tires"/>
    <m/>
    <m/>
    <m/>
    <m/>
    <m/>
    <m/>
    <n v="0"/>
    <x v="1"/>
    <n v="0"/>
  </r>
  <r>
    <s v="61000.03"/>
    <s v="Vehicle Repairs - Misc"/>
    <m/>
    <m/>
    <m/>
    <m/>
    <m/>
    <m/>
    <n v="0"/>
    <x v="1"/>
    <n v="0"/>
  </r>
  <r>
    <s v="61100"/>
    <s v="Vehicle Gasoline - General"/>
    <m/>
    <m/>
    <m/>
    <m/>
    <m/>
    <m/>
    <n v="0"/>
    <x v="4"/>
    <n v="0"/>
  </r>
  <r>
    <s v="61100.01"/>
    <s v="Vehicle Gasoline - Expansion"/>
    <m/>
    <m/>
    <m/>
    <m/>
    <m/>
    <m/>
    <n v="0"/>
    <x v="4"/>
    <n v="0"/>
  </r>
  <r>
    <s v="61100.02"/>
    <s v="Vehicle Gas - Installers"/>
    <m/>
    <m/>
    <m/>
    <m/>
    <m/>
    <m/>
    <n v="0"/>
    <x v="4"/>
    <n v="0"/>
  </r>
  <r>
    <s v="61100.03"/>
    <s v="Vehicle Propane generators"/>
    <m/>
    <m/>
    <m/>
    <m/>
    <m/>
    <m/>
    <n v="0"/>
    <x v="4"/>
    <n v="0"/>
  </r>
  <r>
    <s v="61100.04"/>
    <s v="Vehicle Gasoline &amp; Oil"/>
    <m/>
    <m/>
    <m/>
    <m/>
    <m/>
    <m/>
    <n v="0"/>
    <x v="4"/>
    <n v="0"/>
  </r>
  <r>
    <s v="61200"/>
    <s v="Vehicle Registration"/>
    <m/>
    <m/>
    <m/>
    <m/>
    <m/>
    <m/>
    <n v="0"/>
    <x v="4"/>
    <n v="0"/>
  </r>
  <r>
    <s v="61500.02"/>
    <s v="Bad Debt"/>
    <m/>
    <m/>
    <m/>
    <m/>
    <m/>
    <m/>
    <n v="0"/>
    <x v="4"/>
    <n v="0"/>
  </r>
  <r>
    <s v="62000"/>
    <s v="Bank Charges"/>
    <m/>
    <m/>
    <m/>
    <m/>
    <m/>
    <m/>
    <n v="0"/>
    <x v="4"/>
    <n v="0"/>
  </r>
  <r>
    <s v="62100"/>
    <s v="Credit Card Discounts"/>
    <m/>
    <m/>
    <m/>
    <m/>
    <m/>
    <m/>
    <n v="0"/>
    <x v="4"/>
    <n v="0"/>
  </r>
  <r>
    <s v="62500"/>
    <s v="Cash (Over) Short"/>
    <m/>
    <m/>
    <m/>
    <m/>
    <m/>
    <m/>
    <n v="0"/>
    <x v="4"/>
    <n v="0"/>
  </r>
  <r>
    <s v="63700"/>
    <s v="Outside Services"/>
    <m/>
    <m/>
    <m/>
    <m/>
    <m/>
    <m/>
    <n v="0"/>
    <x v="4"/>
    <n v="0"/>
  </r>
  <r>
    <s v="64000.07"/>
    <s v="Depreciation"/>
    <m/>
    <m/>
    <m/>
    <m/>
    <m/>
    <m/>
    <n v="0"/>
    <x v="3"/>
    <n v="0"/>
  </r>
  <r>
    <s v="64500.01"/>
    <s v="Dues &amp; Subscriptions"/>
    <m/>
    <m/>
    <m/>
    <m/>
    <m/>
    <m/>
    <n v="0"/>
    <x v="4"/>
    <n v="0"/>
  </r>
  <r>
    <s v="65000"/>
    <s v="Employee Relations"/>
    <m/>
    <m/>
    <m/>
    <m/>
    <m/>
    <m/>
    <n v="0"/>
    <x v="4"/>
    <n v="0"/>
  </r>
  <r>
    <s v="65100"/>
    <s v="Employee Recruiting/Screening"/>
    <m/>
    <m/>
    <m/>
    <m/>
    <m/>
    <m/>
    <n v="0"/>
    <x v="4"/>
    <n v="0"/>
  </r>
  <r>
    <s v="65300"/>
    <s v="Employee Training"/>
    <m/>
    <m/>
    <m/>
    <m/>
    <m/>
    <m/>
    <n v="0"/>
    <x v="4"/>
    <n v="0"/>
  </r>
  <r>
    <s v="66000"/>
    <s v="Gifts"/>
    <m/>
    <m/>
    <m/>
    <m/>
    <m/>
    <m/>
    <n v="0"/>
    <x v="4"/>
    <n v="0"/>
  </r>
  <r>
    <s v="66500"/>
    <s v="Income Tax Expense"/>
    <m/>
    <m/>
    <m/>
    <m/>
    <m/>
    <m/>
    <n v="0"/>
    <x v="4"/>
    <n v="0"/>
  </r>
  <r>
    <s v="67000"/>
    <s v="Insurance - Property/Liability"/>
    <m/>
    <m/>
    <m/>
    <m/>
    <m/>
    <m/>
    <n v="0"/>
    <x v="4"/>
    <n v="0"/>
  </r>
  <r>
    <s v="67100"/>
    <s v="Insurance - Vehicle"/>
    <m/>
    <m/>
    <m/>
    <m/>
    <m/>
    <m/>
    <n v="0"/>
    <x v="4"/>
    <n v="0"/>
  </r>
  <r>
    <s v="67200"/>
    <s v="Insurance - Officers"/>
    <m/>
    <m/>
    <m/>
    <m/>
    <m/>
    <m/>
    <n v="0"/>
    <x v="4"/>
    <n v="0"/>
  </r>
  <r>
    <s v="67300"/>
    <s v="Insurance - Medical"/>
    <m/>
    <m/>
    <m/>
    <m/>
    <m/>
    <m/>
    <n v="0"/>
    <x v="4"/>
    <n v="0"/>
  </r>
  <r>
    <s v="67310"/>
    <s v="Insurance- Life"/>
    <m/>
    <m/>
    <m/>
    <m/>
    <m/>
    <m/>
    <n v="0"/>
    <x v="4"/>
    <n v="0"/>
  </r>
  <r>
    <s v="67400"/>
    <s v="Insurance - Workers Comp"/>
    <m/>
    <m/>
    <m/>
    <m/>
    <m/>
    <m/>
    <n v="0"/>
    <x v="4"/>
    <n v="0"/>
  </r>
  <r>
    <s v="67500"/>
    <s v="Interest"/>
    <m/>
    <m/>
    <m/>
    <m/>
    <m/>
    <m/>
    <n v="0"/>
    <x v="5"/>
    <n v="0"/>
  </r>
  <r>
    <s v="68000"/>
    <s v="Cleaning &amp; Janitorial"/>
    <m/>
    <m/>
    <m/>
    <m/>
    <m/>
    <m/>
    <n v="0"/>
    <x v="4"/>
    <n v="0"/>
  </r>
  <r>
    <s v="68500"/>
    <s v="Legal &amp; Accounting"/>
    <m/>
    <m/>
    <m/>
    <m/>
    <m/>
    <m/>
    <n v="0"/>
    <x v="4"/>
    <n v="0"/>
  </r>
  <r>
    <s v="68550"/>
    <s v="Loan/Lease Fees"/>
    <m/>
    <m/>
    <m/>
    <m/>
    <m/>
    <m/>
    <n v="0"/>
    <x v="4"/>
    <n v="0"/>
  </r>
  <r>
    <s v="69000"/>
    <s v="Permits &amp; Licenses"/>
    <m/>
    <m/>
    <m/>
    <m/>
    <m/>
    <m/>
    <n v="0"/>
    <x v="4"/>
    <n v="0"/>
  </r>
  <r>
    <s v="70000"/>
    <s v="Maintenance Expense"/>
    <m/>
    <m/>
    <m/>
    <m/>
    <m/>
    <m/>
    <n v="0"/>
    <x v="4"/>
    <n v="0"/>
  </r>
  <r>
    <s v="70500"/>
    <s v="Meals &amp; Entertainment"/>
    <m/>
    <m/>
    <m/>
    <m/>
    <m/>
    <m/>
    <n v="0"/>
    <x v="4"/>
    <n v="0"/>
  </r>
  <r>
    <s v="71000"/>
    <s v="Office Supplies"/>
    <m/>
    <m/>
    <m/>
    <m/>
    <m/>
    <m/>
    <n v="0"/>
    <x v="4"/>
    <n v="0"/>
  </r>
  <r>
    <s v="72101"/>
    <s v="Payroll Tax IRS"/>
    <m/>
    <m/>
    <m/>
    <m/>
    <m/>
    <m/>
    <n v="0"/>
    <x v="4"/>
    <n v="0"/>
  </r>
  <r>
    <s v="72201"/>
    <s v="Payroll Tax EDD"/>
    <m/>
    <m/>
    <m/>
    <m/>
    <m/>
    <m/>
    <n v="0"/>
    <x v="4"/>
    <n v="0"/>
  </r>
  <r>
    <s v="72600"/>
    <s v="Late Fees"/>
    <m/>
    <m/>
    <m/>
    <m/>
    <m/>
    <m/>
    <n v="0"/>
    <x v="4"/>
    <n v="0"/>
  </r>
  <r>
    <s v="73000"/>
    <s v="Taxes Paid"/>
    <m/>
    <m/>
    <m/>
    <m/>
    <m/>
    <m/>
    <n v="0"/>
    <x v="6"/>
    <n v="0"/>
  </r>
  <r>
    <s v="73100"/>
    <s v="Sales Tax Paid"/>
    <m/>
    <m/>
    <m/>
    <m/>
    <m/>
    <m/>
    <n v="0"/>
    <x v="4"/>
    <n v="0"/>
  </r>
  <r>
    <s v="73200"/>
    <s v="Property Taxes Paid"/>
    <m/>
    <m/>
    <m/>
    <m/>
    <m/>
    <m/>
    <n v="0"/>
    <x v="4"/>
    <n v="0"/>
  </r>
  <r>
    <s v="73500"/>
    <s v="Postage"/>
    <m/>
    <m/>
    <m/>
    <m/>
    <m/>
    <m/>
    <n v="0"/>
    <x v="4"/>
    <n v="0"/>
  </r>
  <r>
    <s v="73550.01"/>
    <s v="Shipping &amp; Handling"/>
    <m/>
    <m/>
    <m/>
    <m/>
    <m/>
    <m/>
    <n v="0"/>
    <x v="4"/>
    <n v="0"/>
  </r>
  <r>
    <s v="74000"/>
    <s v="Rent / Lease"/>
    <m/>
    <m/>
    <m/>
    <m/>
    <m/>
    <m/>
    <n v="0"/>
    <x v="4"/>
    <n v="0"/>
  </r>
  <r>
    <s v="74000.01"/>
    <s v="Rent / Lease Helicopter"/>
    <m/>
    <m/>
    <m/>
    <m/>
    <m/>
    <m/>
    <n v="0"/>
    <x v="4"/>
    <n v="0"/>
  </r>
  <r>
    <s v="74100"/>
    <s v="Equipment Rental"/>
    <m/>
    <m/>
    <m/>
    <m/>
    <m/>
    <m/>
    <n v="0"/>
    <x v="4"/>
    <n v="0"/>
  </r>
  <r>
    <s v="74400"/>
    <s v="Small Tools"/>
    <m/>
    <m/>
    <m/>
    <m/>
    <m/>
    <m/>
    <n v="0"/>
    <x v="4"/>
    <n v="0"/>
  </r>
  <r>
    <s v="74500"/>
    <s v="Repairs &amp; Maintenance"/>
    <m/>
    <m/>
    <m/>
    <m/>
    <m/>
    <m/>
    <n v="0"/>
    <x v="4"/>
    <n v="0"/>
  </r>
  <r>
    <s v="74600"/>
    <s v="Research &amp; Development"/>
    <m/>
    <m/>
    <m/>
    <m/>
    <m/>
    <m/>
    <n v="0"/>
    <x v="4"/>
    <n v="0"/>
  </r>
  <r>
    <s v="75000.1"/>
    <s v="Mountain Networks"/>
    <m/>
    <m/>
    <m/>
    <m/>
    <m/>
    <m/>
    <n v="0"/>
    <x v="4"/>
    <n v="0"/>
  </r>
  <r>
    <s v="75500"/>
    <s v="Operating Supplies"/>
    <m/>
    <m/>
    <m/>
    <m/>
    <m/>
    <m/>
    <n v="0"/>
    <x v="4"/>
    <n v="0"/>
  </r>
  <r>
    <s v="75500.02"/>
    <s v="Operating Supplies- Cable"/>
    <m/>
    <m/>
    <m/>
    <m/>
    <m/>
    <m/>
    <n v="0"/>
    <x v="4"/>
    <n v="0"/>
  </r>
  <r>
    <s v="75600"/>
    <s v="Breakroom Supplies"/>
    <m/>
    <m/>
    <m/>
    <m/>
    <m/>
    <m/>
    <n v="0"/>
    <x v="4"/>
    <n v="0"/>
  </r>
  <r>
    <s v="75600.01"/>
    <s v="Cafeteria"/>
    <m/>
    <m/>
    <m/>
    <m/>
    <m/>
    <m/>
    <n v="0"/>
    <x v="4"/>
    <n v="0"/>
  </r>
  <r>
    <s v="75800"/>
    <s v="Security"/>
    <m/>
    <m/>
    <m/>
    <m/>
    <m/>
    <m/>
    <n v="0"/>
    <x v="4"/>
    <n v="0"/>
  </r>
  <r>
    <s v="76000"/>
    <s v="Telephone"/>
    <m/>
    <m/>
    <m/>
    <m/>
    <m/>
    <m/>
    <n v="0"/>
    <x v="4"/>
    <n v="0"/>
  </r>
  <r>
    <s v="76000.02"/>
    <s v="Telephone - NVW"/>
    <m/>
    <m/>
    <m/>
    <m/>
    <m/>
    <m/>
    <n v="0"/>
    <x v="4"/>
    <n v="0"/>
  </r>
  <r>
    <s v="76100"/>
    <s v="Telephones - Cellular"/>
    <m/>
    <m/>
    <m/>
    <m/>
    <m/>
    <m/>
    <n v="0"/>
    <x v="4"/>
    <n v="0"/>
  </r>
  <r>
    <s v="76500"/>
    <s v="Travel &amp; Lodging"/>
    <m/>
    <m/>
    <m/>
    <m/>
    <m/>
    <m/>
    <n v="0"/>
    <x v="4"/>
    <n v="0"/>
  </r>
  <r>
    <s v="77250"/>
    <s v="Bonus"/>
    <m/>
    <m/>
    <m/>
    <m/>
    <m/>
    <m/>
    <n v="0"/>
    <x v="4"/>
    <n v="0"/>
  </r>
  <r>
    <s v="77500.01"/>
    <s v="Wages - Network Expansion"/>
    <m/>
    <m/>
    <m/>
    <m/>
    <m/>
    <m/>
    <n v="0"/>
    <x v="4"/>
    <n v="0"/>
  </r>
  <r>
    <s v="77500.02"/>
    <s v="Wages - R&amp;D"/>
    <m/>
    <m/>
    <m/>
    <m/>
    <m/>
    <m/>
    <n v="0"/>
    <x v="4"/>
    <n v="0"/>
  </r>
  <r>
    <s v="77500.03"/>
    <s v="Wages - Sales &amp; Marketing"/>
    <m/>
    <m/>
    <m/>
    <m/>
    <m/>
    <m/>
    <n v="0"/>
    <x v="2"/>
    <n v="0"/>
  </r>
  <r>
    <s v="77500.04"/>
    <s v="Wages - Customer Service"/>
    <m/>
    <m/>
    <m/>
    <m/>
    <m/>
    <m/>
    <n v="0"/>
    <x v="4"/>
    <n v="0"/>
  </r>
  <r>
    <s v="77500.05"/>
    <s v="Wages - Tech Support"/>
    <m/>
    <m/>
    <m/>
    <m/>
    <m/>
    <m/>
    <n v="0"/>
    <x v="4"/>
    <n v="0"/>
  </r>
  <r>
    <s v="77500.06"/>
    <s v="Wages - Manufacture"/>
    <m/>
    <m/>
    <m/>
    <m/>
    <m/>
    <m/>
    <n v="0"/>
    <x v="1"/>
    <n v="0"/>
  </r>
  <r>
    <s v="77500.07"/>
    <s v="Wages - Administrative"/>
    <m/>
    <m/>
    <m/>
    <m/>
    <m/>
    <m/>
    <n v="0"/>
    <x v="4"/>
    <n v="0"/>
  </r>
  <r>
    <s v="77500.08"/>
    <s v="Wages - Acct/HR"/>
    <m/>
    <m/>
    <m/>
    <m/>
    <m/>
    <m/>
    <n v="0"/>
    <x v="4"/>
    <n v="0"/>
  </r>
  <r>
    <s v="77500.09"/>
    <s v="Wages - Installers"/>
    <m/>
    <m/>
    <m/>
    <m/>
    <m/>
    <m/>
    <n v="0"/>
    <x v="1"/>
    <n v="0"/>
  </r>
  <r>
    <s v="77500.12"/>
    <s v="Wages 2X Sales &amp; Production"/>
    <m/>
    <m/>
    <m/>
    <m/>
    <m/>
    <m/>
    <n v="0"/>
    <x v="4"/>
    <n v="0"/>
  </r>
  <r>
    <s v="77500.13"/>
    <s v="Wages - Heli pilot"/>
    <m/>
    <m/>
    <m/>
    <m/>
    <m/>
    <m/>
    <n v="0"/>
    <x v="4"/>
    <n v="0"/>
  </r>
  <r>
    <s v="77502"/>
    <s v="Wages - On Call"/>
    <m/>
    <m/>
    <m/>
    <m/>
    <m/>
    <m/>
    <n v="0"/>
    <x v="4"/>
    <n v="0"/>
  </r>
  <r>
    <s v="77550.01"/>
    <s v="Wages - Overtime Net Expansion"/>
    <m/>
    <m/>
    <m/>
    <m/>
    <m/>
    <m/>
    <n v="0"/>
    <x v="4"/>
    <n v="0"/>
  </r>
  <r>
    <s v="77550.02"/>
    <s v="Wages - Overtime R &amp; D"/>
    <m/>
    <m/>
    <m/>
    <m/>
    <m/>
    <m/>
    <n v="0"/>
    <x v="4"/>
    <n v="0"/>
  </r>
  <r>
    <s v="77550.03"/>
    <s v="Wages - OT Sales &amp; Marketing"/>
    <m/>
    <m/>
    <m/>
    <m/>
    <m/>
    <m/>
    <n v="0"/>
    <x v="2"/>
    <n v="0"/>
  </r>
  <r>
    <s v="77550.04"/>
    <s v="Wages - OT Customer Service"/>
    <m/>
    <m/>
    <m/>
    <m/>
    <m/>
    <m/>
    <n v="0"/>
    <x v="4"/>
    <n v="0"/>
  </r>
  <r>
    <s v="77550.05"/>
    <s v="Wages - Overtime Tech Support"/>
    <m/>
    <m/>
    <m/>
    <m/>
    <m/>
    <m/>
    <n v="0"/>
    <x v="4"/>
    <n v="0"/>
  </r>
  <r>
    <s v="77550.06"/>
    <s v="Wages - Overtime Manufacturing"/>
    <m/>
    <m/>
    <m/>
    <m/>
    <m/>
    <m/>
    <n v="0"/>
    <x v="1"/>
    <n v="0"/>
  </r>
  <r>
    <s v="77550.08"/>
    <s v="Wages - Overtime Acct/HR"/>
    <m/>
    <m/>
    <m/>
    <m/>
    <m/>
    <m/>
    <n v="0"/>
    <x v="4"/>
    <n v="0"/>
  </r>
  <r>
    <s v="77550.09"/>
    <s v="Wages - OT Installers"/>
    <m/>
    <m/>
    <m/>
    <m/>
    <m/>
    <m/>
    <n v="0"/>
    <x v="1"/>
    <n v="0"/>
  </r>
  <r>
    <s v="77550.12"/>
    <s v="2x Wage overtime"/>
    <m/>
    <m/>
    <m/>
    <m/>
    <m/>
    <m/>
    <n v="0"/>
    <x v="4"/>
    <n v="0"/>
  </r>
  <r>
    <s v="77550.13"/>
    <s v="Wages - OT Heli Pilot"/>
    <m/>
    <m/>
    <m/>
    <m/>
    <m/>
    <m/>
    <n v="0"/>
    <x v="4"/>
    <n v="0"/>
  </r>
  <r>
    <s v="77570"/>
    <s v="2X Labor Capitalization"/>
    <m/>
    <m/>
    <m/>
    <m/>
    <m/>
    <m/>
    <n v="0"/>
    <x v="4"/>
    <n v="0"/>
  </r>
  <r>
    <s v="77575"/>
    <s v="DPI Labor Caplitalization"/>
    <m/>
    <m/>
    <m/>
    <m/>
    <m/>
    <m/>
    <n v="0"/>
    <x v="4"/>
    <n v="0"/>
  </r>
  <r>
    <s v="77575.12"/>
    <s v="MFG Labor Capitalization"/>
    <m/>
    <m/>
    <m/>
    <m/>
    <m/>
    <m/>
    <n v="0"/>
    <x v="4"/>
    <n v="0"/>
  </r>
  <r>
    <s v="77580"/>
    <s v="2X Payroll Allocation"/>
    <m/>
    <m/>
    <m/>
    <n v="0"/>
    <n v="0"/>
    <m/>
    <n v="0"/>
    <x v="4"/>
    <n v="0"/>
  </r>
  <r>
    <s v="77590"/>
    <s v="2X Overhead Allocation"/>
    <m/>
    <m/>
    <m/>
    <s v=" "/>
    <n v="0"/>
    <m/>
    <n v="0"/>
    <x v="4"/>
    <n v="0"/>
  </r>
  <r>
    <s v="77591"/>
    <s v="DPA Overhead Allocation"/>
    <m/>
    <m/>
    <m/>
    <s v=" "/>
    <n v="0"/>
    <m/>
    <n v="0"/>
    <x v="4"/>
    <n v="0"/>
  </r>
  <r>
    <s v="63000"/>
    <s v="G&amp;A Overhead Allocation"/>
    <m/>
    <m/>
    <m/>
    <s v=" "/>
    <n v="0"/>
    <m/>
    <n v="0"/>
    <x v="4"/>
    <n v="0"/>
  </r>
  <r>
    <m/>
    <s v="G&amp;A Wages Allocation"/>
    <m/>
    <m/>
    <m/>
    <s v=" "/>
    <n v="0"/>
    <m/>
    <n v="0"/>
    <x v="4"/>
    <n v="0"/>
  </r>
  <r>
    <m/>
    <s v="G&amp;A Taxes &amp; Benefits"/>
    <m/>
    <m/>
    <m/>
    <s v=" "/>
    <n v="0"/>
    <m/>
    <n v="0"/>
    <x v="4"/>
    <n v="0"/>
  </r>
  <r>
    <s v="60550"/>
    <s v="Misc Warehouse"/>
    <m/>
    <m/>
    <m/>
    <n v="0"/>
    <m/>
    <m/>
    <n v="0"/>
    <x v="4"/>
    <n v="0"/>
  </r>
  <r>
    <s v="77600"/>
    <s v="Per Diem"/>
    <m/>
    <m/>
    <m/>
    <m/>
    <m/>
    <m/>
    <n v="0"/>
    <x v="4"/>
    <n v="0"/>
  </r>
  <r>
    <m/>
    <s v="Waste Disposal"/>
    <m/>
    <m/>
    <m/>
    <m/>
    <m/>
    <m/>
    <n v="0"/>
    <x v="4"/>
    <n v="0"/>
  </r>
  <r>
    <s v="77700"/>
    <s v="Pension &amp; Profit Sharing"/>
    <m/>
    <m/>
    <m/>
    <m/>
    <m/>
    <m/>
    <n v="0"/>
    <x v="4"/>
    <n v="0"/>
  </r>
  <r>
    <s v="78000"/>
    <s v="Utilities"/>
    <m/>
    <m/>
    <m/>
    <m/>
    <m/>
    <m/>
    <n v="0"/>
    <x v="4"/>
    <n v="0"/>
  </r>
  <r>
    <s v="89500"/>
    <s v="Other expense"/>
    <m/>
    <m/>
    <m/>
    <m/>
    <m/>
    <m/>
    <n v="0"/>
    <x v="4"/>
    <n v="0"/>
  </r>
  <r>
    <s v="90000"/>
    <s v="Gain / Loss on Sale of Assets"/>
    <m/>
    <m/>
    <m/>
    <m/>
    <m/>
    <m/>
    <n v="0"/>
    <x v="7"/>
    <n v="0"/>
  </r>
  <r>
    <s v="96500"/>
    <s v="Income Tax Expense"/>
    <m/>
    <m/>
    <m/>
    <m/>
    <m/>
    <m/>
    <n v="0"/>
    <x v="4"/>
    <n v="0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count="248">
  <r>
    <s v="10000"/>
    <s v="Petty Cash Fund"/>
    <m/>
    <m/>
    <m/>
    <m/>
    <m/>
    <m/>
    <n v="0"/>
    <x v="0"/>
    <n v="0"/>
  </r>
  <r>
    <s v="10050"/>
    <s v="Cash Box Call Center"/>
    <m/>
    <m/>
    <m/>
    <m/>
    <m/>
    <m/>
    <n v="0"/>
    <x v="0"/>
    <n v="0"/>
  </r>
  <r>
    <s v="10051"/>
    <s v="Per Diem"/>
    <m/>
    <m/>
    <m/>
    <m/>
    <m/>
    <m/>
    <n v="0"/>
    <x v="0"/>
    <n v="0"/>
  </r>
  <r>
    <s v="10175"/>
    <s v="US Bank 4245"/>
    <m/>
    <m/>
    <m/>
    <m/>
    <m/>
    <m/>
    <n v="0"/>
    <x v="0"/>
    <n v="0"/>
  </r>
  <r>
    <s v="10200"/>
    <s v="Rabobank Operating - 7057"/>
    <m/>
    <m/>
    <m/>
    <m/>
    <m/>
    <m/>
    <n v="0"/>
    <x v="0"/>
    <n v="0"/>
  </r>
  <r>
    <m/>
    <s v="East West Bank - 5237 2X"/>
    <m/>
    <m/>
    <m/>
    <m/>
    <m/>
    <m/>
    <n v="0"/>
    <x v="0"/>
    <n v="0"/>
  </r>
  <r>
    <s v="10445"/>
    <s v="East West Bank - 5211 Self Ins"/>
    <m/>
    <m/>
    <m/>
    <m/>
    <m/>
    <m/>
    <n v="0"/>
    <x v="0"/>
    <n v="0"/>
  </r>
  <r>
    <s v="10450"/>
    <s v="East West Bank - 3521 Savings"/>
    <m/>
    <m/>
    <m/>
    <m/>
    <m/>
    <m/>
    <n v="0"/>
    <x v="0"/>
    <n v="0"/>
  </r>
  <r>
    <s v="10455"/>
    <s v="East West Bank - 5229 CC Dep"/>
    <m/>
    <m/>
    <m/>
    <m/>
    <m/>
    <m/>
    <n v="0"/>
    <x v="0"/>
    <n v="0"/>
  </r>
  <r>
    <s v="10475"/>
    <s v="East West Bank - 3349 Gen Op"/>
    <m/>
    <m/>
    <m/>
    <m/>
    <m/>
    <m/>
    <n v="0"/>
    <x v="0"/>
    <n v="0"/>
  </r>
  <r>
    <s v="10480"/>
    <s v="East West Bank - 3802 CapX"/>
    <m/>
    <m/>
    <m/>
    <m/>
    <m/>
    <m/>
    <n v="0"/>
    <x v="0"/>
    <n v="0"/>
  </r>
  <r>
    <s v="10485"/>
    <s v="East West Bank - 3828 Payroll"/>
    <m/>
    <m/>
    <m/>
    <m/>
    <m/>
    <m/>
    <n v="0"/>
    <x v="0"/>
    <n v="0"/>
  </r>
  <r>
    <s v="10700"/>
    <s v="Credit Card Receivable"/>
    <m/>
    <m/>
    <m/>
    <m/>
    <m/>
    <m/>
    <n v="0"/>
    <x v="1"/>
    <n v="0"/>
  </r>
  <r>
    <s v="11000"/>
    <s v="Accounts Receivable - Service"/>
    <m/>
    <m/>
    <m/>
    <m/>
    <m/>
    <m/>
    <n v="0"/>
    <x v="1"/>
    <n v="0"/>
  </r>
  <r>
    <s v="11001"/>
    <s v="Accounts Receivable - Relays"/>
    <m/>
    <m/>
    <m/>
    <m/>
    <m/>
    <m/>
    <n v="0"/>
    <x v="1"/>
    <n v="0"/>
  </r>
  <r>
    <s v="11002"/>
    <s v="AR - Business Phone Sys #17"/>
    <m/>
    <m/>
    <m/>
    <m/>
    <m/>
    <m/>
    <n v="0"/>
    <x v="1"/>
    <n v="0"/>
  </r>
  <r>
    <s v="11100"/>
    <s v="Accounts Receivable- Wholesale"/>
    <m/>
    <m/>
    <m/>
    <m/>
    <m/>
    <m/>
    <n v="0"/>
    <x v="1"/>
    <n v="0"/>
  </r>
  <r>
    <s v="11116"/>
    <s v="Accounts Receivable - Misc"/>
    <m/>
    <m/>
    <m/>
    <m/>
    <m/>
    <m/>
    <n v="0"/>
    <x v="1"/>
    <n v="0"/>
  </r>
  <r>
    <s v="11118"/>
    <s v="AR - Business Services # 18"/>
    <m/>
    <m/>
    <m/>
    <m/>
    <m/>
    <m/>
    <n v="0"/>
    <x v="1"/>
    <n v="0"/>
  </r>
  <r>
    <s v="11120"/>
    <s v="Allowance for doubtful accts"/>
    <m/>
    <m/>
    <m/>
    <m/>
    <m/>
    <m/>
    <n v="0"/>
    <x v="1"/>
    <n v="0"/>
  </r>
  <r>
    <s v="13000"/>
    <s v="Employee Advance"/>
    <m/>
    <m/>
    <m/>
    <m/>
    <m/>
    <m/>
    <n v="0"/>
    <x v="2"/>
    <n v="0"/>
  </r>
  <r>
    <s v="13000.02"/>
    <s v="Owner Advance"/>
    <m/>
    <m/>
    <m/>
    <m/>
    <m/>
    <m/>
    <n v="0"/>
    <x v="3"/>
    <n v="0"/>
  </r>
  <r>
    <m/>
    <s v="2X Inventory"/>
    <m/>
    <m/>
    <m/>
    <m/>
    <m/>
    <m/>
    <n v="0"/>
    <x v="4"/>
    <n v="0"/>
  </r>
  <r>
    <s v="15302"/>
    <s v="Installation Supplies"/>
    <m/>
    <m/>
    <m/>
    <m/>
    <m/>
    <m/>
    <n v="0"/>
    <x v="2"/>
    <n v="0"/>
  </r>
  <r>
    <s v="15304"/>
    <s v="Installation Supplies NPN"/>
    <m/>
    <m/>
    <m/>
    <m/>
    <m/>
    <m/>
    <n v="0"/>
    <x v="2"/>
    <n v="0"/>
  </r>
  <r>
    <s v="15305"/>
    <s v="Cable Inventory"/>
    <m/>
    <m/>
    <m/>
    <m/>
    <m/>
    <m/>
    <n v="0"/>
    <x v="4"/>
    <n v="0"/>
  </r>
  <r>
    <s v="15401"/>
    <s v="Misc inventory - Legacy"/>
    <m/>
    <m/>
    <m/>
    <m/>
    <m/>
    <m/>
    <n v="0"/>
    <x v="4"/>
    <n v="0"/>
  </r>
  <r>
    <s v="18000"/>
    <s v="Prepaid expenses"/>
    <m/>
    <m/>
    <m/>
    <m/>
    <m/>
    <m/>
    <n v="0"/>
    <x v="5"/>
    <n v="0"/>
  </r>
  <r>
    <s v="18100"/>
    <s v="Prepaid Corp Income Taxes"/>
    <m/>
    <m/>
    <m/>
    <m/>
    <m/>
    <m/>
    <n v="0"/>
    <x v="5"/>
    <n v="0"/>
  </r>
  <r>
    <s v="18300"/>
    <s v="PrePaid Sales Tax"/>
    <m/>
    <m/>
    <m/>
    <m/>
    <m/>
    <m/>
    <n v="0"/>
    <x v="5"/>
    <n v="0"/>
  </r>
  <r>
    <s v="18400"/>
    <s v="Non Deployed Fixed Assets - NX"/>
    <m/>
    <m/>
    <m/>
    <m/>
    <m/>
    <m/>
    <n v="0"/>
    <x v="6"/>
    <n v="0"/>
  </r>
  <r>
    <s v="18500"/>
    <s v="Inventory - Non Net Exp"/>
    <m/>
    <m/>
    <m/>
    <m/>
    <m/>
    <m/>
    <n v="0"/>
    <x v="4"/>
    <n v="0"/>
  </r>
  <r>
    <s v="18600"/>
    <s v="Non-Deployed CPE &amp; AP's"/>
    <m/>
    <m/>
    <m/>
    <m/>
    <m/>
    <m/>
    <n v="0"/>
    <x v="6"/>
    <n v="0"/>
  </r>
  <r>
    <m/>
    <s v="Contra Account - Non-Deployed CPE"/>
    <m/>
    <m/>
    <m/>
    <m/>
    <m/>
    <n v="0"/>
    <n v="0"/>
    <x v="6"/>
    <n v="0"/>
  </r>
  <r>
    <s v="15100"/>
    <s v="Furniture"/>
    <m/>
    <m/>
    <m/>
    <m/>
    <m/>
    <m/>
    <n v="0"/>
    <x v="6"/>
    <n v="0"/>
  </r>
  <r>
    <s v="15200"/>
    <s v="Equipment Hardware"/>
    <m/>
    <m/>
    <m/>
    <m/>
    <m/>
    <m/>
    <n v="0"/>
    <x v="6"/>
    <n v="0"/>
  </r>
  <r>
    <s v="15300"/>
    <s v="CPE-Modems"/>
    <m/>
    <m/>
    <m/>
    <m/>
    <m/>
    <n v="0"/>
    <n v="0"/>
    <x v="6"/>
    <n v="0"/>
  </r>
  <r>
    <s v="15310"/>
    <s v="Phones"/>
    <m/>
    <m/>
    <m/>
    <m/>
    <m/>
    <m/>
    <n v="0"/>
    <x v="6"/>
    <n v="0"/>
  </r>
  <r>
    <s v="15400"/>
    <s v="Repeaters"/>
    <m/>
    <m/>
    <m/>
    <m/>
    <m/>
    <m/>
    <n v="0"/>
    <x v="6"/>
    <n v="0"/>
  </r>
  <r>
    <s v="15402"/>
    <s v="Miscellaneous Equipment"/>
    <m/>
    <m/>
    <m/>
    <m/>
    <m/>
    <m/>
    <n v="0"/>
    <x v="6"/>
    <n v="0"/>
  </r>
  <r>
    <s v="15410"/>
    <s v="Equipment 2X"/>
    <m/>
    <m/>
    <m/>
    <m/>
    <m/>
    <m/>
    <n v="0"/>
    <x v="6"/>
    <n v="0"/>
  </r>
  <r>
    <s v="15500"/>
    <s v="Computers &amp; Peripherial"/>
    <m/>
    <m/>
    <m/>
    <m/>
    <m/>
    <m/>
    <n v="0"/>
    <x v="6"/>
    <n v="0"/>
  </r>
  <r>
    <s v="15600"/>
    <s v="Gateway"/>
    <m/>
    <m/>
    <m/>
    <m/>
    <m/>
    <m/>
    <n v="0"/>
    <x v="6"/>
    <n v="0"/>
  </r>
  <r>
    <s v="15600.01"/>
    <s v="Microwave Network"/>
    <m/>
    <m/>
    <m/>
    <m/>
    <m/>
    <m/>
    <n v="0"/>
    <x v="6"/>
    <n v="0"/>
  </r>
  <r>
    <s v="15600.02"/>
    <s v="Network Infastructure Labor"/>
    <m/>
    <m/>
    <m/>
    <m/>
    <m/>
    <m/>
    <n v="0"/>
    <x v="6"/>
    <n v="0"/>
  </r>
  <r>
    <s v="15700"/>
    <s v="Software"/>
    <m/>
    <m/>
    <m/>
    <m/>
    <m/>
    <m/>
    <n v="0"/>
    <x v="6"/>
    <n v="0"/>
  </r>
  <r>
    <s v="15700.01"/>
    <s v="Software Labor"/>
    <m/>
    <m/>
    <m/>
    <m/>
    <m/>
    <m/>
    <n v="0"/>
    <x v="7"/>
    <n v="0"/>
  </r>
  <r>
    <s v="15800"/>
    <s v="Vehicles"/>
    <m/>
    <m/>
    <m/>
    <m/>
    <m/>
    <m/>
    <n v="0"/>
    <x v="6"/>
    <n v="0"/>
  </r>
  <r>
    <s v="15000"/>
    <s v="Heliocopter"/>
    <m/>
    <m/>
    <m/>
    <m/>
    <m/>
    <m/>
    <n v="0"/>
    <x v="6"/>
    <n v="0"/>
  </r>
  <r>
    <s v="15900"/>
    <s v="Leasehold Improvements"/>
    <m/>
    <m/>
    <m/>
    <m/>
    <m/>
    <m/>
    <n v="0"/>
    <x v="6"/>
    <n v="0"/>
  </r>
  <r>
    <s v="16100"/>
    <s v="Property"/>
    <m/>
    <m/>
    <m/>
    <m/>
    <m/>
    <m/>
    <n v="0"/>
    <x v="6"/>
    <n v="0"/>
  </r>
  <r>
    <s v="17100"/>
    <s v="Accum Depr-Furniture"/>
    <m/>
    <m/>
    <m/>
    <m/>
    <m/>
    <m/>
    <n v="0"/>
    <x v="6"/>
    <n v="0"/>
  </r>
  <r>
    <s v="17200"/>
    <s v="Accum Depr-Micro Network"/>
    <m/>
    <m/>
    <m/>
    <m/>
    <m/>
    <m/>
    <n v="0"/>
    <x v="6"/>
    <n v="0"/>
  </r>
  <r>
    <s v="17200.01"/>
    <s v="Network Infrastructure Labor"/>
    <m/>
    <m/>
    <m/>
    <m/>
    <m/>
    <m/>
    <n v="0"/>
    <x v="6"/>
    <n v="0"/>
  </r>
  <r>
    <m/>
    <s v="Accum Depr - Heliocopter"/>
    <m/>
    <m/>
    <m/>
    <m/>
    <m/>
    <m/>
    <n v="0"/>
    <x v="6"/>
    <n v="0"/>
  </r>
  <r>
    <s v="17300"/>
    <s v="Accum Depr-CPE Modems"/>
    <m/>
    <m/>
    <m/>
    <m/>
    <m/>
    <m/>
    <n v="0"/>
    <x v="6"/>
    <n v="0"/>
  </r>
  <r>
    <s v="17310"/>
    <s v="Accum Depr - Phones"/>
    <m/>
    <m/>
    <m/>
    <m/>
    <m/>
    <m/>
    <n v="0"/>
    <x v="6"/>
    <n v="0"/>
  </r>
  <r>
    <s v="17400"/>
    <s v="Accum Depr-Repeater"/>
    <m/>
    <m/>
    <m/>
    <m/>
    <m/>
    <m/>
    <n v="0"/>
    <x v="6"/>
    <n v="0"/>
  </r>
  <r>
    <s v="17402"/>
    <s v="Accum Depr - Equipment"/>
    <m/>
    <m/>
    <m/>
    <m/>
    <m/>
    <m/>
    <n v="0"/>
    <x v="6"/>
    <n v="0"/>
  </r>
  <r>
    <s v="17410"/>
    <s v="Accum Depre - 2X Equipment"/>
    <m/>
    <m/>
    <m/>
    <m/>
    <m/>
    <m/>
    <n v="0"/>
    <x v="6"/>
    <n v="0"/>
  </r>
  <r>
    <s v="17500"/>
    <s v="Accum Depr-Computer"/>
    <m/>
    <m/>
    <m/>
    <m/>
    <m/>
    <m/>
    <n v="0"/>
    <x v="6"/>
    <n v="0"/>
  </r>
  <r>
    <s v="17600"/>
    <s v="Accum Depr-Gateway"/>
    <m/>
    <m/>
    <m/>
    <m/>
    <m/>
    <m/>
    <n v="0"/>
    <x v="6"/>
    <n v="0"/>
  </r>
  <r>
    <s v="17700"/>
    <s v="Accum-Depr-Software"/>
    <m/>
    <m/>
    <m/>
    <m/>
    <m/>
    <m/>
    <n v="0"/>
    <x v="6"/>
    <n v="0"/>
  </r>
  <r>
    <s v="17700.01"/>
    <s v="Accum Depr Software Labor"/>
    <m/>
    <m/>
    <m/>
    <m/>
    <m/>
    <m/>
    <n v="0"/>
    <x v="7"/>
    <n v="0"/>
  </r>
  <r>
    <s v="17710"/>
    <s v="Accum Dep - LHI"/>
    <m/>
    <m/>
    <m/>
    <m/>
    <m/>
    <m/>
    <n v="0"/>
    <x v="6"/>
    <n v="0"/>
  </r>
  <r>
    <s v="17800"/>
    <s v="Accum Depr-Vehicles"/>
    <m/>
    <m/>
    <m/>
    <m/>
    <m/>
    <m/>
    <n v="0"/>
    <x v="6"/>
    <n v="0"/>
  </r>
  <r>
    <s v="11250"/>
    <s v="Note Receiveable 2X Wireless"/>
    <m/>
    <m/>
    <m/>
    <m/>
    <n v="0"/>
    <m/>
    <n v="0"/>
    <x v="8"/>
    <n v="0"/>
  </r>
  <r>
    <s v="11275"/>
    <s v="Note Receivable DP Aviation"/>
    <m/>
    <m/>
    <m/>
    <m/>
    <n v="0"/>
    <m/>
    <n v="0"/>
    <x v="8"/>
    <n v="0"/>
  </r>
  <r>
    <s v="19000"/>
    <s v="Deposits"/>
    <m/>
    <m/>
    <m/>
    <m/>
    <m/>
    <m/>
    <n v="0"/>
    <x v="2"/>
    <n v="0"/>
  </r>
  <r>
    <s v="19030"/>
    <s v="Prepaid Property Taxes"/>
    <m/>
    <m/>
    <m/>
    <m/>
    <m/>
    <m/>
    <n v="0"/>
    <x v="5"/>
    <n v="0"/>
  </r>
  <r>
    <s v="19300"/>
    <s v="Patent"/>
    <m/>
    <m/>
    <m/>
    <m/>
    <m/>
    <m/>
    <n v="0"/>
    <x v="9"/>
    <n v="0"/>
  </r>
  <r>
    <s v="19350"/>
    <s v="Accumulated Amort - Patent"/>
    <m/>
    <m/>
    <m/>
    <m/>
    <m/>
    <m/>
    <n v="0"/>
    <x v="9"/>
    <n v="0"/>
  </r>
  <r>
    <s v="19567"/>
    <s v="Capitalized Loan costs"/>
    <m/>
    <m/>
    <m/>
    <m/>
    <m/>
    <m/>
    <n v="0"/>
    <x v="10"/>
    <n v="0"/>
  </r>
  <r>
    <s v="19570"/>
    <s v="Accumulated Amort - Loan Costs"/>
    <m/>
    <m/>
    <m/>
    <m/>
    <m/>
    <m/>
    <n v="0"/>
    <x v="10"/>
    <n v="0"/>
  </r>
  <r>
    <s v="19600"/>
    <s v="Investment in 2X Wireless"/>
    <m/>
    <m/>
    <m/>
    <n v="0"/>
    <m/>
    <m/>
    <n v="0"/>
    <x v="8"/>
    <n v="0"/>
  </r>
  <r>
    <s v="19700"/>
    <s v="Investment in DP Aviation"/>
    <m/>
    <m/>
    <m/>
    <n v="0"/>
    <m/>
    <m/>
    <n v="0"/>
    <x v="8"/>
    <n v="0"/>
  </r>
  <r>
    <s v="20000"/>
    <s v="Accounts Payable"/>
    <m/>
    <m/>
    <m/>
    <m/>
    <m/>
    <m/>
    <n v="0"/>
    <x v="11"/>
    <n v="0"/>
  </r>
  <r>
    <s v="20100"/>
    <s v="Accrued Expenses"/>
    <m/>
    <m/>
    <m/>
    <m/>
    <m/>
    <m/>
    <n v="0"/>
    <x v="12"/>
    <n v="0"/>
  </r>
  <r>
    <s v="20100.01"/>
    <s v="Accrued self insurance"/>
    <m/>
    <m/>
    <m/>
    <m/>
    <m/>
    <m/>
    <n v="0"/>
    <x v="12"/>
    <n v="0"/>
  </r>
  <r>
    <s v="21000"/>
    <s v="Payroll Payable"/>
    <m/>
    <m/>
    <m/>
    <m/>
    <m/>
    <m/>
    <n v="0"/>
    <x v="12"/>
    <n v="0"/>
  </r>
  <r>
    <s v="21050"/>
    <s v="Payroll Tax Payable"/>
    <m/>
    <m/>
    <m/>
    <m/>
    <m/>
    <m/>
    <n v="0"/>
    <x v="12"/>
    <n v="0"/>
  </r>
  <r>
    <s v="21100"/>
    <s v="PTO Payable"/>
    <m/>
    <m/>
    <m/>
    <m/>
    <m/>
    <m/>
    <n v="0"/>
    <x v="12"/>
    <n v="0"/>
  </r>
  <r>
    <s v="23100"/>
    <s v="Sales/Use Tax Payable"/>
    <m/>
    <m/>
    <m/>
    <m/>
    <m/>
    <m/>
    <n v="0"/>
    <x v="12"/>
    <n v="0"/>
  </r>
  <r>
    <s v="24948"/>
    <s v="083 N/P - 2012 Dodge Ram"/>
    <m/>
    <m/>
    <m/>
    <m/>
    <m/>
    <m/>
    <n v="0"/>
    <x v="13"/>
    <n v="0"/>
  </r>
  <r>
    <s v="24958"/>
    <s v="091 L/P - 2X  US Bank"/>
    <m/>
    <m/>
    <m/>
    <m/>
    <m/>
    <m/>
    <n v="0"/>
    <x v="13"/>
    <n v="0"/>
  </r>
  <r>
    <s v="24962"/>
    <s v="095 L/P - JB2 Funding"/>
    <m/>
    <m/>
    <m/>
    <m/>
    <m/>
    <m/>
    <n v="0"/>
    <x v="13"/>
    <n v="0"/>
  </r>
  <r>
    <s v="24965"/>
    <s v="098 L/P - Key Equipment"/>
    <m/>
    <m/>
    <m/>
    <m/>
    <m/>
    <m/>
    <n v="0"/>
    <x v="13"/>
    <n v="0"/>
  </r>
  <r>
    <s v="24966"/>
    <s v="099 L/P - Summit"/>
    <m/>
    <m/>
    <m/>
    <m/>
    <m/>
    <m/>
    <n v="0"/>
    <x v="13"/>
    <n v="0"/>
  </r>
  <r>
    <s v="24967"/>
    <s v="100 L/P - Frame 1"/>
    <m/>
    <m/>
    <m/>
    <m/>
    <m/>
    <m/>
    <n v="0"/>
    <x v="13"/>
    <n v="0"/>
  </r>
  <r>
    <s v="24968"/>
    <s v="101 L/P - CIT"/>
    <m/>
    <m/>
    <m/>
    <m/>
    <m/>
    <m/>
    <n v="0"/>
    <x v="13"/>
    <n v="0"/>
  </r>
  <r>
    <s v="24969"/>
    <s v="102 L/P - Macquarie"/>
    <m/>
    <m/>
    <m/>
    <m/>
    <m/>
    <m/>
    <n v="0"/>
    <x v="13"/>
    <n v="0"/>
  </r>
  <r>
    <s v="24970"/>
    <s v="103 L/P - Element"/>
    <m/>
    <m/>
    <m/>
    <m/>
    <m/>
    <m/>
    <n v="0"/>
    <x v="13"/>
    <n v="0"/>
  </r>
  <r>
    <s v="24971"/>
    <s v="104 L/P - Fame 1 - Leaf"/>
    <m/>
    <m/>
    <m/>
    <m/>
    <m/>
    <m/>
    <n v="0"/>
    <x v="13"/>
    <n v="0"/>
  </r>
  <r>
    <s v="24973"/>
    <s v="106 L/P - EverBank"/>
    <m/>
    <m/>
    <m/>
    <m/>
    <m/>
    <m/>
    <n v="0"/>
    <x v="13"/>
    <n v="0"/>
  </r>
  <r>
    <s v="24974"/>
    <s v="107 L/P - M2"/>
    <m/>
    <m/>
    <m/>
    <m/>
    <m/>
    <m/>
    <n v="0"/>
    <x v="13"/>
    <n v="0"/>
  </r>
  <r>
    <s v="24975"/>
    <s v="108 L/P - Fame 1"/>
    <m/>
    <m/>
    <m/>
    <m/>
    <m/>
    <m/>
    <n v="0"/>
    <x v="13"/>
    <n v="0"/>
  </r>
  <r>
    <s v="24977"/>
    <s v="110 L/P - Western Equipment"/>
    <m/>
    <m/>
    <m/>
    <m/>
    <m/>
    <m/>
    <n v="0"/>
    <x v="13"/>
    <n v="0"/>
  </r>
  <r>
    <s v="24978"/>
    <s v="111 L/P - De Lage Landen"/>
    <m/>
    <m/>
    <m/>
    <m/>
    <m/>
    <m/>
    <n v="0"/>
    <x v="13"/>
    <n v="0"/>
  </r>
  <r>
    <s v="24979"/>
    <s v="112 L/P - Arlington"/>
    <m/>
    <m/>
    <m/>
    <m/>
    <m/>
    <m/>
    <n v="0"/>
    <x v="13"/>
    <n v="0"/>
  </r>
  <r>
    <s v="24980"/>
    <s v="113 N/P - Tacoma#  20098"/>
    <m/>
    <m/>
    <m/>
    <m/>
    <m/>
    <m/>
    <n v="0"/>
    <x v="13"/>
    <n v="0"/>
  </r>
  <r>
    <s v="24981"/>
    <s v="114 L/P - Nec"/>
    <m/>
    <m/>
    <m/>
    <m/>
    <m/>
    <m/>
    <n v="0"/>
    <x v="13"/>
    <n v="0"/>
  </r>
  <r>
    <s v="24982"/>
    <s v="115 N/P - Tacoma 21237"/>
    <m/>
    <m/>
    <m/>
    <m/>
    <m/>
    <m/>
    <n v="0"/>
    <x v="13"/>
    <n v="0"/>
  </r>
  <r>
    <s v="24983"/>
    <s v="116 N/P - Tacoma 20351"/>
    <m/>
    <m/>
    <m/>
    <m/>
    <m/>
    <m/>
    <n v="0"/>
    <x v="13"/>
    <n v="0"/>
  </r>
  <r>
    <s v="24984"/>
    <s v="117 L/P - HP Financial"/>
    <m/>
    <m/>
    <m/>
    <m/>
    <m/>
    <m/>
    <n v="0"/>
    <x v="13"/>
    <n v="0"/>
  </r>
  <r>
    <s v="24985"/>
    <s v="118 L/P - Macquarie"/>
    <m/>
    <m/>
    <m/>
    <m/>
    <m/>
    <m/>
    <n v="0"/>
    <x v="13"/>
    <n v="0"/>
  </r>
  <r>
    <s v="24986"/>
    <s v="119 L/P - Element"/>
    <m/>
    <m/>
    <m/>
    <m/>
    <m/>
    <m/>
    <n v="0"/>
    <x v="13"/>
    <n v="0"/>
  </r>
  <r>
    <s v="24988"/>
    <s v="121 L/P - Banc of Calif"/>
    <m/>
    <m/>
    <m/>
    <m/>
    <m/>
    <m/>
    <n v="0"/>
    <x v="13"/>
    <n v="0"/>
  </r>
  <r>
    <s v="24999"/>
    <s v="122 L/P - Technology Finance"/>
    <m/>
    <m/>
    <m/>
    <m/>
    <m/>
    <m/>
    <n v="0"/>
    <x v="13"/>
    <n v="0"/>
  </r>
  <r>
    <s v="25001"/>
    <s v="Credit Card AmEx 3000"/>
    <m/>
    <m/>
    <m/>
    <m/>
    <m/>
    <m/>
    <n v="0"/>
    <x v="11"/>
    <n v="0"/>
  </r>
  <r>
    <s v="25001.01"/>
    <s v="Credit Card AMEX 1019"/>
    <m/>
    <m/>
    <m/>
    <m/>
    <m/>
    <m/>
    <n v="0"/>
    <x v="11"/>
    <n v="0"/>
  </r>
  <r>
    <s v="25003"/>
    <s v="Credit Card Home Depot"/>
    <m/>
    <m/>
    <m/>
    <m/>
    <m/>
    <m/>
    <n v="0"/>
    <x v="11"/>
    <n v="0"/>
  </r>
  <r>
    <s v="25004"/>
    <s v="Credit Card Chase 8093 - 3079"/>
    <m/>
    <m/>
    <m/>
    <m/>
    <m/>
    <m/>
    <n v="0"/>
    <x v="11"/>
    <n v="0"/>
  </r>
  <r>
    <s v="25005"/>
    <s v="Credit Card United 6664 - 5834"/>
    <m/>
    <m/>
    <m/>
    <m/>
    <m/>
    <m/>
    <n v="0"/>
    <x v="11"/>
    <n v="0"/>
  </r>
  <r>
    <s v="25006"/>
    <s v="Credit Card Chas 5756 Employee"/>
    <m/>
    <m/>
    <m/>
    <m/>
    <m/>
    <m/>
    <n v="0"/>
    <x v="11"/>
    <n v="0"/>
  </r>
  <r>
    <s v="25007"/>
    <s v="Credit Card  AM EX CostCo 1008"/>
    <m/>
    <m/>
    <m/>
    <m/>
    <m/>
    <m/>
    <n v="0"/>
    <x v="11"/>
    <n v="0"/>
  </r>
  <r>
    <s v="25008"/>
    <s v="Credit Card Capital One"/>
    <m/>
    <m/>
    <m/>
    <m/>
    <m/>
    <m/>
    <n v="0"/>
    <x v="11"/>
    <n v="0"/>
  </r>
  <r>
    <s v="25008.01"/>
    <s v="Capital One"/>
    <m/>
    <m/>
    <m/>
    <m/>
    <m/>
    <m/>
    <n v="0"/>
    <x v="11"/>
    <n v="0"/>
  </r>
  <r>
    <s v="25012"/>
    <s v="Credit CardChase - United 9064"/>
    <m/>
    <m/>
    <m/>
    <m/>
    <m/>
    <m/>
    <n v="0"/>
    <x v="11"/>
    <n v="0"/>
  </r>
  <r>
    <s v="25013"/>
    <s v="123 L/P - HP"/>
    <m/>
    <m/>
    <m/>
    <m/>
    <m/>
    <m/>
    <n v="0"/>
    <x v="13"/>
    <n v="0"/>
  </r>
  <r>
    <s v="25014"/>
    <s v="125 L/P - De Lage Landen"/>
    <m/>
    <m/>
    <m/>
    <m/>
    <m/>
    <m/>
    <n v="0"/>
    <x v="13"/>
    <n v="0"/>
  </r>
  <r>
    <s v="25015"/>
    <s v="126 L/P - Summit"/>
    <m/>
    <m/>
    <m/>
    <m/>
    <m/>
    <m/>
    <n v="0"/>
    <x v="13"/>
    <n v="0"/>
  </r>
  <r>
    <s v="25016"/>
    <s v="127 N/P - East West Bank"/>
    <m/>
    <m/>
    <m/>
    <m/>
    <m/>
    <m/>
    <n v="0"/>
    <x v="13"/>
    <n v="0"/>
  </r>
  <r>
    <s v="25017"/>
    <s v="128 L/P - Technolology Finance"/>
    <m/>
    <m/>
    <m/>
    <m/>
    <m/>
    <m/>
    <n v="0"/>
    <x v="13"/>
    <n v="0"/>
  </r>
  <r>
    <s v="25018"/>
    <s v="129 L/P - Western"/>
    <m/>
    <m/>
    <m/>
    <m/>
    <m/>
    <m/>
    <n v="0"/>
    <x v="13"/>
    <n v="0"/>
  </r>
  <r>
    <s v="25019"/>
    <s v="130 L/P - De Lage Landen"/>
    <m/>
    <m/>
    <m/>
    <m/>
    <m/>
    <m/>
    <n v="0"/>
    <x v="13"/>
    <n v="0"/>
  </r>
  <r>
    <s v="25020"/>
    <s v="131 L/P - Element"/>
    <m/>
    <m/>
    <m/>
    <m/>
    <m/>
    <m/>
    <n v="0"/>
    <x v="13"/>
    <n v="0"/>
  </r>
  <r>
    <s v="25021"/>
    <s v="132 N/P - Corn Ford F350 60511"/>
    <m/>
    <m/>
    <m/>
    <m/>
    <m/>
    <m/>
    <n v="0"/>
    <x v="13"/>
    <n v="0"/>
  </r>
  <r>
    <s v="25022"/>
    <s v="133 N/P - Corn Ford F350 48471"/>
    <m/>
    <m/>
    <m/>
    <m/>
    <m/>
    <m/>
    <n v="0"/>
    <x v="13"/>
    <n v="0"/>
  </r>
  <r>
    <s v="25023"/>
    <s v="134 N/P - CP Tacoma 22948"/>
    <m/>
    <m/>
    <m/>
    <m/>
    <m/>
    <m/>
    <n v="0"/>
    <x v="13"/>
    <n v="0"/>
  </r>
  <r>
    <s v="25024"/>
    <s v="135 N/P - CP Tacoma 23555"/>
    <m/>
    <m/>
    <m/>
    <m/>
    <m/>
    <m/>
    <n v="0"/>
    <x v="13"/>
    <n v="0"/>
  </r>
  <r>
    <s v="25025"/>
    <s v="136 N/P - CP Tacoma 23233"/>
    <m/>
    <m/>
    <m/>
    <m/>
    <m/>
    <m/>
    <n v="0"/>
    <x v="13"/>
    <n v="0"/>
  </r>
  <r>
    <s v="25027"/>
    <s v="138 L/P - US Bank"/>
    <m/>
    <m/>
    <m/>
    <m/>
    <m/>
    <m/>
    <n v="0"/>
    <x v="13"/>
    <n v="0"/>
  </r>
  <r>
    <s v="25028"/>
    <s v="141 N/P - East West Bank - B"/>
    <m/>
    <m/>
    <m/>
    <m/>
    <m/>
    <m/>
    <n v="0"/>
    <x v="13"/>
    <n v="0"/>
  </r>
  <r>
    <s v="25029"/>
    <s v="139 L/P - Western"/>
    <m/>
    <m/>
    <m/>
    <m/>
    <m/>
    <m/>
    <n v="0"/>
    <x v="13"/>
    <n v="0"/>
  </r>
  <r>
    <s v="25030"/>
    <s v="140 L/P - US Bank"/>
    <m/>
    <m/>
    <m/>
    <m/>
    <m/>
    <m/>
    <n v="0"/>
    <x v="13"/>
    <n v="0"/>
  </r>
  <r>
    <s v="25031"/>
    <s v="142 L/P - US Bank Copier"/>
    <m/>
    <m/>
    <m/>
    <m/>
    <m/>
    <m/>
    <n v="0"/>
    <x v="13"/>
    <n v="0"/>
  </r>
  <r>
    <s v="25032"/>
    <s v="143 N/P - Ford F250 76076"/>
    <m/>
    <m/>
    <m/>
    <m/>
    <m/>
    <m/>
    <n v="0"/>
    <x v="13"/>
    <n v="0"/>
  </r>
  <r>
    <s v="25033"/>
    <s v="144 L/P - WISPer"/>
    <m/>
    <m/>
    <m/>
    <m/>
    <m/>
    <m/>
    <n v="0"/>
    <x v="13"/>
    <n v="0"/>
  </r>
  <r>
    <s v="25034"/>
    <s v="145 L/P - EverBank"/>
    <m/>
    <m/>
    <m/>
    <m/>
    <m/>
    <m/>
    <n v="0"/>
    <x v="13"/>
    <n v="0"/>
  </r>
  <r>
    <s v="25035"/>
    <s v="146 L/P - WISPer"/>
    <m/>
    <m/>
    <m/>
    <m/>
    <m/>
    <m/>
    <n v="0"/>
    <x v="13"/>
    <n v="0"/>
  </r>
  <r>
    <s v="25036"/>
    <s v="147 L/P - WISPer"/>
    <m/>
    <m/>
    <m/>
    <m/>
    <m/>
    <m/>
    <n v="0"/>
    <x v="13"/>
    <n v="0"/>
  </r>
  <r>
    <s v="25037"/>
    <s v="148 L/P - Axis Capital"/>
    <m/>
    <m/>
    <m/>
    <m/>
    <m/>
    <m/>
    <n v="0"/>
    <x v="13"/>
    <n v="0"/>
  </r>
  <r>
    <s v="25038"/>
    <s v="149 L/P - Axis Capital"/>
    <m/>
    <m/>
    <m/>
    <m/>
    <m/>
    <m/>
    <n v="0"/>
    <x v="13"/>
    <n v="0"/>
  </r>
  <r>
    <s v="25039"/>
    <s v="150 L/P - WISPer 4"/>
    <m/>
    <m/>
    <m/>
    <m/>
    <m/>
    <m/>
    <n v="0"/>
    <x v="13"/>
    <n v="0"/>
  </r>
  <r>
    <s v="25040"/>
    <s v="151 N/P - 2016 Ford F350"/>
    <m/>
    <m/>
    <m/>
    <m/>
    <m/>
    <m/>
    <n v="0"/>
    <x v="13"/>
    <n v="0"/>
  </r>
  <r>
    <s v="25041"/>
    <s v="152 L/P - AXIS CAPITAL"/>
    <m/>
    <m/>
    <m/>
    <m/>
    <m/>
    <m/>
    <n v="0"/>
    <x v="13"/>
    <n v="0"/>
  </r>
  <r>
    <s v="25042"/>
    <s v="153 L/p - Jules"/>
    <m/>
    <m/>
    <m/>
    <m/>
    <m/>
    <m/>
    <n v="0"/>
    <x v="13"/>
    <n v="0"/>
  </r>
  <r>
    <s v="25043"/>
    <s v="154 L/P - Jules 3"/>
    <m/>
    <m/>
    <m/>
    <m/>
    <m/>
    <m/>
    <n v="0"/>
    <x v="13"/>
    <n v="0"/>
  </r>
  <r>
    <s v="25044"/>
    <s v="155 L/P - Axis Capital 4"/>
    <m/>
    <m/>
    <m/>
    <m/>
    <m/>
    <m/>
    <n v="0"/>
    <x v="13"/>
    <n v="0"/>
  </r>
  <r>
    <s v="25045"/>
    <s v="156 L/P - Axis Capital 5"/>
    <m/>
    <m/>
    <m/>
    <m/>
    <m/>
    <m/>
    <n v="0"/>
    <x v="13"/>
    <n v="0"/>
  </r>
  <r>
    <s v="25046"/>
    <s v="157 L/P - Jules 4"/>
    <m/>
    <m/>
    <m/>
    <m/>
    <m/>
    <m/>
    <n v="0"/>
    <x v="13"/>
    <n v="0"/>
  </r>
  <r>
    <s v="25047"/>
    <s v="158 N/P - Toyota Motor Creditt"/>
    <m/>
    <m/>
    <m/>
    <m/>
    <m/>
    <m/>
    <n v="0"/>
    <x v="13"/>
    <n v="0"/>
  </r>
  <r>
    <s v="25048"/>
    <s v="159 L/P - Jules 6"/>
    <m/>
    <m/>
    <m/>
    <m/>
    <m/>
    <m/>
    <n v="0"/>
    <x v="13"/>
    <n v="0"/>
  </r>
  <r>
    <s v="25049"/>
    <s v="160 L/P - Technology Finance"/>
    <m/>
    <m/>
    <m/>
    <m/>
    <m/>
    <m/>
    <n v="0"/>
    <x v="13"/>
    <n v="0"/>
  </r>
  <r>
    <s v="25050"/>
    <s v="161 L/P - Alliance Funding"/>
    <m/>
    <m/>
    <m/>
    <m/>
    <m/>
    <m/>
    <n v="0"/>
    <x v="13"/>
    <n v="0"/>
  </r>
  <r>
    <s v="25051"/>
    <s v="162 L/P - Susquehanna"/>
    <m/>
    <m/>
    <m/>
    <m/>
    <m/>
    <m/>
    <n v="0"/>
    <x v="13"/>
    <n v="0"/>
  </r>
  <r>
    <s v="25052"/>
    <s v="163 L/P - Jules 5"/>
    <m/>
    <m/>
    <m/>
    <m/>
    <m/>
    <m/>
    <n v="0"/>
    <x v="13"/>
    <n v="0"/>
  </r>
  <r>
    <s v="25053"/>
    <s v="164 L/P -  TFC 5"/>
    <m/>
    <m/>
    <m/>
    <m/>
    <m/>
    <m/>
    <n v="0"/>
    <x v="13"/>
    <n v="0"/>
  </r>
  <r>
    <s v="25054"/>
    <s v="165 L/P - TFC 6"/>
    <m/>
    <m/>
    <m/>
    <m/>
    <m/>
    <m/>
    <n v="0"/>
    <x v="13"/>
    <n v="0"/>
  </r>
  <r>
    <s v="25055"/>
    <s v="166 L/P - TFC 7"/>
    <m/>
    <m/>
    <m/>
    <m/>
    <m/>
    <m/>
    <n v="0"/>
    <x v="13"/>
    <n v="0"/>
  </r>
  <r>
    <s v="25056"/>
    <s v="167 N/P - Sheffield"/>
    <m/>
    <m/>
    <m/>
    <m/>
    <m/>
    <m/>
    <n v="0"/>
    <x v="13"/>
    <n v="0"/>
  </r>
  <r>
    <s v="25057"/>
    <s v="168 N/P - TFC 8"/>
    <m/>
    <m/>
    <m/>
    <m/>
    <m/>
    <m/>
    <n v="0"/>
    <x v="13"/>
    <n v="0"/>
  </r>
  <r>
    <s v="24151"/>
    <s v="DPA AIR SHASTA"/>
    <m/>
    <m/>
    <m/>
    <m/>
    <m/>
    <m/>
    <n v="0"/>
    <x v="13"/>
    <n v="0"/>
  </r>
  <r>
    <s v="26900"/>
    <s v="Deferred Revenue"/>
    <m/>
    <m/>
    <m/>
    <m/>
    <m/>
    <m/>
    <n v="0"/>
    <x v="14"/>
    <n v="0"/>
  </r>
  <r>
    <s v="26900.01"/>
    <s v="DR HOLDING"/>
    <m/>
    <m/>
    <m/>
    <m/>
    <m/>
    <m/>
    <n v="0"/>
    <x v="14"/>
    <n v="0"/>
  </r>
  <r>
    <s v="26910"/>
    <s v="Deferred Revenuse Wholesale"/>
    <m/>
    <m/>
    <m/>
    <m/>
    <m/>
    <m/>
    <n v="0"/>
    <x v="14"/>
    <n v="0"/>
  </r>
  <r>
    <s v="26920"/>
    <s v="Deferred Revenue Other"/>
    <m/>
    <m/>
    <m/>
    <m/>
    <m/>
    <m/>
    <n v="0"/>
    <x v="14"/>
    <n v="0"/>
  </r>
  <r>
    <s v="26940"/>
    <s v="Deferred Revenue Comm Impact"/>
    <m/>
    <m/>
    <m/>
    <m/>
    <m/>
    <m/>
    <n v="0"/>
    <x v="14"/>
    <n v="0"/>
  </r>
  <r>
    <s v="26951"/>
    <s v="Deferred Revenue Bus Services"/>
    <m/>
    <m/>
    <m/>
    <m/>
    <m/>
    <m/>
    <n v="0"/>
    <x v="14"/>
    <n v="0"/>
  </r>
  <r>
    <s v="27948"/>
    <s v="083 N/P - 2012 Dodge Ram"/>
    <m/>
    <m/>
    <m/>
    <m/>
    <m/>
    <m/>
    <n v="0"/>
    <x v="10"/>
    <n v="0"/>
  </r>
  <r>
    <s v="27962"/>
    <s v="095 L/P - JB2 Funding"/>
    <m/>
    <m/>
    <m/>
    <m/>
    <m/>
    <m/>
    <n v="0"/>
    <x v="10"/>
    <n v="0"/>
  </r>
  <r>
    <s v="27965"/>
    <s v="098 L/P - Key Equipment"/>
    <m/>
    <m/>
    <m/>
    <m/>
    <m/>
    <m/>
    <n v="0"/>
    <x v="10"/>
    <n v="0"/>
  </r>
  <r>
    <s v="27966"/>
    <s v="099 L/P - Summit"/>
    <m/>
    <m/>
    <m/>
    <m/>
    <m/>
    <m/>
    <n v="0"/>
    <x v="10"/>
    <n v="0"/>
  </r>
  <r>
    <s v="27967"/>
    <s v="100 L/P - Fame 1"/>
    <m/>
    <m/>
    <m/>
    <m/>
    <m/>
    <m/>
    <n v="0"/>
    <x v="10"/>
    <n v="0"/>
  </r>
  <r>
    <s v="27968"/>
    <s v="101 L/P - CIT"/>
    <m/>
    <m/>
    <m/>
    <m/>
    <m/>
    <m/>
    <n v="0"/>
    <x v="10"/>
    <n v="0"/>
  </r>
  <r>
    <s v="27969"/>
    <s v="102 L/P - Macquarie"/>
    <m/>
    <m/>
    <m/>
    <m/>
    <m/>
    <m/>
    <n v="0"/>
    <x v="10"/>
    <n v="0"/>
  </r>
  <r>
    <s v="27970"/>
    <s v="103 L/P - Element"/>
    <m/>
    <m/>
    <m/>
    <m/>
    <m/>
    <m/>
    <n v="0"/>
    <x v="10"/>
    <n v="0"/>
  </r>
  <r>
    <s v="27971"/>
    <s v="104 L/P - Fame 1 - Leaf"/>
    <m/>
    <m/>
    <m/>
    <m/>
    <m/>
    <m/>
    <n v="0"/>
    <x v="10"/>
    <n v="0"/>
  </r>
  <r>
    <s v="27973"/>
    <s v="106 L/P - EverBank"/>
    <m/>
    <m/>
    <m/>
    <m/>
    <m/>
    <m/>
    <n v="0"/>
    <x v="10"/>
    <n v="0"/>
  </r>
  <r>
    <s v="27974"/>
    <s v="107 L/P - M2"/>
    <m/>
    <m/>
    <m/>
    <m/>
    <m/>
    <m/>
    <n v="0"/>
    <x v="10"/>
    <n v="0"/>
  </r>
  <r>
    <s v="27975"/>
    <s v="108 L/P - Fame 1"/>
    <m/>
    <m/>
    <m/>
    <m/>
    <m/>
    <m/>
    <n v="0"/>
    <x v="10"/>
    <n v="0"/>
  </r>
  <r>
    <s v="27977"/>
    <s v="110 L/P - Western Equipment"/>
    <m/>
    <m/>
    <m/>
    <m/>
    <m/>
    <m/>
    <n v="0"/>
    <x v="10"/>
    <n v="0"/>
  </r>
  <r>
    <s v="27978"/>
    <s v="111 L/P - De Lage Landen"/>
    <m/>
    <m/>
    <m/>
    <m/>
    <m/>
    <m/>
    <n v="0"/>
    <x v="10"/>
    <n v="0"/>
  </r>
  <r>
    <s v="27979"/>
    <s v="112 L/P - Arlington"/>
    <m/>
    <m/>
    <m/>
    <m/>
    <m/>
    <m/>
    <n v="0"/>
    <x v="10"/>
    <n v="0"/>
  </r>
  <r>
    <s v="27980"/>
    <s v="113 N/P - Tacoma # 20098"/>
    <m/>
    <m/>
    <m/>
    <m/>
    <m/>
    <m/>
    <n v="0"/>
    <x v="10"/>
    <n v="0"/>
  </r>
  <r>
    <s v="27981"/>
    <s v="114 L/P - Nec"/>
    <m/>
    <m/>
    <m/>
    <m/>
    <m/>
    <m/>
    <n v="0"/>
    <x v="10"/>
    <n v="0"/>
  </r>
  <r>
    <s v="27982"/>
    <s v="115 N/P - Tacoma 21237"/>
    <m/>
    <m/>
    <m/>
    <m/>
    <m/>
    <m/>
    <n v="0"/>
    <x v="10"/>
    <n v="0"/>
  </r>
  <r>
    <s v="27983"/>
    <s v="116 N/P - Tacoma 20351"/>
    <m/>
    <m/>
    <m/>
    <m/>
    <m/>
    <m/>
    <n v="0"/>
    <x v="10"/>
    <n v="0"/>
  </r>
  <r>
    <s v="27984"/>
    <s v="117 L/P - HP Financial"/>
    <m/>
    <m/>
    <m/>
    <m/>
    <m/>
    <m/>
    <n v="0"/>
    <x v="10"/>
    <n v="0"/>
  </r>
  <r>
    <s v="27985"/>
    <s v="118 L/P - Macquarie"/>
    <m/>
    <m/>
    <m/>
    <m/>
    <m/>
    <m/>
    <n v="0"/>
    <x v="10"/>
    <n v="0"/>
  </r>
  <r>
    <s v="27986"/>
    <s v="119 L/P - Element"/>
    <m/>
    <m/>
    <m/>
    <m/>
    <m/>
    <m/>
    <n v="0"/>
    <x v="10"/>
    <n v="0"/>
  </r>
  <r>
    <s v="27988"/>
    <s v="121 L/P - Banc of Calif"/>
    <m/>
    <m/>
    <m/>
    <m/>
    <m/>
    <m/>
    <n v="0"/>
    <x v="10"/>
    <n v="0"/>
  </r>
  <r>
    <s v="27999"/>
    <s v="122 L/P - Technology Finance"/>
    <m/>
    <m/>
    <m/>
    <m/>
    <m/>
    <m/>
    <n v="0"/>
    <x v="10"/>
    <n v="0"/>
  </r>
  <r>
    <s v="28013"/>
    <s v="123 L/P - HP"/>
    <m/>
    <m/>
    <m/>
    <m/>
    <m/>
    <m/>
    <n v="0"/>
    <x v="10"/>
    <n v="0"/>
  </r>
  <r>
    <s v="28014"/>
    <s v="125 L/P - De Lage"/>
    <m/>
    <m/>
    <m/>
    <m/>
    <m/>
    <m/>
    <n v="0"/>
    <x v="10"/>
    <n v="0"/>
  </r>
  <r>
    <s v="28015"/>
    <s v="126 L/P - Summit"/>
    <m/>
    <m/>
    <m/>
    <m/>
    <m/>
    <m/>
    <n v="0"/>
    <x v="10"/>
    <n v="0"/>
  </r>
  <r>
    <s v="28016"/>
    <s v="127 N/P - East West Bank"/>
    <m/>
    <m/>
    <m/>
    <m/>
    <m/>
    <m/>
    <n v="0"/>
    <x v="10"/>
    <n v="0"/>
  </r>
  <r>
    <s v="28017"/>
    <s v="128 L/P - Technology Finance"/>
    <m/>
    <m/>
    <m/>
    <m/>
    <m/>
    <m/>
    <n v="0"/>
    <x v="10"/>
    <n v="0"/>
  </r>
  <r>
    <s v="28018"/>
    <s v="129 L/P - Western"/>
    <m/>
    <m/>
    <m/>
    <m/>
    <m/>
    <m/>
    <n v="0"/>
    <x v="10"/>
    <n v="0"/>
  </r>
  <r>
    <s v="28019"/>
    <s v="130 L/P - De Lage Landen"/>
    <m/>
    <m/>
    <m/>
    <m/>
    <m/>
    <m/>
    <n v="0"/>
    <x v="10"/>
    <n v="0"/>
  </r>
  <r>
    <s v="28020"/>
    <s v="131 L/P -  Element"/>
    <m/>
    <m/>
    <m/>
    <m/>
    <m/>
    <m/>
    <n v="0"/>
    <x v="10"/>
    <n v="0"/>
  </r>
  <r>
    <s v="28021"/>
    <s v="132 N/P - Corn Ford F350 60511"/>
    <m/>
    <m/>
    <m/>
    <m/>
    <m/>
    <m/>
    <n v="0"/>
    <x v="10"/>
    <n v="0"/>
  </r>
  <r>
    <s v="28022"/>
    <s v="133 N/P - Corn Ford F350 48471"/>
    <m/>
    <m/>
    <m/>
    <m/>
    <m/>
    <m/>
    <n v="0"/>
    <x v="10"/>
    <n v="0"/>
  </r>
  <r>
    <s v="28023"/>
    <s v="134 N/P - CP Tacoma 22948"/>
    <m/>
    <m/>
    <m/>
    <m/>
    <m/>
    <m/>
    <n v="0"/>
    <x v="10"/>
    <n v="0"/>
  </r>
  <r>
    <s v="28024"/>
    <s v="135 N/P - CP Tacoma 23555"/>
    <m/>
    <m/>
    <m/>
    <m/>
    <m/>
    <m/>
    <n v="0"/>
    <x v="10"/>
    <n v="0"/>
  </r>
  <r>
    <s v="28025"/>
    <s v="136 N/P - CP Tacoma 23233"/>
    <m/>
    <m/>
    <m/>
    <m/>
    <m/>
    <m/>
    <n v="0"/>
    <x v="10"/>
    <n v="0"/>
  </r>
  <r>
    <s v="28027"/>
    <s v="138 L/P - US Bank"/>
    <m/>
    <m/>
    <m/>
    <m/>
    <m/>
    <m/>
    <n v="0"/>
    <x v="10"/>
    <n v="0"/>
  </r>
  <r>
    <s v="28028"/>
    <s v="141 N/P - East West Bank - B"/>
    <m/>
    <m/>
    <m/>
    <m/>
    <m/>
    <m/>
    <n v="0"/>
    <x v="10"/>
    <n v="0"/>
  </r>
  <r>
    <s v="28029"/>
    <s v="139 L/P - Western"/>
    <m/>
    <m/>
    <m/>
    <m/>
    <m/>
    <m/>
    <n v="0"/>
    <x v="10"/>
    <n v="0"/>
  </r>
  <r>
    <s v="28030"/>
    <s v="140 L/P - US Bank"/>
    <m/>
    <m/>
    <m/>
    <m/>
    <m/>
    <m/>
    <n v="0"/>
    <x v="10"/>
    <n v="0"/>
  </r>
  <r>
    <s v="28031"/>
    <s v="142 L/P - US Bank Copier"/>
    <m/>
    <m/>
    <m/>
    <m/>
    <m/>
    <m/>
    <n v="0"/>
    <x v="10"/>
    <n v="0"/>
  </r>
  <r>
    <s v="28032"/>
    <s v="143 N/P - Ford F250 76076"/>
    <m/>
    <m/>
    <m/>
    <m/>
    <m/>
    <m/>
    <n v="0"/>
    <x v="10"/>
    <n v="0"/>
  </r>
  <r>
    <s v="28033"/>
    <s v="144 L/P - WISPer"/>
    <m/>
    <m/>
    <m/>
    <m/>
    <m/>
    <m/>
    <n v="0"/>
    <x v="10"/>
    <n v="0"/>
  </r>
  <r>
    <s v="28034"/>
    <s v="145 L/P - EverBank"/>
    <m/>
    <m/>
    <m/>
    <m/>
    <m/>
    <m/>
    <n v="0"/>
    <x v="10"/>
    <n v="0"/>
  </r>
  <r>
    <s v="28035"/>
    <s v="146 L/P - WISPer"/>
    <m/>
    <m/>
    <m/>
    <m/>
    <m/>
    <m/>
    <n v="0"/>
    <x v="10"/>
    <n v="0"/>
  </r>
  <r>
    <s v="28036"/>
    <s v="147 L/P - WISPer"/>
    <m/>
    <m/>
    <m/>
    <m/>
    <m/>
    <m/>
    <n v="0"/>
    <x v="10"/>
    <n v="0"/>
  </r>
  <r>
    <s v="28037"/>
    <s v="148 L/P Axis Capital"/>
    <m/>
    <m/>
    <m/>
    <m/>
    <m/>
    <m/>
    <n v="0"/>
    <x v="10"/>
    <n v="0"/>
  </r>
  <r>
    <s v="28038"/>
    <s v="149 L/P - Axis Capital"/>
    <m/>
    <m/>
    <m/>
    <m/>
    <m/>
    <m/>
    <n v="0"/>
    <x v="10"/>
    <n v="0"/>
  </r>
  <r>
    <s v="28039"/>
    <s v="150 L/P - WISPer 4"/>
    <m/>
    <m/>
    <m/>
    <m/>
    <m/>
    <m/>
    <n v="0"/>
    <x v="10"/>
    <n v="0"/>
  </r>
  <r>
    <s v="28040"/>
    <s v="151 N/P - 2016 Ford F350"/>
    <m/>
    <m/>
    <m/>
    <m/>
    <m/>
    <m/>
    <n v="0"/>
    <x v="10"/>
    <n v="0"/>
  </r>
  <r>
    <s v="28041"/>
    <s v="152 L/P - AXIS CAPITAL"/>
    <m/>
    <m/>
    <m/>
    <m/>
    <m/>
    <m/>
    <n v="0"/>
    <x v="10"/>
    <n v="0"/>
  </r>
  <r>
    <s v="28042"/>
    <s v="153 L/p - Jules"/>
    <m/>
    <m/>
    <m/>
    <m/>
    <m/>
    <m/>
    <n v="0"/>
    <x v="10"/>
    <n v="0"/>
  </r>
  <r>
    <s v="28043"/>
    <s v="154 L/P - Jules 3"/>
    <m/>
    <m/>
    <m/>
    <m/>
    <m/>
    <m/>
    <n v="0"/>
    <x v="10"/>
    <n v="0"/>
  </r>
  <r>
    <s v="28044"/>
    <s v="155 L/P - Axis Capital 4"/>
    <m/>
    <m/>
    <m/>
    <m/>
    <m/>
    <m/>
    <n v="0"/>
    <x v="10"/>
    <n v="0"/>
  </r>
  <r>
    <s v="28045"/>
    <s v="156 L/P - Axis Capital 5"/>
    <m/>
    <m/>
    <m/>
    <m/>
    <m/>
    <m/>
    <n v="0"/>
    <x v="10"/>
    <n v="0"/>
  </r>
  <r>
    <s v="28046"/>
    <s v="157 L/P - Jules 4"/>
    <m/>
    <m/>
    <m/>
    <m/>
    <m/>
    <m/>
    <n v="0"/>
    <x v="10"/>
    <n v="0"/>
  </r>
  <r>
    <s v="28047"/>
    <s v="158 N/P - Toyota Motor Credit"/>
    <m/>
    <m/>
    <m/>
    <m/>
    <m/>
    <m/>
    <n v="0"/>
    <x v="10"/>
    <n v="0"/>
  </r>
  <r>
    <s v="28048"/>
    <s v="159 L/P - Jules 6"/>
    <m/>
    <m/>
    <m/>
    <m/>
    <m/>
    <m/>
    <n v="0"/>
    <x v="10"/>
    <n v="0"/>
  </r>
  <r>
    <s v="28049"/>
    <s v="160 L/P - Technology Finance"/>
    <m/>
    <m/>
    <m/>
    <m/>
    <m/>
    <m/>
    <n v="0"/>
    <x v="10"/>
    <n v="0"/>
  </r>
  <r>
    <s v="28050"/>
    <s v="161 L/P - Alliance Funding"/>
    <m/>
    <m/>
    <m/>
    <m/>
    <m/>
    <m/>
    <n v="0"/>
    <x v="10"/>
    <n v="0"/>
  </r>
  <r>
    <s v="28051"/>
    <s v="162 L/P - Susquehanna"/>
    <m/>
    <m/>
    <m/>
    <m/>
    <m/>
    <m/>
    <n v="0"/>
    <x v="10"/>
    <n v="0"/>
  </r>
  <r>
    <s v="28052"/>
    <s v="163 L/P - Jules 5"/>
    <m/>
    <m/>
    <m/>
    <m/>
    <m/>
    <m/>
    <n v="0"/>
    <x v="10"/>
    <n v="0"/>
  </r>
  <r>
    <s v="28053"/>
    <s v="164 L/P -  TFC 5"/>
    <m/>
    <m/>
    <m/>
    <m/>
    <m/>
    <m/>
    <n v="0"/>
    <x v="10"/>
    <n v="0"/>
  </r>
  <r>
    <s v="28054"/>
    <s v="165 L/P - TFC 6"/>
    <m/>
    <m/>
    <m/>
    <m/>
    <m/>
    <m/>
    <n v="0"/>
    <x v="10"/>
    <n v="0"/>
  </r>
  <r>
    <s v="28055"/>
    <s v="166 L/P - TFC 7"/>
    <m/>
    <m/>
    <m/>
    <m/>
    <m/>
    <m/>
    <n v="0"/>
    <x v="10"/>
    <n v="0"/>
  </r>
  <r>
    <s v="28056"/>
    <s v="167 N/P - Sheffield"/>
    <m/>
    <m/>
    <m/>
    <m/>
    <m/>
    <m/>
    <n v="0"/>
    <x v="10"/>
    <n v="0"/>
  </r>
  <r>
    <s v="28057"/>
    <s v="168 N/P - TFC 8"/>
    <m/>
    <m/>
    <m/>
    <m/>
    <m/>
    <m/>
    <n v="0"/>
    <x v="10"/>
    <n v="0"/>
  </r>
  <r>
    <n v="27151"/>
    <s v="AIR SHASTA"/>
    <m/>
    <m/>
    <m/>
    <m/>
    <m/>
    <m/>
    <n v="0"/>
    <x v="10"/>
    <n v="0"/>
  </r>
  <r>
    <n v="27250"/>
    <s v="2x NP DPI - Intercompany"/>
    <m/>
    <m/>
    <m/>
    <m/>
    <n v="0"/>
    <m/>
    <n v="0"/>
    <x v="8"/>
    <n v="0"/>
  </r>
  <r>
    <s v="20275"/>
    <s v="DPA NP DPI - Intercompany"/>
    <m/>
    <m/>
    <m/>
    <m/>
    <n v="0"/>
    <m/>
    <n v="0"/>
    <x v="8"/>
    <n v="0"/>
  </r>
  <r>
    <s v="29000"/>
    <s v="Warrant Liability"/>
    <m/>
    <m/>
    <m/>
    <m/>
    <m/>
    <m/>
    <n v="0"/>
    <x v="15"/>
    <n v="0"/>
  </r>
  <r>
    <s v="38400"/>
    <s v="Contra Account - Sales Leaseback"/>
    <m/>
    <m/>
    <m/>
    <m/>
    <m/>
    <m/>
    <n v="0"/>
    <x v="16"/>
    <n v="0"/>
  </r>
  <r>
    <s v="38500"/>
    <s v="Contra Account - Interco Sales"/>
    <m/>
    <m/>
    <m/>
    <m/>
    <m/>
    <n v="0"/>
    <n v="0"/>
    <x v="16"/>
    <n v="0"/>
  </r>
  <r>
    <s v="39005"/>
    <s v="Retained Earnings"/>
    <m/>
    <m/>
    <m/>
    <m/>
    <m/>
    <m/>
    <n v="0"/>
    <x v="16"/>
    <n v="0"/>
  </r>
  <r>
    <s v="39907"/>
    <s v="Stock"/>
    <m/>
    <m/>
    <m/>
    <n v="0"/>
    <m/>
    <m/>
    <n v="0"/>
    <x v="17"/>
    <n v="0"/>
  </r>
  <r>
    <s v="39908"/>
    <s v="Preferred Stock"/>
    <m/>
    <m/>
    <m/>
    <m/>
    <m/>
    <m/>
    <n v="0"/>
    <x v="18"/>
    <n v="0"/>
  </r>
  <r>
    <s v="39910"/>
    <s v="APIC - add. paid in Capital"/>
    <m/>
    <m/>
    <m/>
    <m/>
    <m/>
    <m/>
    <n v="0"/>
    <x v="19"/>
    <n v="0"/>
  </r>
  <r>
    <s v=""/>
    <s v="Net Income"/>
    <m/>
    <m/>
    <m/>
    <m/>
    <m/>
    <m/>
    <n v="0"/>
    <x v="16"/>
    <n v="0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count="142">
  <r>
    <s v="40000"/>
    <s v="Retail-Monthly Subscriptions"/>
    <m/>
    <m/>
    <m/>
    <m/>
    <m/>
    <m/>
    <n v="0"/>
    <x v="0"/>
    <n v="0"/>
  </r>
  <r>
    <s v="40001"/>
    <s v="Retail - Other accounts"/>
    <m/>
    <m/>
    <m/>
    <m/>
    <m/>
    <m/>
    <n v="0"/>
    <x v="0"/>
    <n v="0"/>
  </r>
  <r>
    <s v="40200"/>
    <s v="Retail-Set-Up Fees"/>
    <m/>
    <m/>
    <m/>
    <m/>
    <m/>
    <m/>
    <n v="0"/>
    <x v="0"/>
    <n v="0"/>
  </r>
  <r>
    <s v="40400"/>
    <s v="Retail-Other Income"/>
    <m/>
    <m/>
    <m/>
    <m/>
    <m/>
    <m/>
    <n v="0"/>
    <x v="0"/>
    <n v="0"/>
  </r>
  <r>
    <s v="40600"/>
    <s v="Rural Market- Monthly Subscrip"/>
    <m/>
    <m/>
    <m/>
    <m/>
    <m/>
    <m/>
    <n v="0"/>
    <x v="0"/>
    <n v="0"/>
  </r>
  <r>
    <s v="46500"/>
    <s v="Intercompany transfer of assets (Sales)"/>
    <m/>
    <m/>
    <m/>
    <m/>
    <m/>
    <n v="0"/>
    <n v="0"/>
    <x v="0"/>
    <n v="0"/>
  </r>
  <r>
    <s v="40601"/>
    <s v="Rural Market- Equipment Sales"/>
    <m/>
    <m/>
    <m/>
    <m/>
    <m/>
    <m/>
    <n v="0"/>
    <x v="0"/>
    <n v="0"/>
  </r>
  <r>
    <s v="40602"/>
    <s v="Rural Market-Set Up Fees"/>
    <m/>
    <m/>
    <m/>
    <m/>
    <m/>
    <m/>
    <n v="0"/>
    <x v="0"/>
    <n v="0"/>
  </r>
  <r>
    <s v="40603"/>
    <s v="Rural Market-Other Income"/>
    <m/>
    <m/>
    <m/>
    <m/>
    <m/>
    <m/>
    <n v="0"/>
    <x v="0"/>
    <n v="0"/>
  </r>
  <r>
    <s v="40604"/>
    <s v="Rural Market - T-Mobile"/>
    <m/>
    <m/>
    <m/>
    <m/>
    <m/>
    <m/>
    <n v="0"/>
    <x v="0"/>
    <n v="0"/>
  </r>
  <r>
    <s v="40800"/>
    <s v="Business Sys  - Monthly Subscr"/>
    <m/>
    <m/>
    <m/>
    <m/>
    <m/>
    <m/>
    <n v="0"/>
    <x v="0"/>
    <n v="0"/>
  </r>
  <r>
    <s v="40800.01"/>
    <s v="Business Phone Services"/>
    <m/>
    <m/>
    <m/>
    <m/>
    <m/>
    <m/>
    <n v="0"/>
    <x v="0"/>
    <n v="0"/>
  </r>
  <r>
    <s v="40801"/>
    <s v="Business Services - Equipment"/>
    <m/>
    <m/>
    <m/>
    <m/>
    <m/>
    <m/>
    <n v="0"/>
    <x v="0"/>
    <n v="0"/>
  </r>
  <r>
    <s v="40802"/>
    <s v="Business Services - SetUp Fee"/>
    <m/>
    <m/>
    <m/>
    <m/>
    <m/>
    <m/>
    <n v="0"/>
    <x v="0"/>
    <n v="0"/>
  </r>
  <r>
    <s v="40803"/>
    <s v="Business Services Other Inc"/>
    <m/>
    <m/>
    <m/>
    <m/>
    <m/>
    <m/>
    <n v="0"/>
    <x v="0"/>
    <n v="0"/>
  </r>
  <r>
    <s v="40804"/>
    <s v="Bus Sys - Phone Charge"/>
    <m/>
    <m/>
    <m/>
    <m/>
    <m/>
    <m/>
    <n v="0"/>
    <x v="0"/>
    <n v="0"/>
  </r>
  <r>
    <s v="40807"/>
    <s v="Business Services - Barter"/>
    <m/>
    <m/>
    <m/>
    <m/>
    <m/>
    <m/>
    <n v="0"/>
    <x v="0"/>
    <n v="0"/>
  </r>
  <r>
    <s v="40808"/>
    <s v="Business Services One Time Fee"/>
    <m/>
    <m/>
    <m/>
    <m/>
    <m/>
    <m/>
    <n v="0"/>
    <x v="0"/>
    <n v="0"/>
  </r>
  <r>
    <s v="41000"/>
    <s v="Wholesale-Monthly Subscription"/>
    <m/>
    <m/>
    <m/>
    <m/>
    <m/>
    <m/>
    <n v="0"/>
    <x v="0"/>
    <n v="0"/>
  </r>
  <r>
    <s v="41300"/>
    <s v="Wholesale-Other Income"/>
    <m/>
    <m/>
    <m/>
    <m/>
    <m/>
    <m/>
    <n v="0"/>
    <x v="0"/>
    <n v="0"/>
  </r>
  <r>
    <s v="43000"/>
    <s v="Hot Spot - Monthly Subs"/>
    <m/>
    <m/>
    <m/>
    <m/>
    <m/>
    <m/>
    <n v="0"/>
    <x v="0"/>
    <n v="0"/>
  </r>
  <r>
    <s v="46000"/>
    <s v="Customer Refunds"/>
    <m/>
    <m/>
    <m/>
    <m/>
    <m/>
    <m/>
    <n v="0"/>
    <x v="0"/>
    <n v="0"/>
  </r>
  <r>
    <s v="46000.01"/>
    <s v="Bus Services Customer Refunds"/>
    <m/>
    <m/>
    <m/>
    <m/>
    <m/>
    <m/>
    <n v="0"/>
    <x v="0"/>
    <n v="0"/>
  </r>
  <r>
    <s v="46100"/>
    <s v="Service Credits"/>
    <m/>
    <m/>
    <m/>
    <m/>
    <m/>
    <m/>
    <n v="0"/>
    <x v="0"/>
    <n v="0"/>
  </r>
  <r>
    <s v="48200"/>
    <s v="Other Income"/>
    <m/>
    <m/>
    <m/>
    <m/>
    <m/>
    <m/>
    <n v="0"/>
    <x v="0"/>
    <n v="0"/>
  </r>
  <r>
    <s v="48202"/>
    <s v="Long Distance Income"/>
    <m/>
    <m/>
    <m/>
    <m/>
    <m/>
    <m/>
    <n v="0"/>
    <x v="0"/>
    <n v="0"/>
  </r>
  <r>
    <s v="48203"/>
    <s v="Phone Income"/>
    <m/>
    <m/>
    <m/>
    <m/>
    <m/>
    <m/>
    <n v="0"/>
    <x v="0"/>
    <n v="0"/>
  </r>
  <r>
    <s v="50000"/>
    <s v="Internet Cost"/>
    <m/>
    <m/>
    <m/>
    <m/>
    <m/>
    <m/>
    <n v="0"/>
    <x v="1"/>
    <n v="0"/>
  </r>
  <r>
    <s v="50000.01"/>
    <s v="Internet Cost - Bus Services"/>
    <m/>
    <m/>
    <m/>
    <m/>
    <m/>
    <m/>
    <n v="0"/>
    <x v="1"/>
    <n v="0"/>
  </r>
  <r>
    <s v="50201"/>
    <s v="VOIP Costs"/>
    <m/>
    <m/>
    <m/>
    <m/>
    <m/>
    <m/>
    <n v="0"/>
    <x v="1"/>
    <n v="0"/>
  </r>
  <r>
    <s v="50500"/>
    <s v="Gateway / RPOP"/>
    <m/>
    <m/>
    <m/>
    <m/>
    <m/>
    <m/>
    <n v="0"/>
    <x v="1"/>
    <n v="0"/>
  </r>
  <r>
    <s v="63500"/>
    <s v="Commissions"/>
    <m/>
    <m/>
    <m/>
    <m/>
    <m/>
    <m/>
    <n v="0"/>
    <x v="1"/>
    <n v="0"/>
  </r>
  <r>
    <s v="63800"/>
    <s v="Sub-Contractors"/>
    <m/>
    <m/>
    <m/>
    <m/>
    <m/>
    <m/>
    <n v="0"/>
    <x v="1"/>
    <n v="0"/>
  </r>
  <r>
    <s v="75000"/>
    <s v="Manufacturing Supplies"/>
    <m/>
    <m/>
    <m/>
    <m/>
    <m/>
    <m/>
    <n v="0"/>
    <x v="1"/>
    <n v="0"/>
  </r>
  <r>
    <m/>
    <s v="Hardware costs"/>
    <m/>
    <m/>
    <m/>
    <m/>
    <m/>
    <m/>
    <n v="0"/>
    <x v="1"/>
    <n v="0"/>
  </r>
  <r>
    <m/>
    <s v="COGS - Intercompany transfer of assets"/>
    <m/>
    <m/>
    <m/>
    <m/>
    <m/>
    <n v="0"/>
    <n v="0"/>
    <x v="1"/>
    <n v="0"/>
  </r>
  <r>
    <s v="60100"/>
    <s v="Advertising &amp; Promotion"/>
    <m/>
    <m/>
    <m/>
    <m/>
    <m/>
    <m/>
    <n v="0"/>
    <x v="2"/>
    <n v="0"/>
  </r>
  <r>
    <s v="60125"/>
    <s v="Advertising Barter"/>
    <m/>
    <m/>
    <m/>
    <m/>
    <m/>
    <m/>
    <n v="0"/>
    <x v="2"/>
    <n v="0"/>
  </r>
  <r>
    <s v="60200"/>
    <s v="Referral Credits"/>
    <m/>
    <m/>
    <m/>
    <m/>
    <m/>
    <m/>
    <n v="0"/>
    <x v="2"/>
    <n v="0"/>
  </r>
  <r>
    <s v="60500"/>
    <s v="Amortization"/>
    <m/>
    <m/>
    <m/>
    <m/>
    <m/>
    <m/>
    <n v="0"/>
    <x v="3"/>
    <n v="0"/>
  </r>
  <r>
    <s v="61000"/>
    <s v="Vehicle Repairs"/>
    <m/>
    <m/>
    <m/>
    <m/>
    <m/>
    <m/>
    <n v="0"/>
    <x v="4"/>
    <n v="0"/>
  </r>
  <r>
    <s v="61000.01"/>
    <s v="Vehicle - Tune up &amp; Oil Change"/>
    <m/>
    <m/>
    <m/>
    <m/>
    <m/>
    <m/>
    <n v="0"/>
    <x v="1"/>
    <n v="0"/>
  </r>
  <r>
    <s v="61000.02"/>
    <s v="Vehicle - Tires"/>
    <m/>
    <m/>
    <m/>
    <m/>
    <m/>
    <m/>
    <n v="0"/>
    <x v="1"/>
    <n v="0"/>
  </r>
  <r>
    <s v="61000.03"/>
    <s v="Vehicle Repairs - Misc"/>
    <m/>
    <m/>
    <m/>
    <m/>
    <m/>
    <m/>
    <n v="0"/>
    <x v="1"/>
    <n v="0"/>
  </r>
  <r>
    <s v="61100"/>
    <s v="Vehicle Gasoline - General"/>
    <m/>
    <m/>
    <m/>
    <m/>
    <m/>
    <m/>
    <n v="0"/>
    <x v="4"/>
    <n v="0"/>
  </r>
  <r>
    <s v="61100.01"/>
    <s v="Vehicle Gasoline - Expansion"/>
    <m/>
    <m/>
    <m/>
    <m/>
    <m/>
    <m/>
    <n v="0"/>
    <x v="4"/>
    <n v="0"/>
  </r>
  <r>
    <s v="61100.02"/>
    <s v="Vehicle Gas - Installers"/>
    <m/>
    <m/>
    <m/>
    <m/>
    <m/>
    <m/>
    <n v="0"/>
    <x v="4"/>
    <n v="0"/>
  </r>
  <r>
    <s v="61100.03"/>
    <s v="Vehicle Propane generators"/>
    <m/>
    <m/>
    <m/>
    <m/>
    <m/>
    <m/>
    <n v="0"/>
    <x v="4"/>
    <n v="0"/>
  </r>
  <r>
    <s v="61100.04"/>
    <s v="Vehicle Gasoline &amp; Oil"/>
    <m/>
    <m/>
    <m/>
    <m/>
    <m/>
    <m/>
    <n v="0"/>
    <x v="4"/>
    <n v="0"/>
  </r>
  <r>
    <s v="61200"/>
    <s v="Vehicle Registration"/>
    <m/>
    <m/>
    <m/>
    <m/>
    <m/>
    <m/>
    <n v="0"/>
    <x v="4"/>
    <n v="0"/>
  </r>
  <r>
    <s v="61500.02"/>
    <s v="Bad Debt"/>
    <m/>
    <m/>
    <m/>
    <m/>
    <m/>
    <m/>
    <n v="0"/>
    <x v="4"/>
    <n v="0"/>
  </r>
  <r>
    <s v="62000"/>
    <s v="Bank Charges"/>
    <m/>
    <m/>
    <m/>
    <m/>
    <m/>
    <m/>
    <n v="0"/>
    <x v="4"/>
    <n v="0"/>
  </r>
  <r>
    <s v="62100"/>
    <s v="Credit Card Discounts"/>
    <m/>
    <m/>
    <m/>
    <m/>
    <m/>
    <m/>
    <n v="0"/>
    <x v="4"/>
    <n v="0"/>
  </r>
  <r>
    <s v="62500"/>
    <s v="Cash (Over) Short"/>
    <m/>
    <m/>
    <m/>
    <m/>
    <m/>
    <m/>
    <n v="0"/>
    <x v="4"/>
    <n v="0"/>
  </r>
  <r>
    <s v="63700"/>
    <s v="Outside Services"/>
    <m/>
    <m/>
    <m/>
    <m/>
    <m/>
    <m/>
    <n v="0"/>
    <x v="4"/>
    <n v="0"/>
  </r>
  <r>
    <s v="64000.07"/>
    <s v="Depreciation"/>
    <m/>
    <m/>
    <m/>
    <m/>
    <m/>
    <m/>
    <n v="0"/>
    <x v="3"/>
    <n v="0"/>
  </r>
  <r>
    <s v="64500.01"/>
    <s v="Dues &amp; Subscriptions"/>
    <m/>
    <m/>
    <m/>
    <m/>
    <m/>
    <m/>
    <n v="0"/>
    <x v="4"/>
    <n v="0"/>
  </r>
  <r>
    <s v="65000"/>
    <s v="Employee Relations"/>
    <m/>
    <m/>
    <m/>
    <m/>
    <m/>
    <m/>
    <n v="0"/>
    <x v="4"/>
    <n v="0"/>
  </r>
  <r>
    <s v="65100"/>
    <s v="Employee Recruiting/Screening"/>
    <m/>
    <m/>
    <m/>
    <m/>
    <m/>
    <m/>
    <n v="0"/>
    <x v="4"/>
    <n v="0"/>
  </r>
  <r>
    <s v="65300"/>
    <s v="Employee Training"/>
    <m/>
    <m/>
    <m/>
    <m/>
    <m/>
    <m/>
    <n v="0"/>
    <x v="4"/>
    <n v="0"/>
  </r>
  <r>
    <s v="66000"/>
    <s v="Gifts"/>
    <m/>
    <m/>
    <m/>
    <m/>
    <m/>
    <m/>
    <n v="0"/>
    <x v="4"/>
    <n v="0"/>
  </r>
  <r>
    <s v="66500"/>
    <s v="Income Tax Expense"/>
    <m/>
    <m/>
    <m/>
    <m/>
    <m/>
    <m/>
    <n v="0"/>
    <x v="4"/>
    <n v="0"/>
  </r>
  <r>
    <s v="67000"/>
    <s v="Insurance - Property/Liability"/>
    <m/>
    <m/>
    <m/>
    <m/>
    <m/>
    <m/>
    <n v="0"/>
    <x v="4"/>
    <n v="0"/>
  </r>
  <r>
    <s v="67100"/>
    <s v="Insurance - Vehicle"/>
    <m/>
    <m/>
    <m/>
    <m/>
    <m/>
    <m/>
    <n v="0"/>
    <x v="4"/>
    <n v="0"/>
  </r>
  <r>
    <s v="67200"/>
    <s v="Insurance - Officers"/>
    <m/>
    <m/>
    <m/>
    <m/>
    <m/>
    <m/>
    <n v="0"/>
    <x v="4"/>
    <n v="0"/>
  </r>
  <r>
    <s v="67300"/>
    <s v="Insurance - Medical"/>
    <m/>
    <m/>
    <m/>
    <m/>
    <m/>
    <m/>
    <n v="0"/>
    <x v="4"/>
    <n v="0"/>
  </r>
  <r>
    <s v="67310"/>
    <s v="Insurance- Life"/>
    <m/>
    <m/>
    <m/>
    <m/>
    <m/>
    <m/>
    <n v="0"/>
    <x v="4"/>
    <n v="0"/>
  </r>
  <r>
    <s v="67400"/>
    <s v="Insurance - Workers Comp"/>
    <m/>
    <m/>
    <m/>
    <m/>
    <m/>
    <m/>
    <n v="0"/>
    <x v="4"/>
    <n v="0"/>
  </r>
  <r>
    <s v="67500"/>
    <s v="Interest"/>
    <m/>
    <m/>
    <m/>
    <m/>
    <m/>
    <m/>
    <n v="0"/>
    <x v="5"/>
    <n v="0"/>
  </r>
  <r>
    <s v="68000"/>
    <s v="Cleaning &amp; Janitorial"/>
    <m/>
    <m/>
    <m/>
    <m/>
    <m/>
    <m/>
    <n v="0"/>
    <x v="4"/>
    <n v="0"/>
  </r>
  <r>
    <s v="68500"/>
    <s v="Legal &amp; Accounting"/>
    <m/>
    <m/>
    <m/>
    <m/>
    <m/>
    <m/>
    <n v="0"/>
    <x v="4"/>
    <n v="0"/>
  </r>
  <r>
    <s v="68550"/>
    <s v="Loan/Lease Fees"/>
    <m/>
    <m/>
    <m/>
    <m/>
    <m/>
    <m/>
    <n v="0"/>
    <x v="4"/>
    <n v="0"/>
  </r>
  <r>
    <s v="68600"/>
    <s v="Consultant Fees"/>
    <m/>
    <m/>
    <m/>
    <m/>
    <m/>
    <m/>
    <n v="0"/>
    <x v="4"/>
    <n v="0"/>
  </r>
  <r>
    <s v="69000"/>
    <s v="Permits &amp; Licenses"/>
    <m/>
    <m/>
    <m/>
    <m/>
    <m/>
    <m/>
    <n v="0"/>
    <x v="4"/>
    <n v="0"/>
  </r>
  <r>
    <s v="70000"/>
    <s v="Maintenance Expense"/>
    <m/>
    <m/>
    <m/>
    <m/>
    <m/>
    <m/>
    <n v="0"/>
    <x v="4"/>
    <n v="0"/>
  </r>
  <r>
    <s v="70500"/>
    <s v="Meals &amp; Entertainment"/>
    <m/>
    <m/>
    <m/>
    <m/>
    <m/>
    <m/>
    <n v="0"/>
    <x v="4"/>
    <n v="0"/>
  </r>
  <r>
    <s v="71000"/>
    <s v="Office Supplies"/>
    <m/>
    <m/>
    <m/>
    <m/>
    <m/>
    <m/>
    <n v="0"/>
    <x v="4"/>
    <n v="0"/>
  </r>
  <r>
    <s v="72101"/>
    <s v="Payroll Tax IRS"/>
    <m/>
    <m/>
    <m/>
    <m/>
    <m/>
    <m/>
    <n v="0"/>
    <x v="4"/>
    <n v="0"/>
  </r>
  <r>
    <s v="72201"/>
    <s v="Payroll Tax EDD"/>
    <m/>
    <m/>
    <m/>
    <m/>
    <m/>
    <m/>
    <n v="0"/>
    <x v="4"/>
    <n v="0"/>
  </r>
  <r>
    <s v="72600"/>
    <s v="Late Fees"/>
    <m/>
    <m/>
    <m/>
    <m/>
    <m/>
    <m/>
    <n v="0"/>
    <x v="4"/>
    <n v="0"/>
  </r>
  <r>
    <s v="73000"/>
    <s v="Taxes Paid"/>
    <m/>
    <m/>
    <m/>
    <m/>
    <m/>
    <m/>
    <n v="0"/>
    <x v="6"/>
    <n v="0"/>
  </r>
  <r>
    <s v="73100"/>
    <s v="Sales Tax Paid"/>
    <m/>
    <m/>
    <m/>
    <m/>
    <m/>
    <m/>
    <n v="0"/>
    <x v="4"/>
    <n v="0"/>
  </r>
  <r>
    <s v="73200"/>
    <s v="Property Taxes Paid"/>
    <m/>
    <m/>
    <m/>
    <m/>
    <m/>
    <m/>
    <n v="0"/>
    <x v="4"/>
    <n v="0"/>
  </r>
  <r>
    <s v="73500"/>
    <s v="Postage"/>
    <m/>
    <m/>
    <m/>
    <m/>
    <m/>
    <m/>
    <n v="0"/>
    <x v="4"/>
    <n v="0"/>
  </r>
  <r>
    <s v="73550.01"/>
    <s v="Shipping &amp; Handling"/>
    <m/>
    <m/>
    <m/>
    <m/>
    <m/>
    <m/>
    <n v="0"/>
    <x v="4"/>
    <n v="0"/>
  </r>
  <r>
    <s v="74000"/>
    <s v="Rent / Lease"/>
    <m/>
    <m/>
    <m/>
    <m/>
    <m/>
    <m/>
    <n v="0"/>
    <x v="4"/>
    <n v="0"/>
  </r>
  <r>
    <s v="74000.01"/>
    <s v="Rent / Lease Helicopter"/>
    <m/>
    <m/>
    <m/>
    <m/>
    <m/>
    <m/>
    <n v="0"/>
    <x v="4"/>
    <n v="0"/>
  </r>
  <r>
    <s v="74100"/>
    <s v="Equipment Rental"/>
    <m/>
    <m/>
    <m/>
    <m/>
    <m/>
    <m/>
    <n v="0"/>
    <x v="4"/>
    <n v="0"/>
  </r>
  <r>
    <s v="74400"/>
    <s v="Small Tools"/>
    <m/>
    <m/>
    <m/>
    <m/>
    <m/>
    <m/>
    <n v="0"/>
    <x v="4"/>
    <n v="0"/>
  </r>
  <r>
    <s v="74500"/>
    <s v="Repairs &amp; Maintenance"/>
    <m/>
    <m/>
    <m/>
    <m/>
    <m/>
    <m/>
    <n v="0"/>
    <x v="4"/>
    <n v="0"/>
  </r>
  <r>
    <s v="74600"/>
    <s v="Research &amp; Development"/>
    <m/>
    <m/>
    <m/>
    <m/>
    <m/>
    <m/>
    <n v="0"/>
    <x v="4"/>
    <n v="0"/>
  </r>
  <r>
    <s v="75000.1"/>
    <s v="Mountain Networks"/>
    <m/>
    <m/>
    <m/>
    <m/>
    <m/>
    <m/>
    <n v="0"/>
    <x v="4"/>
    <n v="0"/>
  </r>
  <r>
    <s v="75500"/>
    <s v="Operating Supplies"/>
    <m/>
    <m/>
    <m/>
    <m/>
    <m/>
    <m/>
    <n v="0"/>
    <x v="4"/>
    <n v="0"/>
  </r>
  <r>
    <s v="75500.02"/>
    <s v="Operating Supplies- Cable"/>
    <m/>
    <m/>
    <m/>
    <m/>
    <m/>
    <m/>
    <n v="0"/>
    <x v="4"/>
    <n v="0"/>
  </r>
  <r>
    <s v="75600"/>
    <s v="Breakroom Supplies"/>
    <m/>
    <m/>
    <m/>
    <m/>
    <m/>
    <m/>
    <n v="0"/>
    <x v="4"/>
    <n v="0"/>
  </r>
  <r>
    <s v="75600.01"/>
    <s v="Cafeteria"/>
    <m/>
    <m/>
    <m/>
    <m/>
    <m/>
    <m/>
    <n v="0"/>
    <x v="4"/>
    <n v="0"/>
  </r>
  <r>
    <s v="75800"/>
    <s v="Security"/>
    <m/>
    <m/>
    <m/>
    <m/>
    <m/>
    <m/>
    <n v="0"/>
    <x v="4"/>
    <n v="0"/>
  </r>
  <r>
    <s v="76000"/>
    <s v="Telephone"/>
    <m/>
    <m/>
    <m/>
    <m/>
    <m/>
    <m/>
    <n v="0"/>
    <x v="4"/>
    <n v="0"/>
  </r>
  <r>
    <s v="76000.02"/>
    <s v="Telephone - NVW"/>
    <m/>
    <m/>
    <m/>
    <m/>
    <m/>
    <m/>
    <n v="0"/>
    <x v="4"/>
    <n v="0"/>
  </r>
  <r>
    <s v="76100"/>
    <s v="Telephones - Cellular"/>
    <m/>
    <m/>
    <m/>
    <m/>
    <m/>
    <m/>
    <n v="0"/>
    <x v="4"/>
    <n v="0"/>
  </r>
  <r>
    <s v="76500"/>
    <s v="Travel &amp; Lodging"/>
    <m/>
    <m/>
    <m/>
    <m/>
    <m/>
    <m/>
    <n v="0"/>
    <x v="4"/>
    <n v="0"/>
  </r>
  <r>
    <s v="77250"/>
    <s v="Bonus"/>
    <m/>
    <m/>
    <m/>
    <m/>
    <m/>
    <m/>
    <n v="0"/>
    <x v="4"/>
    <n v="0"/>
  </r>
  <r>
    <s v="77500.01"/>
    <s v="Wages - Network Expansion"/>
    <m/>
    <m/>
    <m/>
    <m/>
    <m/>
    <m/>
    <n v="0"/>
    <x v="4"/>
    <n v="0"/>
  </r>
  <r>
    <s v="77500.02"/>
    <s v="Wages - R&amp;D"/>
    <m/>
    <m/>
    <m/>
    <m/>
    <m/>
    <m/>
    <n v="0"/>
    <x v="4"/>
    <n v="0"/>
  </r>
  <r>
    <s v="77500.03"/>
    <s v="Wages - Sales &amp; Marketing"/>
    <m/>
    <m/>
    <m/>
    <m/>
    <m/>
    <m/>
    <n v="0"/>
    <x v="2"/>
    <n v="0"/>
  </r>
  <r>
    <s v="77500.04"/>
    <s v="Wages - Customer Service"/>
    <m/>
    <m/>
    <m/>
    <m/>
    <m/>
    <m/>
    <n v="0"/>
    <x v="4"/>
    <n v="0"/>
  </r>
  <r>
    <s v="77500.05"/>
    <s v="Wages - Tech Support"/>
    <m/>
    <m/>
    <m/>
    <m/>
    <m/>
    <m/>
    <n v="0"/>
    <x v="4"/>
    <n v="0"/>
  </r>
  <r>
    <s v="77500.06"/>
    <s v="Wages - Manufacture"/>
    <m/>
    <m/>
    <m/>
    <m/>
    <m/>
    <m/>
    <n v="0"/>
    <x v="1"/>
    <n v="0"/>
  </r>
  <r>
    <s v="77500.07"/>
    <s v="Wages - Administrative"/>
    <m/>
    <m/>
    <m/>
    <m/>
    <m/>
    <m/>
    <n v="0"/>
    <x v="4"/>
    <n v="0"/>
  </r>
  <r>
    <s v="77500.08"/>
    <s v="Wages - Acct/HR"/>
    <m/>
    <m/>
    <m/>
    <m/>
    <m/>
    <m/>
    <n v="0"/>
    <x v="4"/>
    <n v="0"/>
  </r>
  <r>
    <s v="77500.09"/>
    <s v="Wages - Installers"/>
    <m/>
    <m/>
    <m/>
    <m/>
    <m/>
    <m/>
    <n v="0"/>
    <x v="1"/>
    <n v="0"/>
  </r>
  <r>
    <s v="77500.11"/>
    <s v="Wages - Cafeteria"/>
    <m/>
    <m/>
    <m/>
    <m/>
    <m/>
    <m/>
    <n v="0"/>
    <x v="4"/>
    <n v="0"/>
  </r>
  <r>
    <s v="77500.12"/>
    <s v="Wages 2X Sales &amp; Production"/>
    <m/>
    <m/>
    <m/>
    <m/>
    <m/>
    <m/>
    <n v="0"/>
    <x v="4"/>
    <n v="0"/>
  </r>
  <r>
    <s v="77500.13"/>
    <s v="Wages - Heli pilot"/>
    <m/>
    <m/>
    <m/>
    <m/>
    <m/>
    <m/>
    <n v="0"/>
    <x v="4"/>
    <n v="0"/>
  </r>
  <r>
    <s v="77502"/>
    <s v="Wages - On Call"/>
    <m/>
    <m/>
    <m/>
    <m/>
    <m/>
    <m/>
    <n v="0"/>
    <x v="4"/>
    <n v="0"/>
  </r>
  <r>
    <s v="77550.01"/>
    <s v="Wages - Overtime Net Expansion"/>
    <m/>
    <m/>
    <m/>
    <m/>
    <m/>
    <m/>
    <n v="0"/>
    <x v="4"/>
    <n v="0"/>
  </r>
  <r>
    <s v="77550.02"/>
    <s v="Wages - Overtime R &amp; D"/>
    <m/>
    <m/>
    <m/>
    <m/>
    <m/>
    <m/>
    <n v="0"/>
    <x v="4"/>
    <n v="0"/>
  </r>
  <r>
    <s v="77550.03"/>
    <s v="Wages - OT Sales &amp; Marketing"/>
    <m/>
    <m/>
    <m/>
    <m/>
    <m/>
    <m/>
    <n v="0"/>
    <x v="2"/>
    <n v="0"/>
  </r>
  <r>
    <s v="77550.04"/>
    <s v="Wages - OT Customer Service"/>
    <m/>
    <m/>
    <m/>
    <m/>
    <m/>
    <m/>
    <n v="0"/>
    <x v="4"/>
    <n v="0"/>
  </r>
  <r>
    <s v="77550.05"/>
    <s v="Wages - Overtime Tech Support"/>
    <m/>
    <m/>
    <m/>
    <m/>
    <m/>
    <m/>
    <n v="0"/>
    <x v="4"/>
    <n v="0"/>
  </r>
  <r>
    <s v="77550.06"/>
    <s v="Wages - Overtime Manufacturing"/>
    <m/>
    <m/>
    <m/>
    <m/>
    <m/>
    <m/>
    <n v="0"/>
    <x v="1"/>
    <n v="0"/>
  </r>
  <r>
    <s v="77550.08"/>
    <s v="Wages - Overtime Acct/HR"/>
    <m/>
    <m/>
    <m/>
    <m/>
    <m/>
    <m/>
    <n v="0"/>
    <x v="4"/>
    <n v="0"/>
  </r>
  <r>
    <s v="77550.09"/>
    <s v="Wages - OT Installers"/>
    <m/>
    <m/>
    <m/>
    <m/>
    <m/>
    <m/>
    <n v="0"/>
    <x v="1"/>
    <n v="0"/>
  </r>
  <r>
    <s v="77550.12"/>
    <s v="2x Wage overtime"/>
    <m/>
    <m/>
    <m/>
    <m/>
    <m/>
    <m/>
    <n v="0"/>
    <x v="4"/>
    <n v="0"/>
  </r>
  <r>
    <s v="77550.13"/>
    <s v="Wages - OT Heli Pilot"/>
    <m/>
    <m/>
    <m/>
    <m/>
    <m/>
    <m/>
    <n v="0"/>
    <x v="4"/>
    <n v="0"/>
  </r>
  <r>
    <s v="77570"/>
    <s v="2X Labor Capitalization"/>
    <m/>
    <m/>
    <m/>
    <m/>
    <m/>
    <m/>
    <n v="0"/>
    <x v="4"/>
    <n v="0"/>
  </r>
  <r>
    <s v="77575"/>
    <s v="DPI Labor Caplitalization"/>
    <m/>
    <m/>
    <m/>
    <m/>
    <m/>
    <m/>
    <n v="0"/>
    <x v="4"/>
    <n v="0"/>
  </r>
  <r>
    <s v="77575.12"/>
    <s v="MFG Labor Capitalization"/>
    <m/>
    <m/>
    <m/>
    <m/>
    <m/>
    <m/>
    <n v="0"/>
    <x v="4"/>
    <n v="0"/>
  </r>
  <r>
    <s v="77580"/>
    <s v="2X Payroll Allocation"/>
    <m/>
    <m/>
    <m/>
    <n v="0"/>
    <n v="0"/>
    <m/>
    <n v="0"/>
    <x v="4"/>
    <n v="0"/>
  </r>
  <r>
    <s v="77590"/>
    <s v="2X Overhead Allocation"/>
    <m/>
    <m/>
    <m/>
    <s v=" "/>
    <n v="0"/>
    <m/>
    <n v="0"/>
    <x v="4"/>
    <n v="0"/>
  </r>
  <r>
    <s v="77591"/>
    <s v="DPA Overhead Allocation"/>
    <m/>
    <m/>
    <m/>
    <s v=" "/>
    <n v="0"/>
    <m/>
    <n v="0"/>
    <x v="4"/>
    <n v="0"/>
  </r>
  <r>
    <s v="63000"/>
    <s v="G&amp;A Overhead Allocation"/>
    <m/>
    <m/>
    <m/>
    <s v=" "/>
    <n v="0"/>
    <m/>
    <n v="0"/>
    <x v="4"/>
    <n v="0"/>
  </r>
  <r>
    <m/>
    <s v="G&amp;A Wages Allocation"/>
    <m/>
    <m/>
    <m/>
    <s v=" "/>
    <n v="0"/>
    <m/>
    <n v="0"/>
    <x v="4"/>
    <n v="0"/>
  </r>
  <r>
    <m/>
    <s v="G&amp;A Taxes &amp; Benefits"/>
    <m/>
    <m/>
    <m/>
    <s v=" "/>
    <n v="0"/>
    <m/>
    <n v="0"/>
    <x v="4"/>
    <n v="0"/>
  </r>
  <r>
    <s v="60550"/>
    <s v="Misc Warehouse"/>
    <m/>
    <m/>
    <m/>
    <n v="0"/>
    <m/>
    <m/>
    <n v="0"/>
    <x v="4"/>
    <n v="0"/>
  </r>
  <r>
    <s v="77600"/>
    <s v="Per Diem"/>
    <m/>
    <m/>
    <m/>
    <m/>
    <m/>
    <m/>
    <n v="0"/>
    <x v="4"/>
    <n v="0"/>
  </r>
  <r>
    <m/>
    <s v="Waste Disposal"/>
    <m/>
    <m/>
    <m/>
    <m/>
    <m/>
    <m/>
    <n v="0"/>
    <x v="4"/>
    <n v="0"/>
  </r>
  <r>
    <s v="77700"/>
    <s v="Pension &amp; Profit Sharing"/>
    <m/>
    <m/>
    <m/>
    <m/>
    <m/>
    <m/>
    <n v="0"/>
    <x v="4"/>
    <n v="0"/>
  </r>
  <r>
    <s v="78000"/>
    <s v="Utilities"/>
    <m/>
    <m/>
    <m/>
    <m/>
    <m/>
    <m/>
    <n v="0"/>
    <x v="4"/>
    <n v="0"/>
  </r>
  <r>
    <s v="89500"/>
    <s v="Other expense"/>
    <m/>
    <m/>
    <m/>
    <m/>
    <m/>
    <m/>
    <n v="0"/>
    <x v="4"/>
    <n v="0"/>
  </r>
  <r>
    <s v="90000"/>
    <s v="Gain / Loss on Sale of Assets"/>
    <m/>
    <m/>
    <m/>
    <m/>
    <m/>
    <m/>
    <n v="0"/>
    <x v="7"/>
    <n v="0"/>
  </r>
  <r>
    <s v="96500"/>
    <s v="Income Tax Expense"/>
    <m/>
    <m/>
    <m/>
    <m/>
    <m/>
    <m/>
    <n v="0"/>
    <x v="4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0">
  <r>
    <s v="1000"/>
    <s v="Deposit Acct - Chase 8028"/>
    <n v="103250.21"/>
    <m/>
    <m/>
    <m/>
    <n v="103250.21"/>
    <x v="0"/>
    <n v="103250"/>
  </r>
  <r>
    <s v="1030"/>
    <s v="Old Disbursement Acct - Chase 6390"/>
    <n v="13163.17"/>
    <m/>
    <m/>
    <m/>
    <n v="13163.17"/>
    <x v="0"/>
    <n v="13163"/>
  </r>
  <r>
    <s v="1045"/>
    <s v="New Wire Acct - Chase 6919"/>
    <n v="307411.49"/>
    <m/>
    <m/>
    <m/>
    <n v="307411.49"/>
    <x v="0"/>
    <n v="307411"/>
  </r>
  <r>
    <s v="1050"/>
    <s v="Merchant Acct - Chase 6366 "/>
    <n v="829.55"/>
    <m/>
    <m/>
    <m/>
    <n v="829.55"/>
    <x v="0"/>
    <n v="830"/>
  </r>
  <r>
    <s v="1060"/>
    <s v="SBOE Sales Tax Acct - Chase 4004"/>
    <n v="1.84"/>
    <m/>
    <m/>
    <m/>
    <n v="1.84"/>
    <x v="0"/>
    <n v="2"/>
  </r>
  <r>
    <s v="1080"/>
    <s v="Wells Fargo Checking 7556"/>
    <n v="0"/>
    <m/>
    <m/>
    <m/>
    <n v="0"/>
    <x v="0"/>
    <n v="0"/>
  </r>
  <r>
    <s v="1090"/>
    <s v="Bank of the West"/>
    <n v="-4280.3100000000004"/>
    <m/>
    <m/>
    <m/>
    <n v="-4280.3100000000004"/>
    <x v="0"/>
    <n v="-4280"/>
  </r>
  <r>
    <s v="11000"/>
    <s v="Accounts Receivable - Other"/>
    <n v="721301.66"/>
    <m/>
    <m/>
    <m/>
    <n v="721301.66"/>
    <x v="1"/>
    <n v="721302"/>
  </r>
  <r>
    <s v="11500"/>
    <s v="Allowance for doubtful accts"/>
    <n v="-33518.639999999999"/>
    <m/>
    <m/>
    <m/>
    <n v="-33518.639999999999"/>
    <x v="1"/>
    <n v="-33519"/>
  </r>
  <r>
    <s v="12000"/>
    <s v="Undeposited Funds"/>
    <n v="0"/>
    <m/>
    <m/>
    <m/>
    <n v="0"/>
    <x v="2"/>
    <n v="0"/>
  </r>
  <r>
    <s v="1210"/>
    <s v="Deposits"/>
    <n v="-2199.5"/>
    <m/>
    <m/>
    <m/>
    <n v="-2199.5"/>
    <x v="2"/>
    <n v="-2200"/>
  </r>
  <r>
    <s v="1220"/>
    <s v="Parts Inventory"/>
    <n v="439818.84"/>
    <m/>
    <m/>
    <m/>
    <n v="439818.84"/>
    <x v="3"/>
    <n v="439819"/>
  </r>
  <r>
    <s v="1230"/>
    <s v="Equipment Inventory"/>
    <n v="2597583.71"/>
    <m/>
    <m/>
    <m/>
    <n v="2597583.71"/>
    <x v="3"/>
    <n v="2597584"/>
  </r>
  <r>
    <s v="1250"/>
    <s v="Attachments Inventory"/>
    <n v="81382.77"/>
    <m/>
    <m/>
    <m/>
    <n v="81382.77"/>
    <x v="3"/>
    <n v="81383"/>
  </r>
  <r>
    <s v="1260"/>
    <s v="Estimated Taxes Paid"/>
    <n v="232646"/>
    <m/>
    <m/>
    <m/>
    <n v="232646"/>
    <x v="2"/>
    <n v="232646"/>
  </r>
  <r>
    <s v="1270"/>
    <s v="Escrow - Anderson Funding"/>
    <n v="0"/>
    <m/>
    <m/>
    <m/>
    <n v="0"/>
    <x v="2"/>
    <n v="0"/>
  </r>
  <r>
    <s v="1297"/>
    <s v="Inventory Reserve"/>
    <n v="-297085.95"/>
    <m/>
    <m/>
    <m/>
    <n v="-297085.95"/>
    <x v="3"/>
    <n v="-297086"/>
  </r>
  <r>
    <s v="1298"/>
    <s v="Change of Inventory"/>
    <n v="0"/>
    <m/>
    <m/>
    <m/>
    <n v="0"/>
    <x v="3"/>
    <n v="0"/>
  </r>
  <r>
    <s v="1299"/>
    <s v="Suspense"/>
    <n v="0"/>
    <m/>
    <m/>
    <m/>
    <n v="0"/>
    <x v="4"/>
    <n v="0"/>
  </r>
  <r>
    <s v="1310"/>
    <s v="Leasehold Improvements"/>
    <n v="410071.54"/>
    <m/>
    <m/>
    <m/>
    <n v="410071.54"/>
    <x v="5"/>
    <n v="410072"/>
  </r>
  <r>
    <s v="1315"/>
    <s v="Accum Depr - LHI"/>
    <n v="-156721.14000000001"/>
    <m/>
    <m/>
    <m/>
    <n v="-156721.14000000001"/>
    <x v="5"/>
    <n v="-156721"/>
  </r>
  <r>
    <s v="1320"/>
    <s v="Furniture &amp; Equipment"/>
    <n v="22222.54"/>
    <m/>
    <m/>
    <m/>
    <n v="22222.54"/>
    <x v="5"/>
    <n v="22223"/>
  </r>
  <r>
    <s v="1325"/>
    <s v="Accum Depr - Furniture &amp; Equipment"/>
    <n v="-21152.639999999999"/>
    <m/>
    <m/>
    <m/>
    <n v="-21152.639999999999"/>
    <x v="5"/>
    <n v="-21153"/>
  </r>
  <r>
    <s v="1330"/>
    <s v="Computer Automation"/>
    <n v="42000.76"/>
    <m/>
    <m/>
    <m/>
    <n v="42000.76"/>
    <x v="5"/>
    <n v="42001"/>
  </r>
  <r>
    <s v="1335"/>
    <s v="Accum Depr - Computer Automation"/>
    <n v="-32349.94"/>
    <m/>
    <m/>
    <m/>
    <n v="-32349.94"/>
    <x v="5"/>
    <n v="-32350"/>
  </r>
  <r>
    <s v="1340"/>
    <s v="Equipment"/>
    <n v="1291933.75"/>
    <m/>
    <m/>
    <m/>
    <n v="1291933.75"/>
    <x v="6"/>
    <n v="1291934"/>
  </r>
  <r>
    <s v="1342"/>
    <s v="Anderson Funding Equipment"/>
    <n v="4943250.57"/>
    <m/>
    <m/>
    <m/>
    <n v="4943250.57"/>
    <x v="6"/>
    <n v="4943251"/>
  </r>
  <r>
    <s v="1345"/>
    <s v="Accum Depr - Equipment"/>
    <n v="-1880345.58"/>
    <m/>
    <m/>
    <m/>
    <n v="-1880345.58"/>
    <x v="6"/>
    <n v="-1880346"/>
  </r>
  <r>
    <s v="1350"/>
    <s v="Service Trucks"/>
    <n v="387171.44"/>
    <m/>
    <m/>
    <m/>
    <n v="387171.44"/>
    <x v="5"/>
    <n v="387171"/>
  </r>
  <r>
    <s v="1355"/>
    <s v="Accum Depr - Service Trucks"/>
    <n v="-146193.5"/>
    <m/>
    <m/>
    <m/>
    <n v="-146193.5"/>
    <x v="5"/>
    <n v="-146194"/>
  </r>
  <r>
    <s v="1360"/>
    <s v="Trucks &amp; Trailers"/>
    <n v="740444.43"/>
    <m/>
    <m/>
    <m/>
    <n v="740444.43"/>
    <x v="5"/>
    <n v="740444"/>
  </r>
  <r>
    <s v="1365"/>
    <s v="Accum Depr - Trucks &amp; Trailers"/>
    <n v="-218820.59"/>
    <m/>
    <m/>
    <m/>
    <n v="-218820.59"/>
    <x v="5"/>
    <n v="-218821"/>
  </r>
  <r>
    <s v="1370"/>
    <s v="Sales Vehicles"/>
    <n v="45737.26"/>
    <m/>
    <m/>
    <m/>
    <n v="45737.26"/>
    <x v="5"/>
    <n v="45737"/>
  </r>
  <r>
    <s v="1375"/>
    <s v="Accum Depr - Sales Vehicles"/>
    <n v="-13682.6"/>
    <m/>
    <m/>
    <m/>
    <n v="-13682.6"/>
    <x v="5"/>
    <n v="-13683"/>
  </r>
  <r>
    <s v="1400"/>
    <s v="Prepaid Asset"/>
    <n v="16299.15"/>
    <m/>
    <m/>
    <m/>
    <n v="16299.15"/>
    <x v="2"/>
    <n v="16299"/>
  </r>
  <r>
    <s v="1405"/>
    <s v="Loan Costs"/>
    <n v="0"/>
    <m/>
    <m/>
    <m/>
    <n v="0"/>
    <x v="2"/>
    <n v="0"/>
  </r>
  <r>
    <s v="1407"/>
    <s v="Accum. Deprec. - Loan Costs"/>
    <n v="0"/>
    <m/>
    <m/>
    <m/>
    <n v="0"/>
    <x v="2"/>
    <n v="0"/>
  </r>
  <r>
    <s v="1415"/>
    <s v="Owners/Officers Advance"/>
    <n v="0"/>
    <m/>
    <m/>
    <m/>
    <n v="0"/>
    <x v="4"/>
    <n v="0"/>
  </r>
  <r>
    <s v="1410"/>
    <s v="Employee Advance"/>
    <n v="8715.65"/>
    <m/>
    <m/>
    <m/>
    <n v="8715.65"/>
    <x v="4"/>
    <n v="8716"/>
  </r>
  <r>
    <s v="1420"/>
    <s v="New York Life #45973606"/>
    <n v="49513.04"/>
    <m/>
    <m/>
    <m/>
    <n v="49513.04"/>
    <x v="7"/>
    <n v="49513"/>
  </r>
  <r>
    <s v="1430"/>
    <s v="New York Life #48271835"/>
    <n v="67820.13"/>
    <m/>
    <m/>
    <m/>
    <n v="67820.13"/>
    <x v="7"/>
    <n v="67820"/>
  </r>
  <r>
    <s v="1440"/>
    <s v="New York Life #48271882"/>
    <n v="62701.68"/>
    <m/>
    <m/>
    <m/>
    <n v="62701.68"/>
    <x v="7"/>
    <n v="62702"/>
  </r>
  <r>
    <s v="1445"/>
    <s v="New York Life #45973523"/>
    <n v="41444"/>
    <m/>
    <m/>
    <m/>
    <n v="41444"/>
    <x v="7"/>
    <n v="41444"/>
  </r>
  <r>
    <s v="1450"/>
    <s v="New York Life #62966478"/>
    <n v="12595.61"/>
    <m/>
    <m/>
    <m/>
    <n v="12595.61"/>
    <x v="7"/>
    <n v="12596"/>
  </r>
  <r>
    <s v="1460"/>
    <s v="Petty Cash"/>
    <n v="13.75"/>
    <m/>
    <m/>
    <m/>
    <n v="13.75"/>
    <x v="0"/>
    <n v="14"/>
  </r>
  <r>
    <s v="20000"/>
    <s v="Accounts Payable"/>
    <n v="-1431525.65"/>
    <m/>
    <m/>
    <m/>
    <n v="-1431525.65"/>
    <x v="8"/>
    <n v="-1431526"/>
  </r>
  <r>
    <s v="2010"/>
    <s v="American Express"/>
    <n v="-32.18"/>
    <m/>
    <m/>
    <m/>
    <n v="-32.18"/>
    <x v="4"/>
    <n v="-32"/>
  </r>
  <r>
    <s v="2030"/>
    <s v="Chase Visa - 8709"/>
    <n v="-48284.800000000003"/>
    <m/>
    <m/>
    <m/>
    <n v="-48284.800000000003"/>
    <x v="4"/>
    <n v="-48285"/>
  </r>
  <r>
    <s v="2050"/>
    <s v="Anderson Funding Current"/>
    <n v="-1434280.6"/>
    <m/>
    <m/>
    <m/>
    <n v="-1434280.6"/>
    <x v="9"/>
    <n v="-1434281"/>
  </r>
  <r>
    <s v="2060"/>
    <s v="Anderson Funding Net of Current"/>
    <n v="-1023800.44"/>
    <m/>
    <m/>
    <m/>
    <n v="-1023800.44"/>
    <x v="10"/>
    <n v="-1023800"/>
  </r>
  <r>
    <s v="2100"/>
    <s v="Employee Advances"/>
    <n v="0"/>
    <m/>
    <m/>
    <m/>
    <n v="0"/>
    <x v="4"/>
    <n v="0"/>
  </r>
  <r>
    <s v="2110"/>
    <s v="Sales Tax Payable"/>
    <n v="15733.1"/>
    <m/>
    <m/>
    <m/>
    <n v="15733.1"/>
    <x v="4"/>
    <n v="15733"/>
  </r>
  <r>
    <s v="2150"/>
    <s v="Income Tax Liability "/>
    <n v="-249560.85"/>
    <m/>
    <m/>
    <m/>
    <n v="-249560.85"/>
    <x v="4"/>
    <n v="-249561"/>
  </r>
  <r>
    <s v="2155"/>
    <s v="Deferred Tax Liability"/>
    <n v="3682"/>
    <m/>
    <m/>
    <m/>
    <n v="3682"/>
    <x v="11"/>
    <n v="3678"/>
  </r>
  <r>
    <s v="2160"/>
    <s v="Accrued Vacation"/>
    <n v="-24017.97"/>
    <m/>
    <m/>
    <m/>
    <n v="-24017.97"/>
    <x v="4"/>
    <n v="-24018"/>
  </r>
  <r>
    <s v="2280"/>
    <s v="N/P 005 Lee Hamre Note Payable"/>
    <n v="-389321.01"/>
    <m/>
    <m/>
    <m/>
    <n v="-389321.01"/>
    <x v="12"/>
    <n v="-389321"/>
  </r>
  <r>
    <s v="2310"/>
    <s v="Loan New York Life #48271835"/>
    <n v="-30875.98"/>
    <m/>
    <m/>
    <m/>
    <n v="-30875.98"/>
    <x v="10"/>
    <n v="-30876"/>
  </r>
  <r>
    <s v="2320"/>
    <s v="Loan New York Life #45973523"/>
    <n v="-12071.9"/>
    <m/>
    <m/>
    <m/>
    <n v="-12071.9"/>
    <x v="10"/>
    <n v="-12072"/>
  </r>
  <r>
    <s v="2330"/>
    <s v="Loan New York Life #45973606"/>
    <n v="-38227.75"/>
    <m/>
    <m/>
    <m/>
    <n v="-38227.75"/>
    <x v="10"/>
    <n v="-38228"/>
  </r>
  <r>
    <s v="2340"/>
    <s v="Loan New York Life #48271882"/>
    <n v="-51704"/>
    <m/>
    <m/>
    <m/>
    <n v="-51704"/>
    <x v="10"/>
    <n v="-51704"/>
  </r>
  <r>
    <s v="2370"/>
    <s v="N/P 007 Financial Pacific 1 Omega Life"/>
    <n v="-24184.400000000001"/>
    <m/>
    <m/>
    <m/>
    <n v="-24184.400000000001"/>
    <x v="10"/>
    <n v="-24184"/>
  </r>
  <r>
    <s v="2451"/>
    <s v="N/P 010 Tustin Community Bank - T-123"/>
    <n v="-94569.47"/>
    <m/>
    <m/>
    <m/>
    <n v="-94569.47"/>
    <x v="10"/>
    <n v="-94569"/>
  </r>
  <r>
    <s v="2453"/>
    <s v="N/P 012 Ford Credit T-124"/>
    <n v="-28773.82"/>
    <m/>
    <m/>
    <m/>
    <n v="-28773.82"/>
    <x v="10"/>
    <n v="-28774"/>
  </r>
  <r>
    <s v="2460"/>
    <s v="LOC 001 Bank of the West"/>
    <n v="-491500"/>
    <m/>
    <m/>
    <m/>
    <n v="-491500"/>
    <x v="13"/>
    <n v="-491500"/>
  </r>
  <r>
    <s v="2461"/>
    <s v="N/P 013 Gobal/Hamni 7163713"/>
    <n v="-28708.27"/>
    <m/>
    <m/>
    <m/>
    <n v="-28708.27"/>
    <x v="10"/>
    <n v="-28708"/>
  </r>
  <r>
    <s v="2463"/>
    <s v="N/P 015 Global 2217441 - HE 3245"/>
    <n v="-17864.73"/>
    <m/>
    <m/>
    <m/>
    <n v="-17864.73"/>
    <x v="10"/>
    <n v="-17865"/>
  </r>
  <r>
    <s v="2464"/>
    <s v="N/P 016 Global 2173796 - Leavitt"/>
    <n v="-95000"/>
    <m/>
    <m/>
    <m/>
    <n v="-95000"/>
    <x v="10"/>
    <n v="-95000"/>
  </r>
  <r>
    <s v="2466"/>
    <s v="N/P 018 Global 3832 - HE 3308"/>
    <n v="-116837.87"/>
    <m/>
    <m/>
    <m/>
    <n v="-116837.87"/>
    <x v="10"/>
    <n v="-116838"/>
  </r>
  <r>
    <s v="2467"/>
    <s v="N/P 019 Global 8173853 - HE 3306"/>
    <n v="-14620.68"/>
    <m/>
    <m/>
    <m/>
    <n v="-14620.68"/>
    <x v="10"/>
    <n v="-14621"/>
  </r>
  <r>
    <s v="2468"/>
    <s v="N/P 020 Global 8173852 - HE 3309"/>
    <n v="-9969.23"/>
    <m/>
    <m/>
    <m/>
    <n v="-9969.23"/>
    <x v="10"/>
    <n v="-9969"/>
  </r>
  <r>
    <s v="2469"/>
    <s v="N/P 021 Global 9173862 - HE 3305"/>
    <n v="-14427.91"/>
    <m/>
    <m/>
    <m/>
    <n v="-14427.91"/>
    <x v="10"/>
    <n v="-14428"/>
  </r>
  <r>
    <s v="2470"/>
    <s v="N/P 022 Global 9173861 - HE 3307"/>
    <n v="-23234.55"/>
    <m/>
    <m/>
    <m/>
    <n v="-23234.55"/>
    <x v="10"/>
    <n v="-23235"/>
  </r>
  <r>
    <s v="2473"/>
    <s v="N/P 025 BMO Trans Fin T-126"/>
    <n v="-102650.83"/>
    <m/>
    <m/>
    <m/>
    <n v="-102650.83"/>
    <x v="10"/>
    <n v="-102651"/>
  </r>
  <r>
    <s v="2474"/>
    <s v="N/P 026 Anderson Funding"/>
    <n v="-855947"/>
    <m/>
    <m/>
    <m/>
    <n v="-855947"/>
    <x v="10"/>
    <n v="-855947"/>
  </r>
  <r>
    <s v="2476"/>
    <s v="N/P 028 Firstfound T-127"/>
    <n v="-131464.57999999999"/>
    <m/>
    <m/>
    <m/>
    <n v="-131464.57999999999"/>
    <x v="10"/>
    <n v="-131465"/>
  </r>
  <r>
    <s v="2477"/>
    <s v="N/P 029 Global 02183918 - HE 3542"/>
    <n v="-85344.78"/>
    <m/>
    <m/>
    <m/>
    <n v="-85344.78"/>
    <x v="10"/>
    <n v="-85345"/>
  </r>
  <r>
    <s v="2478"/>
    <s v="N/P 030 KW Solar System"/>
    <n v="-69868.800000000003"/>
    <m/>
    <m/>
    <m/>
    <n v="-69868.800000000003"/>
    <x v="10"/>
    <n v="-69869"/>
  </r>
  <r>
    <s v="2479"/>
    <s v="N/P 031 Global 6183942 - HE 3590"/>
    <n v="-62500"/>
    <m/>
    <m/>
    <m/>
    <n v="-62500"/>
    <x v="10"/>
    <n v="-62500"/>
  </r>
  <r>
    <s v="2480"/>
    <s v="N/P 032 COZAD Trailer T-130"/>
    <n v="-24134.9"/>
    <m/>
    <m/>
    <m/>
    <n v="-24134.9"/>
    <x v="10"/>
    <n v="-24135"/>
  </r>
  <r>
    <s v="2481"/>
    <s v="N/P 033 FMC T-132"/>
    <n v="-142170.06"/>
    <m/>
    <m/>
    <m/>
    <n v="-142170.06"/>
    <x v="10"/>
    <n v="-142170"/>
  </r>
  <r>
    <s v="2482"/>
    <s v="N/P 034 Global 3945 HE 3529"/>
    <n v="-198000"/>
    <m/>
    <m/>
    <m/>
    <n v="-198000"/>
    <x v="10"/>
    <n v="-198000"/>
  </r>
  <r>
    <s v="2483"/>
    <s v="N/P 035 Global HE 3610, 11, 13-17"/>
    <n v="-190000"/>
    <m/>
    <m/>
    <m/>
    <n v="-190000"/>
    <x v="10"/>
    <n v="-190000"/>
  </r>
  <r>
    <s v="2485"/>
    <s v="LOC 002 Northpoint Finance"/>
    <n v="-19607"/>
    <m/>
    <m/>
    <m/>
    <n v="-19607"/>
    <x v="13"/>
    <n v="-19605"/>
  </r>
  <r>
    <s v="2486"/>
    <s v="N/P 037 Global 0230 HE 3613,15"/>
    <n v="-120000"/>
    <m/>
    <m/>
    <m/>
    <n v="-120000"/>
    <x v="10"/>
    <n v="-119998"/>
  </r>
  <r>
    <s v="2487"/>
    <s v="N/P 038 Global HE 3609, 3594-96"/>
    <n v="-61000"/>
    <m/>
    <m/>
    <m/>
    <n v="-61000"/>
    <x v="10"/>
    <n v="-60998"/>
  </r>
  <r>
    <s v="32000"/>
    <s v="Retained Earnings"/>
    <n v="20179783.109999999"/>
    <m/>
    <m/>
    <m/>
    <n v="20179783.109999999"/>
    <x v="14"/>
    <n v="20179783"/>
  </r>
  <r>
    <s v="3100"/>
    <s v="Capital Stock"/>
    <n v="-753415.88"/>
    <m/>
    <m/>
    <m/>
    <n v="-753415.88"/>
    <x v="15"/>
    <n v="-753416"/>
  </r>
  <r>
    <s v="3115"/>
    <s v="Treasury Stock"/>
    <n v="4836.54"/>
    <m/>
    <m/>
    <m/>
    <n v="4836.54"/>
    <x v="16"/>
    <n v="4837"/>
  </r>
  <r>
    <s v="3130"/>
    <s v="AMMX - add. paid in Capital"/>
    <n v="-20785924.02"/>
    <m/>
    <m/>
    <m/>
    <n v="-20785924.02"/>
    <x v="17"/>
    <n v="-20785924"/>
  </r>
  <r>
    <s v=""/>
    <s v="Net Income"/>
    <n v="-741586.99"/>
    <m/>
    <m/>
    <m/>
    <n v="-741586.99"/>
    <x v="14"/>
    <n v="-741587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count="198">
  <r>
    <s v="10000"/>
    <s v="Petty Cash Fund"/>
    <m/>
    <m/>
    <m/>
    <m/>
    <m/>
    <m/>
    <n v="0"/>
    <x v="0"/>
    <n v="0"/>
  </r>
  <r>
    <s v="10050"/>
    <s v="Cash Box Call Center"/>
    <m/>
    <m/>
    <m/>
    <m/>
    <m/>
    <m/>
    <n v="0"/>
    <x v="0"/>
    <n v="0"/>
  </r>
  <r>
    <s v="10051"/>
    <s v="Per Diem"/>
    <m/>
    <m/>
    <m/>
    <m/>
    <m/>
    <m/>
    <n v="0"/>
    <x v="0"/>
    <n v="0"/>
  </r>
  <r>
    <s v="10175"/>
    <s v="US Bank 4245"/>
    <m/>
    <m/>
    <m/>
    <m/>
    <m/>
    <m/>
    <n v="0"/>
    <x v="0"/>
    <n v="0"/>
  </r>
  <r>
    <s v="10200"/>
    <s v="Rabobank Operating - 7057"/>
    <m/>
    <m/>
    <m/>
    <m/>
    <m/>
    <m/>
    <n v="0"/>
    <x v="0"/>
    <n v="0"/>
  </r>
  <r>
    <m/>
    <s v="East West Bank - 5237 2X"/>
    <m/>
    <m/>
    <m/>
    <m/>
    <m/>
    <m/>
    <n v="0"/>
    <x v="0"/>
    <n v="0"/>
  </r>
  <r>
    <s v="10445"/>
    <s v="East West Bank - 5211 Self Ins"/>
    <m/>
    <m/>
    <m/>
    <m/>
    <m/>
    <m/>
    <n v="0"/>
    <x v="0"/>
    <n v="0"/>
  </r>
  <r>
    <s v="10450"/>
    <s v="East West Bank - 3521 Savings"/>
    <m/>
    <m/>
    <m/>
    <m/>
    <m/>
    <m/>
    <n v="0"/>
    <x v="0"/>
    <n v="0"/>
  </r>
  <r>
    <s v="10455"/>
    <s v="East West Bank - 5229 CC Dep"/>
    <m/>
    <m/>
    <m/>
    <m/>
    <m/>
    <m/>
    <n v="0"/>
    <x v="0"/>
    <n v="0"/>
  </r>
  <r>
    <s v="10475"/>
    <s v="East West Bank - 3349 Gen Op"/>
    <m/>
    <m/>
    <m/>
    <m/>
    <m/>
    <m/>
    <n v="0"/>
    <x v="0"/>
    <n v="0"/>
  </r>
  <r>
    <s v="10480"/>
    <s v="East West Bank - 3802 CapX"/>
    <m/>
    <m/>
    <m/>
    <m/>
    <m/>
    <m/>
    <n v="0"/>
    <x v="0"/>
    <n v="0"/>
  </r>
  <r>
    <s v="10485"/>
    <s v="East West Bank - 3828 Payroll"/>
    <m/>
    <m/>
    <m/>
    <m/>
    <m/>
    <m/>
    <n v="0"/>
    <x v="0"/>
    <n v="0"/>
  </r>
  <r>
    <s v="10700"/>
    <s v="Credit Card Receivable"/>
    <m/>
    <m/>
    <m/>
    <m/>
    <m/>
    <m/>
    <n v="0"/>
    <x v="1"/>
    <n v="0"/>
  </r>
  <r>
    <s v="11000"/>
    <s v="Accounts Receivable - Service"/>
    <m/>
    <m/>
    <m/>
    <m/>
    <m/>
    <m/>
    <n v="0"/>
    <x v="1"/>
    <n v="0"/>
  </r>
  <r>
    <s v="11001"/>
    <s v="Accounts Receivable - Relays"/>
    <m/>
    <m/>
    <m/>
    <m/>
    <m/>
    <m/>
    <n v="0"/>
    <x v="1"/>
    <n v="0"/>
  </r>
  <r>
    <s v="11002"/>
    <s v="AR - Business Phone Sys #17"/>
    <m/>
    <m/>
    <m/>
    <m/>
    <m/>
    <m/>
    <n v="0"/>
    <x v="1"/>
    <n v="0"/>
  </r>
  <r>
    <s v="11100"/>
    <s v="Accounts Receivable- Wholesale"/>
    <m/>
    <m/>
    <m/>
    <m/>
    <m/>
    <m/>
    <n v="0"/>
    <x v="1"/>
    <n v="0"/>
  </r>
  <r>
    <s v="11116"/>
    <s v="Accounts Receivable - Misc"/>
    <m/>
    <m/>
    <m/>
    <m/>
    <m/>
    <m/>
    <n v="0"/>
    <x v="1"/>
    <n v="0"/>
  </r>
  <r>
    <s v="11118"/>
    <s v="AR - Business Services # 18"/>
    <m/>
    <m/>
    <m/>
    <m/>
    <m/>
    <m/>
    <n v="0"/>
    <x v="1"/>
    <n v="0"/>
  </r>
  <r>
    <s v="11120"/>
    <s v="Allowance for doubtful accts"/>
    <m/>
    <m/>
    <m/>
    <m/>
    <m/>
    <m/>
    <n v="0"/>
    <x v="1"/>
    <n v="0"/>
  </r>
  <r>
    <s v="13000"/>
    <s v="Employee Advance"/>
    <m/>
    <m/>
    <m/>
    <m/>
    <m/>
    <m/>
    <n v="0"/>
    <x v="2"/>
    <n v="0"/>
  </r>
  <r>
    <s v="13000.02"/>
    <s v="Owner Advance"/>
    <m/>
    <m/>
    <m/>
    <m/>
    <m/>
    <m/>
    <n v="0"/>
    <x v="3"/>
    <n v="0"/>
  </r>
  <r>
    <m/>
    <s v="2X Inventory"/>
    <m/>
    <m/>
    <m/>
    <m/>
    <m/>
    <m/>
    <n v="0"/>
    <x v="4"/>
    <n v="0"/>
  </r>
  <r>
    <s v="15302"/>
    <s v="Installation Supplies"/>
    <m/>
    <m/>
    <m/>
    <m/>
    <m/>
    <m/>
    <n v="0"/>
    <x v="2"/>
    <n v="0"/>
  </r>
  <r>
    <s v="15304"/>
    <s v="Installation Supplies NPN"/>
    <m/>
    <m/>
    <m/>
    <m/>
    <m/>
    <m/>
    <n v="0"/>
    <x v="2"/>
    <n v="0"/>
  </r>
  <r>
    <s v="15305"/>
    <s v="Cable Inventory"/>
    <m/>
    <m/>
    <m/>
    <m/>
    <m/>
    <m/>
    <n v="0"/>
    <x v="4"/>
    <n v="0"/>
  </r>
  <r>
    <s v="15401"/>
    <s v="Misc inventory - Legacy"/>
    <m/>
    <m/>
    <m/>
    <m/>
    <m/>
    <m/>
    <n v="0"/>
    <x v="4"/>
    <n v="0"/>
  </r>
  <r>
    <s v="18000"/>
    <s v="Prepaid expenses"/>
    <m/>
    <m/>
    <m/>
    <m/>
    <m/>
    <m/>
    <n v="0"/>
    <x v="5"/>
    <n v="0"/>
  </r>
  <r>
    <s v="18100"/>
    <s v="Prepaid Corp Income Taxes"/>
    <m/>
    <m/>
    <m/>
    <m/>
    <m/>
    <m/>
    <n v="0"/>
    <x v="5"/>
    <n v="0"/>
  </r>
  <r>
    <s v="18300"/>
    <s v="PrePaid Sales Tax"/>
    <m/>
    <m/>
    <m/>
    <m/>
    <m/>
    <m/>
    <n v="0"/>
    <x v="5"/>
    <n v="0"/>
  </r>
  <r>
    <s v="18400"/>
    <s v="Non Deployed Fixed Assets - NX"/>
    <m/>
    <m/>
    <m/>
    <m/>
    <m/>
    <m/>
    <n v="0"/>
    <x v="6"/>
    <n v="0"/>
  </r>
  <r>
    <s v="18500"/>
    <s v="Inventory - Non Net Exp"/>
    <m/>
    <m/>
    <m/>
    <m/>
    <m/>
    <m/>
    <n v="0"/>
    <x v="4"/>
    <n v="0"/>
  </r>
  <r>
    <s v="18600"/>
    <s v="Non-Deployed CPE &amp; AP's"/>
    <m/>
    <m/>
    <m/>
    <m/>
    <m/>
    <m/>
    <n v="0"/>
    <x v="6"/>
    <n v="0"/>
  </r>
  <r>
    <m/>
    <s v="Contra Account - Non-Deployed CPE"/>
    <m/>
    <m/>
    <m/>
    <m/>
    <m/>
    <n v="0"/>
    <n v="0"/>
    <x v="6"/>
    <n v="0"/>
  </r>
  <r>
    <s v="15100"/>
    <s v="Furniture"/>
    <m/>
    <m/>
    <m/>
    <m/>
    <m/>
    <m/>
    <n v="0"/>
    <x v="6"/>
    <n v="0"/>
  </r>
  <r>
    <s v="15300"/>
    <s v="CPE-Modems"/>
    <m/>
    <m/>
    <m/>
    <m/>
    <m/>
    <n v="0"/>
    <n v="0"/>
    <x v="6"/>
    <n v="0"/>
  </r>
  <r>
    <s v="15310"/>
    <s v="Phones"/>
    <m/>
    <m/>
    <m/>
    <m/>
    <m/>
    <m/>
    <n v="0"/>
    <x v="6"/>
    <n v="0"/>
  </r>
  <r>
    <s v="15400"/>
    <s v="Repeaters"/>
    <m/>
    <m/>
    <m/>
    <m/>
    <m/>
    <m/>
    <n v="0"/>
    <x v="6"/>
    <n v="0"/>
  </r>
  <r>
    <s v="15402"/>
    <s v="Miscellaneous Equipment"/>
    <m/>
    <m/>
    <m/>
    <m/>
    <m/>
    <m/>
    <n v="0"/>
    <x v="6"/>
    <n v="0"/>
  </r>
  <r>
    <s v="15410"/>
    <s v="Equipment 2X"/>
    <m/>
    <m/>
    <m/>
    <m/>
    <m/>
    <m/>
    <n v="0"/>
    <x v="6"/>
    <n v="0"/>
  </r>
  <r>
    <s v="15500"/>
    <s v="Computers &amp; Peripherial"/>
    <m/>
    <m/>
    <m/>
    <m/>
    <m/>
    <m/>
    <n v="0"/>
    <x v="6"/>
    <n v="0"/>
  </r>
  <r>
    <s v="15600"/>
    <s v="Gateway"/>
    <m/>
    <m/>
    <m/>
    <m/>
    <m/>
    <m/>
    <n v="0"/>
    <x v="6"/>
    <n v="0"/>
  </r>
  <r>
    <s v="15600.01"/>
    <s v="Microwave Network"/>
    <m/>
    <m/>
    <m/>
    <m/>
    <m/>
    <m/>
    <n v="0"/>
    <x v="6"/>
    <n v="0"/>
  </r>
  <r>
    <s v="15600.02"/>
    <s v="Network Infastructure Labor"/>
    <m/>
    <m/>
    <m/>
    <m/>
    <m/>
    <m/>
    <n v="0"/>
    <x v="6"/>
    <n v="0"/>
  </r>
  <r>
    <s v="15700"/>
    <s v="Software"/>
    <m/>
    <m/>
    <m/>
    <m/>
    <m/>
    <m/>
    <n v="0"/>
    <x v="6"/>
    <n v="0"/>
  </r>
  <r>
    <s v="15700.01"/>
    <s v="Software Labor"/>
    <m/>
    <m/>
    <m/>
    <m/>
    <m/>
    <m/>
    <n v="0"/>
    <x v="7"/>
    <n v="0"/>
  </r>
  <r>
    <s v="15800"/>
    <s v="Vehicles"/>
    <m/>
    <m/>
    <m/>
    <m/>
    <m/>
    <m/>
    <n v="0"/>
    <x v="6"/>
    <n v="0"/>
  </r>
  <r>
    <s v="15000"/>
    <s v="Heliocopter"/>
    <m/>
    <m/>
    <m/>
    <m/>
    <m/>
    <m/>
    <n v="0"/>
    <x v="6"/>
    <n v="0"/>
  </r>
  <r>
    <s v="15900"/>
    <s v="Leasehold Improvements"/>
    <m/>
    <m/>
    <m/>
    <m/>
    <m/>
    <m/>
    <n v="0"/>
    <x v="6"/>
    <n v="0"/>
  </r>
  <r>
    <s v="16100"/>
    <s v="Property"/>
    <m/>
    <m/>
    <m/>
    <m/>
    <m/>
    <m/>
    <n v="0"/>
    <x v="6"/>
    <n v="0"/>
  </r>
  <r>
    <s v="17100"/>
    <s v="Accum Depr-Furniture"/>
    <m/>
    <m/>
    <m/>
    <m/>
    <m/>
    <m/>
    <n v="0"/>
    <x v="6"/>
    <n v="0"/>
  </r>
  <r>
    <s v="17200"/>
    <s v="Accum Depr-Micro Network"/>
    <m/>
    <m/>
    <m/>
    <m/>
    <m/>
    <m/>
    <n v="0"/>
    <x v="6"/>
    <n v="0"/>
  </r>
  <r>
    <s v="17200.01"/>
    <s v="Network Infrastructure Labor"/>
    <m/>
    <m/>
    <m/>
    <m/>
    <m/>
    <m/>
    <n v="0"/>
    <x v="6"/>
    <n v="0"/>
  </r>
  <r>
    <m/>
    <s v="Accum Depr - Heliocopter"/>
    <m/>
    <m/>
    <m/>
    <m/>
    <m/>
    <m/>
    <n v="0"/>
    <x v="6"/>
    <n v="0"/>
  </r>
  <r>
    <s v="17300"/>
    <s v="Accum Depr-CPE Modems"/>
    <m/>
    <m/>
    <m/>
    <m/>
    <m/>
    <m/>
    <n v="0"/>
    <x v="6"/>
    <n v="0"/>
  </r>
  <r>
    <s v="17310"/>
    <s v="Accum Depr - Phones"/>
    <m/>
    <m/>
    <m/>
    <m/>
    <m/>
    <m/>
    <n v="0"/>
    <x v="6"/>
    <n v="0"/>
  </r>
  <r>
    <s v="17400"/>
    <s v="Accum Depr-Repeater"/>
    <m/>
    <m/>
    <m/>
    <m/>
    <m/>
    <m/>
    <n v="0"/>
    <x v="6"/>
    <n v="0"/>
  </r>
  <r>
    <s v="17402"/>
    <s v="Accum Depr - Equipment"/>
    <m/>
    <m/>
    <m/>
    <m/>
    <m/>
    <m/>
    <n v="0"/>
    <x v="6"/>
    <n v="0"/>
  </r>
  <r>
    <s v="17410"/>
    <s v="Accum Depre - 2X Equipment"/>
    <m/>
    <m/>
    <m/>
    <m/>
    <m/>
    <m/>
    <n v="0"/>
    <x v="6"/>
    <n v="0"/>
  </r>
  <r>
    <s v="17500"/>
    <s v="Accum Depr-Computer"/>
    <m/>
    <m/>
    <m/>
    <m/>
    <m/>
    <m/>
    <n v="0"/>
    <x v="6"/>
    <n v="0"/>
  </r>
  <r>
    <s v="17600"/>
    <s v="Accum Depr-Gateway"/>
    <m/>
    <m/>
    <m/>
    <m/>
    <m/>
    <m/>
    <n v="0"/>
    <x v="6"/>
    <n v="0"/>
  </r>
  <r>
    <s v="17700"/>
    <s v="Accum-Depr-Software"/>
    <m/>
    <m/>
    <m/>
    <m/>
    <m/>
    <m/>
    <n v="0"/>
    <x v="6"/>
    <n v="0"/>
  </r>
  <r>
    <s v="17700.01"/>
    <s v="Accum Depr Software Labor"/>
    <m/>
    <m/>
    <m/>
    <m/>
    <m/>
    <m/>
    <n v="0"/>
    <x v="7"/>
    <n v="0"/>
  </r>
  <r>
    <s v="17710"/>
    <s v="Accum Dep - LHI"/>
    <m/>
    <m/>
    <m/>
    <m/>
    <m/>
    <m/>
    <n v="0"/>
    <x v="6"/>
    <n v="0"/>
  </r>
  <r>
    <s v="17800"/>
    <s v="Accum Depr-Vehicles"/>
    <m/>
    <m/>
    <m/>
    <m/>
    <m/>
    <m/>
    <n v="0"/>
    <x v="6"/>
    <n v="0"/>
  </r>
  <r>
    <s v="11250"/>
    <s v="Note Receiveable 2X Wireless"/>
    <m/>
    <m/>
    <m/>
    <m/>
    <n v="0"/>
    <m/>
    <n v="0"/>
    <x v="8"/>
    <n v="0"/>
  </r>
  <r>
    <s v="11275"/>
    <s v="Note Receivable DP Aviation"/>
    <m/>
    <m/>
    <m/>
    <m/>
    <n v="0"/>
    <m/>
    <n v="0"/>
    <x v="8"/>
    <n v="0"/>
  </r>
  <r>
    <s v="19000"/>
    <s v="Deposits"/>
    <m/>
    <m/>
    <m/>
    <m/>
    <m/>
    <m/>
    <n v="0"/>
    <x v="2"/>
    <n v="0"/>
  </r>
  <r>
    <s v="19030"/>
    <s v="Prepaid Property Taxes"/>
    <m/>
    <m/>
    <m/>
    <m/>
    <m/>
    <m/>
    <n v="0"/>
    <x v="5"/>
    <n v="0"/>
  </r>
  <r>
    <s v="19300"/>
    <s v="Patent"/>
    <m/>
    <m/>
    <m/>
    <m/>
    <m/>
    <m/>
    <n v="0"/>
    <x v="9"/>
    <n v="0"/>
  </r>
  <r>
    <s v="19350"/>
    <s v="Accumulated Amort - Patent"/>
    <m/>
    <m/>
    <m/>
    <m/>
    <m/>
    <m/>
    <n v="0"/>
    <x v="9"/>
    <n v="0"/>
  </r>
  <r>
    <s v="19567"/>
    <s v="Capitalized Loan costs"/>
    <m/>
    <m/>
    <m/>
    <m/>
    <m/>
    <m/>
    <n v="0"/>
    <x v="10"/>
    <n v="0"/>
  </r>
  <r>
    <s v="19570"/>
    <s v="Accumulated Amort - Loan Costs"/>
    <m/>
    <m/>
    <m/>
    <m/>
    <m/>
    <m/>
    <n v="0"/>
    <x v="10"/>
    <n v="0"/>
  </r>
  <r>
    <s v="19600"/>
    <s v="Investment in 2X Wireless"/>
    <m/>
    <m/>
    <m/>
    <n v="0"/>
    <m/>
    <m/>
    <n v="0"/>
    <x v="8"/>
    <n v="0"/>
  </r>
  <r>
    <s v="19700"/>
    <s v="Investment in DP Aviation"/>
    <m/>
    <m/>
    <m/>
    <n v="0"/>
    <m/>
    <m/>
    <n v="0"/>
    <x v="8"/>
    <n v="0"/>
  </r>
  <r>
    <s v="20000"/>
    <s v="Accounts Payable"/>
    <m/>
    <m/>
    <m/>
    <m/>
    <m/>
    <m/>
    <n v="0"/>
    <x v="11"/>
    <n v="0"/>
  </r>
  <r>
    <s v="20100"/>
    <s v="Accrued Expenses"/>
    <m/>
    <m/>
    <m/>
    <m/>
    <m/>
    <m/>
    <n v="0"/>
    <x v="12"/>
    <n v="0"/>
  </r>
  <r>
    <s v="20100.01"/>
    <s v="Accrued self insurance"/>
    <m/>
    <m/>
    <m/>
    <m/>
    <m/>
    <m/>
    <n v="0"/>
    <x v="12"/>
    <n v="0"/>
  </r>
  <r>
    <s v="21000"/>
    <s v="Payroll Payable"/>
    <m/>
    <m/>
    <m/>
    <m/>
    <m/>
    <m/>
    <n v="0"/>
    <x v="12"/>
    <n v="0"/>
  </r>
  <r>
    <s v="21050"/>
    <s v="Payroll Tax Payable"/>
    <m/>
    <m/>
    <m/>
    <m/>
    <m/>
    <m/>
    <n v="0"/>
    <x v="12"/>
    <n v="0"/>
  </r>
  <r>
    <s v="21100"/>
    <s v="PTO Payable"/>
    <m/>
    <m/>
    <m/>
    <m/>
    <m/>
    <m/>
    <n v="0"/>
    <x v="12"/>
    <n v="0"/>
  </r>
  <r>
    <s v="23100"/>
    <s v="Sales/Use Tax Payable"/>
    <m/>
    <m/>
    <m/>
    <m/>
    <m/>
    <m/>
    <n v="0"/>
    <x v="12"/>
    <n v="0"/>
  </r>
  <r>
    <s v="24948"/>
    <s v="083 N/P - 2012 Dodge Ram"/>
    <m/>
    <m/>
    <m/>
    <m/>
    <m/>
    <m/>
    <n v="0"/>
    <x v="13"/>
    <n v="0"/>
  </r>
  <r>
    <s v="24958"/>
    <s v="091 L/P - 2X  US Bank"/>
    <m/>
    <m/>
    <m/>
    <m/>
    <m/>
    <m/>
    <n v="0"/>
    <x v="13"/>
    <n v="0"/>
  </r>
  <r>
    <s v="24962"/>
    <s v="095 L/P - JB2 Funding"/>
    <m/>
    <m/>
    <m/>
    <m/>
    <m/>
    <m/>
    <n v="0"/>
    <x v="13"/>
    <n v="0"/>
  </r>
  <r>
    <s v="24965"/>
    <s v="098 L/P - Key Equipment"/>
    <m/>
    <m/>
    <m/>
    <m/>
    <m/>
    <m/>
    <n v="0"/>
    <x v="13"/>
    <n v="0"/>
  </r>
  <r>
    <s v="24966"/>
    <s v="099 L/P - Summit"/>
    <m/>
    <m/>
    <m/>
    <m/>
    <m/>
    <m/>
    <n v="0"/>
    <x v="13"/>
    <n v="0"/>
  </r>
  <r>
    <s v="24967"/>
    <s v="100 L/P - Frame 1"/>
    <m/>
    <m/>
    <m/>
    <m/>
    <m/>
    <m/>
    <n v="0"/>
    <x v="13"/>
    <n v="0"/>
  </r>
  <r>
    <s v="24968"/>
    <s v="101 L/P - CIT"/>
    <m/>
    <m/>
    <m/>
    <m/>
    <m/>
    <m/>
    <n v="0"/>
    <x v="13"/>
    <n v="0"/>
  </r>
  <r>
    <s v="24970"/>
    <s v="103 L/P - Element"/>
    <m/>
    <m/>
    <m/>
    <m/>
    <m/>
    <m/>
    <n v="0"/>
    <x v="13"/>
    <n v="0"/>
  </r>
  <r>
    <s v="24971"/>
    <s v="104 L/P - Fame 1 - Leaf"/>
    <m/>
    <m/>
    <m/>
    <m/>
    <m/>
    <m/>
    <n v="0"/>
    <x v="13"/>
    <n v="0"/>
  </r>
  <r>
    <s v="24973"/>
    <s v="106 L/P - EverBank"/>
    <m/>
    <m/>
    <m/>
    <m/>
    <m/>
    <m/>
    <n v="0"/>
    <x v="13"/>
    <n v="0"/>
  </r>
  <r>
    <s v="24977"/>
    <s v="110 L/P - Western Equipment"/>
    <m/>
    <m/>
    <m/>
    <m/>
    <m/>
    <m/>
    <n v="0"/>
    <x v="13"/>
    <n v="0"/>
  </r>
  <r>
    <s v="24979"/>
    <s v="112 L/P - Arlington"/>
    <m/>
    <m/>
    <m/>
    <m/>
    <m/>
    <m/>
    <n v="0"/>
    <x v="13"/>
    <n v="0"/>
  </r>
  <r>
    <s v="24981"/>
    <s v="114 L/P - Nec"/>
    <m/>
    <m/>
    <m/>
    <m/>
    <m/>
    <m/>
    <n v="0"/>
    <x v="13"/>
    <n v="0"/>
  </r>
  <r>
    <s v="24984"/>
    <s v="117 L/P - HP Financial"/>
    <m/>
    <m/>
    <m/>
    <m/>
    <m/>
    <m/>
    <n v="0"/>
    <x v="13"/>
    <n v="0"/>
  </r>
  <r>
    <s v="24986"/>
    <s v="119 L/P - Element"/>
    <m/>
    <m/>
    <m/>
    <m/>
    <m/>
    <m/>
    <n v="0"/>
    <x v="13"/>
    <n v="0"/>
  </r>
  <r>
    <s v="24988"/>
    <s v="121 L/P - Banc of Calif"/>
    <m/>
    <m/>
    <m/>
    <m/>
    <m/>
    <m/>
    <n v="0"/>
    <x v="13"/>
    <n v="0"/>
  </r>
  <r>
    <s v="25001"/>
    <s v="Credit Card AmEx 3000"/>
    <m/>
    <m/>
    <m/>
    <m/>
    <m/>
    <m/>
    <n v="0"/>
    <x v="11"/>
    <n v="0"/>
  </r>
  <r>
    <s v="25001.01"/>
    <s v="Credit Card AMEX 1019"/>
    <m/>
    <m/>
    <m/>
    <m/>
    <m/>
    <m/>
    <n v="0"/>
    <x v="11"/>
    <n v="0"/>
  </r>
  <r>
    <s v="25003"/>
    <s v="Credit Card Home Depot"/>
    <m/>
    <m/>
    <m/>
    <m/>
    <m/>
    <m/>
    <n v="0"/>
    <x v="11"/>
    <n v="0"/>
  </r>
  <r>
    <s v="25004"/>
    <s v="Credit Card Chase 8093 - 3079"/>
    <m/>
    <m/>
    <m/>
    <m/>
    <m/>
    <m/>
    <n v="0"/>
    <x v="11"/>
    <n v="0"/>
  </r>
  <r>
    <s v="25005"/>
    <s v="Credit Card United 6664 - 5834"/>
    <m/>
    <m/>
    <m/>
    <m/>
    <m/>
    <m/>
    <n v="0"/>
    <x v="11"/>
    <n v="0"/>
  </r>
  <r>
    <s v="25006"/>
    <s v="Credit Card Chas 5756 Employee"/>
    <m/>
    <m/>
    <m/>
    <m/>
    <m/>
    <m/>
    <n v="0"/>
    <x v="11"/>
    <n v="0"/>
  </r>
  <r>
    <s v="25007"/>
    <s v="Credit Card  AM EX CostCo 1008"/>
    <m/>
    <m/>
    <m/>
    <m/>
    <m/>
    <m/>
    <n v="0"/>
    <x v="11"/>
    <n v="0"/>
  </r>
  <r>
    <s v="25008"/>
    <s v="Credit Card Capital One"/>
    <m/>
    <m/>
    <m/>
    <m/>
    <m/>
    <m/>
    <n v="0"/>
    <x v="11"/>
    <n v="0"/>
  </r>
  <r>
    <s v="25008.01"/>
    <s v="Capital One"/>
    <m/>
    <m/>
    <m/>
    <m/>
    <m/>
    <m/>
    <n v="0"/>
    <x v="11"/>
    <n v="0"/>
  </r>
  <r>
    <s v="25012"/>
    <s v="Credit CardChase - United 9064"/>
    <m/>
    <m/>
    <m/>
    <m/>
    <m/>
    <m/>
    <n v="0"/>
    <x v="11"/>
    <n v="0"/>
  </r>
  <r>
    <s v="25015"/>
    <s v="126 L/P - Summit"/>
    <m/>
    <m/>
    <m/>
    <m/>
    <m/>
    <m/>
    <n v="0"/>
    <x v="13"/>
    <n v="0"/>
  </r>
  <r>
    <s v="25018"/>
    <s v="129 L/P - Western"/>
    <m/>
    <m/>
    <m/>
    <m/>
    <m/>
    <m/>
    <n v="0"/>
    <x v="13"/>
    <n v="0"/>
  </r>
  <r>
    <s v="25019"/>
    <s v="130 L/P - De Lage Landen"/>
    <m/>
    <m/>
    <m/>
    <m/>
    <m/>
    <m/>
    <n v="0"/>
    <x v="13"/>
    <n v="0"/>
  </r>
  <r>
    <s v="25020"/>
    <s v="131 L/P - Element"/>
    <m/>
    <m/>
    <m/>
    <m/>
    <m/>
    <m/>
    <n v="0"/>
    <x v="13"/>
    <n v="0"/>
  </r>
  <r>
    <s v="25029"/>
    <s v="139 L/P - Western"/>
    <m/>
    <m/>
    <m/>
    <m/>
    <m/>
    <m/>
    <n v="0"/>
    <x v="13"/>
    <n v="0"/>
  </r>
  <r>
    <s v="25031"/>
    <s v="142 L/P - US Bank Copier"/>
    <m/>
    <m/>
    <m/>
    <m/>
    <m/>
    <m/>
    <n v="0"/>
    <x v="13"/>
    <n v="0"/>
  </r>
  <r>
    <s v="25033"/>
    <s v="144 L/P - WISPer"/>
    <m/>
    <m/>
    <m/>
    <m/>
    <m/>
    <m/>
    <n v="0"/>
    <x v="13"/>
    <n v="0"/>
  </r>
  <r>
    <s v="25034"/>
    <s v="145 L/P - EverBank"/>
    <m/>
    <m/>
    <m/>
    <m/>
    <m/>
    <m/>
    <n v="0"/>
    <x v="13"/>
    <n v="0"/>
  </r>
  <r>
    <s v="25035"/>
    <s v="146 L/P - WISPer"/>
    <m/>
    <m/>
    <m/>
    <m/>
    <m/>
    <m/>
    <n v="0"/>
    <x v="13"/>
    <n v="0"/>
  </r>
  <r>
    <s v="25036"/>
    <s v="147 L/P - WISPer"/>
    <m/>
    <m/>
    <m/>
    <m/>
    <m/>
    <m/>
    <n v="0"/>
    <x v="13"/>
    <n v="0"/>
  </r>
  <r>
    <s v="25037"/>
    <s v="148 L/P - Axis Capital"/>
    <m/>
    <m/>
    <m/>
    <m/>
    <m/>
    <m/>
    <n v="0"/>
    <x v="13"/>
    <n v="0"/>
  </r>
  <r>
    <s v="25038"/>
    <s v="149 L/P - Axis Capital"/>
    <m/>
    <m/>
    <m/>
    <m/>
    <m/>
    <m/>
    <n v="0"/>
    <x v="13"/>
    <n v="0"/>
  </r>
  <r>
    <s v="25039"/>
    <s v="150 L/P - WISPer 4"/>
    <m/>
    <m/>
    <m/>
    <m/>
    <m/>
    <m/>
    <n v="0"/>
    <x v="13"/>
    <n v="0"/>
  </r>
  <r>
    <s v="25040"/>
    <s v="151 N/P - 2016 Ford F350"/>
    <m/>
    <m/>
    <m/>
    <m/>
    <m/>
    <m/>
    <n v="0"/>
    <x v="13"/>
    <n v="0"/>
  </r>
  <r>
    <s v="25041"/>
    <s v="152 L/P - AXIS CAPITAL"/>
    <m/>
    <m/>
    <m/>
    <m/>
    <m/>
    <m/>
    <n v="0"/>
    <x v="13"/>
    <n v="0"/>
  </r>
  <r>
    <s v="25042"/>
    <s v="153 L/p - Jules"/>
    <m/>
    <m/>
    <m/>
    <m/>
    <m/>
    <m/>
    <n v="0"/>
    <x v="13"/>
    <n v="0"/>
  </r>
  <r>
    <s v="25043"/>
    <s v="154 L/P - Jules 3"/>
    <m/>
    <m/>
    <m/>
    <m/>
    <m/>
    <m/>
    <n v="0"/>
    <x v="13"/>
    <n v="0"/>
  </r>
  <r>
    <s v="25044"/>
    <s v="155 L/P - Axis Capital 4"/>
    <m/>
    <m/>
    <m/>
    <m/>
    <m/>
    <m/>
    <n v="0"/>
    <x v="13"/>
    <n v="0"/>
  </r>
  <r>
    <s v="25045"/>
    <s v="156 L/P - Axis Capital 5"/>
    <m/>
    <m/>
    <m/>
    <m/>
    <m/>
    <m/>
    <n v="0"/>
    <x v="13"/>
    <n v="0"/>
  </r>
  <r>
    <s v="25046"/>
    <s v="157 L/P - Jules 4"/>
    <m/>
    <m/>
    <m/>
    <m/>
    <m/>
    <m/>
    <n v="0"/>
    <x v="13"/>
    <n v="0"/>
  </r>
  <r>
    <s v="25048"/>
    <s v="159 L/P - Jules 6"/>
    <m/>
    <m/>
    <m/>
    <m/>
    <m/>
    <m/>
    <n v="0"/>
    <x v="13"/>
    <n v="0"/>
  </r>
  <r>
    <s v="25049"/>
    <s v="160 L/P - Technology Finance"/>
    <m/>
    <m/>
    <m/>
    <m/>
    <m/>
    <m/>
    <n v="0"/>
    <x v="13"/>
    <n v="0"/>
  </r>
  <r>
    <s v="25050"/>
    <s v="161 L/P - Alliance Funding"/>
    <m/>
    <m/>
    <m/>
    <m/>
    <m/>
    <m/>
    <n v="0"/>
    <x v="13"/>
    <n v="0"/>
  </r>
  <r>
    <s v="25051"/>
    <s v="162 L/P - Susquehanna"/>
    <m/>
    <m/>
    <m/>
    <m/>
    <m/>
    <m/>
    <n v="0"/>
    <x v="13"/>
    <n v="0"/>
  </r>
  <r>
    <s v="25052"/>
    <s v="163 L/P - Jules 5"/>
    <m/>
    <m/>
    <m/>
    <m/>
    <m/>
    <m/>
    <n v="0"/>
    <x v="13"/>
    <n v="0"/>
  </r>
  <r>
    <s v="25053"/>
    <s v="164 L/P -  TFC 5"/>
    <m/>
    <m/>
    <m/>
    <m/>
    <m/>
    <m/>
    <n v="0"/>
    <x v="13"/>
    <n v="0"/>
  </r>
  <r>
    <s v="25054"/>
    <s v="165 L/P - TFC 6"/>
    <m/>
    <m/>
    <m/>
    <m/>
    <m/>
    <m/>
    <n v="0"/>
    <x v="13"/>
    <n v="0"/>
  </r>
  <r>
    <s v="25055"/>
    <s v="166 L/P - TFC 7"/>
    <m/>
    <m/>
    <m/>
    <m/>
    <m/>
    <m/>
    <n v="0"/>
    <x v="13"/>
    <n v="0"/>
  </r>
  <r>
    <s v="25057"/>
    <s v="168 N/P - TFC 8"/>
    <m/>
    <m/>
    <m/>
    <m/>
    <m/>
    <m/>
    <n v="0"/>
    <x v="13"/>
    <n v="0"/>
  </r>
  <r>
    <s v="25058"/>
    <s v="169 N/P - East West Bank - C"/>
    <m/>
    <m/>
    <m/>
    <m/>
    <m/>
    <m/>
    <n v="0"/>
    <x v="13"/>
    <n v="0"/>
  </r>
  <r>
    <s v="26900"/>
    <s v="Deferred Revenue"/>
    <m/>
    <m/>
    <m/>
    <m/>
    <m/>
    <m/>
    <n v="0"/>
    <x v="14"/>
    <n v="0"/>
  </r>
  <r>
    <s v="26900.01"/>
    <s v="DR HOLDING"/>
    <m/>
    <m/>
    <m/>
    <m/>
    <m/>
    <m/>
    <n v="0"/>
    <x v="14"/>
    <n v="0"/>
  </r>
  <r>
    <s v="26910"/>
    <s v="Deferred Revenuse Wholesale"/>
    <m/>
    <m/>
    <m/>
    <m/>
    <m/>
    <m/>
    <n v="0"/>
    <x v="14"/>
    <n v="0"/>
  </r>
  <r>
    <s v="26920"/>
    <s v="Deferred Revenue Other"/>
    <m/>
    <m/>
    <m/>
    <m/>
    <m/>
    <m/>
    <n v="0"/>
    <x v="14"/>
    <n v="0"/>
  </r>
  <r>
    <s v="26940"/>
    <s v="Deferred Revenue Comm Impact"/>
    <m/>
    <m/>
    <m/>
    <m/>
    <m/>
    <m/>
    <n v="0"/>
    <x v="14"/>
    <n v="0"/>
  </r>
  <r>
    <s v="26951"/>
    <s v="Deferred Revenue Bus Services"/>
    <m/>
    <m/>
    <m/>
    <m/>
    <m/>
    <m/>
    <n v="0"/>
    <x v="14"/>
    <n v="0"/>
  </r>
  <r>
    <s v="27948"/>
    <s v="083 N/P - 2012 Dodge Ram"/>
    <m/>
    <m/>
    <m/>
    <m/>
    <m/>
    <m/>
    <n v="0"/>
    <x v="10"/>
    <n v="0"/>
  </r>
  <r>
    <s v="27966"/>
    <s v="099 L/P - Summit"/>
    <m/>
    <m/>
    <m/>
    <m/>
    <m/>
    <m/>
    <n v="0"/>
    <x v="10"/>
    <n v="0"/>
  </r>
  <r>
    <s v="27967"/>
    <s v="100 L/P - Fame 1"/>
    <m/>
    <m/>
    <m/>
    <m/>
    <m/>
    <m/>
    <n v="0"/>
    <x v="10"/>
    <n v="0"/>
  </r>
  <r>
    <s v="27968"/>
    <s v="101 L/P - CIT"/>
    <m/>
    <m/>
    <m/>
    <m/>
    <m/>
    <m/>
    <n v="0"/>
    <x v="10"/>
    <n v="0"/>
  </r>
  <r>
    <s v="27970"/>
    <s v="103 L/P - Element"/>
    <m/>
    <m/>
    <m/>
    <m/>
    <m/>
    <m/>
    <n v="0"/>
    <x v="10"/>
    <n v="0"/>
  </r>
  <r>
    <s v="27971"/>
    <s v="104 L/P - Fame 1 - Leaf"/>
    <m/>
    <m/>
    <m/>
    <m/>
    <m/>
    <m/>
    <n v="0"/>
    <x v="10"/>
    <n v="0"/>
  </r>
  <r>
    <s v="27973"/>
    <s v="106 L/P - EverBank"/>
    <m/>
    <m/>
    <m/>
    <m/>
    <m/>
    <m/>
    <n v="0"/>
    <x v="10"/>
    <n v="0"/>
  </r>
  <r>
    <s v="27977"/>
    <s v="110 L/P - Western Equipment"/>
    <m/>
    <m/>
    <m/>
    <m/>
    <m/>
    <m/>
    <n v="0"/>
    <x v="10"/>
    <n v="0"/>
  </r>
  <r>
    <s v="27979"/>
    <s v="112 L/P - Arlington"/>
    <m/>
    <m/>
    <m/>
    <m/>
    <m/>
    <m/>
    <n v="0"/>
    <x v="10"/>
    <n v="0"/>
  </r>
  <r>
    <s v="27981"/>
    <s v="114 L/P - Nec"/>
    <m/>
    <m/>
    <m/>
    <m/>
    <m/>
    <m/>
    <n v="0"/>
    <x v="10"/>
    <n v="0"/>
  </r>
  <r>
    <s v="27984"/>
    <s v="117 L/P - HP Financial"/>
    <m/>
    <m/>
    <m/>
    <m/>
    <m/>
    <m/>
    <n v="0"/>
    <x v="10"/>
    <n v="0"/>
  </r>
  <r>
    <s v="27986"/>
    <s v="119 L/P - Element"/>
    <m/>
    <m/>
    <m/>
    <m/>
    <m/>
    <m/>
    <n v="0"/>
    <x v="10"/>
    <n v="0"/>
  </r>
  <r>
    <s v="27988"/>
    <s v="121 L/P - Banc of Calif"/>
    <m/>
    <m/>
    <m/>
    <m/>
    <m/>
    <m/>
    <n v="0"/>
    <x v="10"/>
    <n v="0"/>
  </r>
  <r>
    <s v="27999"/>
    <s v="122 L/P - Technology Finance"/>
    <m/>
    <m/>
    <m/>
    <m/>
    <m/>
    <m/>
    <n v="0"/>
    <x v="10"/>
    <n v="0"/>
  </r>
  <r>
    <s v="28015"/>
    <s v="126 L/P - Summit"/>
    <m/>
    <m/>
    <m/>
    <m/>
    <m/>
    <m/>
    <n v="0"/>
    <x v="10"/>
    <n v="0"/>
  </r>
  <r>
    <s v="28018"/>
    <s v="129 L/P - Western"/>
    <m/>
    <m/>
    <m/>
    <m/>
    <m/>
    <m/>
    <n v="0"/>
    <x v="10"/>
    <n v="0"/>
  </r>
  <r>
    <s v="28019"/>
    <s v="130 L/P - De Lage Landen"/>
    <m/>
    <m/>
    <m/>
    <m/>
    <m/>
    <m/>
    <n v="0"/>
    <x v="10"/>
    <n v="0"/>
  </r>
  <r>
    <s v="28020"/>
    <s v="131 L/P -  Element"/>
    <m/>
    <m/>
    <m/>
    <m/>
    <m/>
    <m/>
    <n v="0"/>
    <x v="10"/>
    <n v="0"/>
  </r>
  <r>
    <s v="28029"/>
    <s v="139 L/P - Western"/>
    <m/>
    <m/>
    <m/>
    <m/>
    <m/>
    <m/>
    <n v="0"/>
    <x v="10"/>
    <n v="0"/>
  </r>
  <r>
    <s v="28031"/>
    <s v="142 L/P - US Bank Copier"/>
    <m/>
    <m/>
    <m/>
    <m/>
    <m/>
    <m/>
    <n v="0"/>
    <x v="10"/>
    <n v="0"/>
  </r>
  <r>
    <s v="28033"/>
    <s v="144 L/P - WISPer"/>
    <m/>
    <m/>
    <m/>
    <m/>
    <m/>
    <m/>
    <n v="0"/>
    <x v="10"/>
    <n v="0"/>
  </r>
  <r>
    <s v="28034"/>
    <s v="145 L/P - EverBank"/>
    <m/>
    <m/>
    <m/>
    <m/>
    <m/>
    <m/>
    <n v="0"/>
    <x v="10"/>
    <n v="0"/>
  </r>
  <r>
    <s v="28035"/>
    <s v="146 L/P - WISPer"/>
    <m/>
    <m/>
    <m/>
    <m/>
    <m/>
    <m/>
    <n v="0"/>
    <x v="10"/>
    <n v="0"/>
  </r>
  <r>
    <s v="28036"/>
    <s v="147 L/P - WISPer"/>
    <m/>
    <m/>
    <m/>
    <m/>
    <m/>
    <m/>
    <n v="0"/>
    <x v="10"/>
    <n v="0"/>
  </r>
  <r>
    <s v="28037"/>
    <s v="148 L/P Axis Capital"/>
    <m/>
    <m/>
    <m/>
    <m/>
    <m/>
    <m/>
    <n v="0"/>
    <x v="10"/>
    <n v="0"/>
  </r>
  <r>
    <s v="28038"/>
    <s v="149 L/P - Axis Capital"/>
    <m/>
    <m/>
    <m/>
    <m/>
    <m/>
    <m/>
    <n v="0"/>
    <x v="10"/>
    <n v="0"/>
  </r>
  <r>
    <s v="28039"/>
    <s v="150 L/P - WISPer 4"/>
    <m/>
    <m/>
    <m/>
    <m/>
    <m/>
    <m/>
    <n v="0"/>
    <x v="10"/>
    <n v="0"/>
  </r>
  <r>
    <s v="28040"/>
    <s v="151 N/P - 2016 Ford F350"/>
    <m/>
    <m/>
    <m/>
    <m/>
    <m/>
    <m/>
    <n v="0"/>
    <x v="10"/>
    <n v="0"/>
  </r>
  <r>
    <s v="28041"/>
    <s v="152 L/P - AXIS CAPITAL"/>
    <m/>
    <m/>
    <m/>
    <m/>
    <m/>
    <m/>
    <n v="0"/>
    <x v="10"/>
    <n v="0"/>
  </r>
  <r>
    <s v="28042"/>
    <s v="153 L/p - Jules"/>
    <m/>
    <m/>
    <m/>
    <m/>
    <m/>
    <m/>
    <n v="0"/>
    <x v="10"/>
    <n v="0"/>
  </r>
  <r>
    <s v="28043"/>
    <s v="154 L/P - Jules 3"/>
    <m/>
    <m/>
    <m/>
    <m/>
    <m/>
    <m/>
    <n v="0"/>
    <x v="10"/>
    <n v="0"/>
  </r>
  <r>
    <s v="28044"/>
    <s v="155 L/P - Axis Capital 4"/>
    <m/>
    <m/>
    <m/>
    <m/>
    <m/>
    <m/>
    <n v="0"/>
    <x v="10"/>
    <n v="0"/>
  </r>
  <r>
    <s v="28045"/>
    <s v="156 L/P - Axis Capital 5"/>
    <m/>
    <m/>
    <m/>
    <m/>
    <m/>
    <m/>
    <n v="0"/>
    <x v="10"/>
    <n v="0"/>
  </r>
  <r>
    <s v="28046"/>
    <s v="157 L/P - Jules 4"/>
    <m/>
    <m/>
    <m/>
    <m/>
    <m/>
    <m/>
    <n v="0"/>
    <x v="10"/>
    <n v="0"/>
  </r>
  <r>
    <s v="28048"/>
    <s v="159 L/P - Jules 6"/>
    <m/>
    <m/>
    <m/>
    <m/>
    <m/>
    <m/>
    <n v="0"/>
    <x v="10"/>
    <n v="0"/>
  </r>
  <r>
    <s v="28049"/>
    <s v="160 L/P - Technology Finance"/>
    <m/>
    <m/>
    <m/>
    <m/>
    <m/>
    <m/>
    <n v="0"/>
    <x v="10"/>
    <n v="0"/>
  </r>
  <r>
    <s v="28050"/>
    <s v="161 L/P - Alliance Funding"/>
    <m/>
    <m/>
    <m/>
    <m/>
    <m/>
    <m/>
    <n v="0"/>
    <x v="10"/>
    <n v="0"/>
  </r>
  <r>
    <s v="28051"/>
    <s v="162 L/P - Susquehanna"/>
    <m/>
    <m/>
    <m/>
    <m/>
    <m/>
    <m/>
    <n v="0"/>
    <x v="10"/>
    <n v="0"/>
  </r>
  <r>
    <s v="28052"/>
    <s v="163 L/P - Jules 5"/>
    <m/>
    <m/>
    <m/>
    <m/>
    <m/>
    <m/>
    <n v="0"/>
    <x v="10"/>
    <n v="0"/>
  </r>
  <r>
    <s v="28053"/>
    <s v="164 L/P -  TFC 5"/>
    <m/>
    <m/>
    <m/>
    <m/>
    <m/>
    <m/>
    <n v="0"/>
    <x v="10"/>
    <n v="0"/>
  </r>
  <r>
    <s v="28054"/>
    <s v="165 L/P - TFC 6"/>
    <m/>
    <m/>
    <m/>
    <m/>
    <m/>
    <m/>
    <n v="0"/>
    <x v="10"/>
    <n v="0"/>
  </r>
  <r>
    <s v="28055"/>
    <s v="166 L/P - TFC 7"/>
    <m/>
    <m/>
    <m/>
    <m/>
    <m/>
    <m/>
    <n v="0"/>
    <x v="10"/>
    <n v="0"/>
  </r>
  <r>
    <s v="28057"/>
    <s v="168 N/P - TFC 8"/>
    <m/>
    <m/>
    <m/>
    <m/>
    <m/>
    <m/>
    <n v="0"/>
    <x v="10"/>
    <n v="0"/>
  </r>
  <r>
    <s v="28058"/>
    <s v="169 N/P - East West Bank - C"/>
    <m/>
    <m/>
    <m/>
    <m/>
    <m/>
    <m/>
    <n v="0"/>
    <x v="10"/>
    <n v="0"/>
  </r>
  <r>
    <n v="27250"/>
    <s v="2x NP DPI - Intercompany"/>
    <m/>
    <m/>
    <m/>
    <m/>
    <n v="0"/>
    <m/>
    <n v="0"/>
    <x v="8"/>
    <n v="0"/>
  </r>
  <r>
    <s v="20275"/>
    <s v="DPA NP DPI - Intercompany"/>
    <m/>
    <m/>
    <m/>
    <m/>
    <n v="0"/>
    <m/>
    <n v="0"/>
    <x v="8"/>
    <n v="0"/>
  </r>
  <r>
    <s v="29000"/>
    <s v="Warrant Liability"/>
    <m/>
    <m/>
    <m/>
    <m/>
    <m/>
    <m/>
    <n v="0"/>
    <x v="15"/>
    <n v="0"/>
  </r>
  <r>
    <s v="38400"/>
    <s v="Contra Account - Sales Leaseback"/>
    <m/>
    <m/>
    <m/>
    <m/>
    <m/>
    <m/>
    <n v="0"/>
    <x v="16"/>
    <n v="0"/>
  </r>
  <r>
    <s v="38500"/>
    <s v="Contra Account - Interco Sales"/>
    <m/>
    <m/>
    <m/>
    <m/>
    <m/>
    <n v="0"/>
    <n v="0"/>
    <x v="16"/>
    <n v="0"/>
  </r>
  <r>
    <s v="39005"/>
    <s v="Retained Earnings"/>
    <m/>
    <m/>
    <m/>
    <m/>
    <m/>
    <m/>
    <n v="0"/>
    <x v="16"/>
    <n v="0"/>
  </r>
  <r>
    <s v="39907"/>
    <s v="Stock"/>
    <m/>
    <m/>
    <m/>
    <n v="0"/>
    <m/>
    <m/>
    <n v="0"/>
    <x v="17"/>
    <n v="0"/>
  </r>
  <r>
    <s v="39908"/>
    <s v="Preferred Stock"/>
    <m/>
    <m/>
    <m/>
    <m/>
    <m/>
    <m/>
    <n v="0"/>
    <x v="18"/>
    <n v="0"/>
  </r>
  <r>
    <s v="39910"/>
    <s v="APIC - add. paid in Capital"/>
    <m/>
    <m/>
    <m/>
    <m/>
    <m/>
    <m/>
    <n v="0"/>
    <x v="19"/>
    <n v="0"/>
  </r>
  <r>
    <s v=""/>
    <s v="Net Income"/>
    <m/>
    <m/>
    <m/>
    <m/>
    <m/>
    <m/>
    <n v="0"/>
    <x v="16"/>
    <n v="0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count="142">
  <r>
    <s v="40000"/>
    <s v="Retail-Monthly Subscriptions"/>
    <m/>
    <m/>
    <m/>
    <m/>
    <m/>
    <m/>
    <n v="0"/>
    <x v="0"/>
    <n v="0"/>
  </r>
  <r>
    <s v="40001"/>
    <s v="Retail - Other accounts"/>
    <m/>
    <m/>
    <m/>
    <m/>
    <m/>
    <m/>
    <n v="0"/>
    <x v="0"/>
    <n v="0"/>
  </r>
  <r>
    <s v="40200"/>
    <s v="Retail-Set-Up Fees"/>
    <m/>
    <m/>
    <m/>
    <m/>
    <m/>
    <m/>
    <n v="0"/>
    <x v="0"/>
    <n v="0"/>
  </r>
  <r>
    <s v="40400"/>
    <s v="Retail-Other Income"/>
    <m/>
    <m/>
    <m/>
    <m/>
    <m/>
    <m/>
    <n v="0"/>
    <x v="0"/>
    <n v="0"/>
  </r>
  <r>
    <s v="40600"/>
    <s v="Rural Market- Monthly Subscrip"/>
    <m/>
    <m/>
    <m/>
    <m/>
    <m/>
    <m/>
    <n v="0"/>
    <x v="0"/>
    <n v="0"/>
  </r>
  <r>
    <s v="46500"/>
    <s v="Intercompany transfer of assets (Sales)"/>
    <m/>
    <m/>
    <m/>
    <m/>
    <m/>
    <n v="0"/>
    <n v="0"/>
    <x v="0"/>
    <n v="0"/>
  </r>
  <r>
    <s v="40601"/>
    <s v="Rural Market- Equipment Sales"/>
    <m/>
    <m/>
    <m/>
    <m/>
    <m/>
    <m/>
    <n v="0"/>
    <x v="0"/>
    <n v="0"/>
  </r>
  <r>
    <s v="40602"/>
    <s v="Rural Market-Set Up Fees"/>
    <m/>
    <m/>
    <m/>
    <m/>
    <m/>
    <m/>
    <n v="0"/>
    <x v="0"/>
    <n v="0"/>
  </r>
  <r>
    <s v="40603"/>
    <s v="Rural Market-Other Income"/>
    <m/>
    <m/>
    <m/>
    <m/>
    <m/>
    <m/>
    <n v="0"/>
    <x v="0"/>
    <n v="0"/>
  </r>
  <r>
    <s v="40604"/>
    <s v="Rural Market - T-Mobile"/>
    <m/>
    <m/>
    <m/>
    <m/>
    <m/>
    <m/>
    <n v="0"/>
    <x v="0"/>
    <n v="0"/>
  </r>
  <r>
    <s v="40800"/>
    <s v="Business Sys  - Monthly Subscr"/>
    <m/>
    <m/>
    <m/>
    <m/>
    <m/>
    <m/>
    <n v="0"/>
    <x v="0"/>
    <n v="0"/>
  </r>
  <r>
    <s v="40800.01"/>
    <s v="Business Phone Services"/>
    <m/>
    <m/>
    <m/>
    <m/>
    <m/>
    <m/>
    <n v="0"/>
    <x v="0"/>
    <n v="0"/>
  </r>
  <r>
    <s v="40801"/>
    <s v="Business Services - Equipment"/>
    <m/>
    <m/>
    <m/>
    <m/>
    <m/>
    <m/>
    <n v="0"/>
    <x v="0"/>
    <n v="0"/>
  </r>
  <r>
    <s v="40802"/>
    <s v="Business Services - SetUp Fee"/>
    <m/>
    <m/>
    <m/>
    <m/>
    <m/>
    <m/>
    <n v="0"/>
    <x v="0"/>
    <n v="0"/>
  </r>
  <r>
    <s v="40803"/>
    <s v="Business Services Other Inc"/>
    <m/>
    <m/>
    <m/>
    <m/>
    <m/>
    <m/>
    <n v="0"/>
    <x v="0"/>
    <n v="0"/>
  </r>
  <r>
    <s v="40804"/>
    <s v="Bus Sys - Phone Charge"/>
    <m/>
    <m/>
    <m/>
    <m/>
    <m/>
    <m/>
    <n v="0"/>
    <x v="0"/>
    <n v="0"/>
  </r>
  <r>
    <s v="40807"/>
    <s v="Business Services - Barter"/>
    <m/>
    <m/>
    <m/>
    <m/>
    <m/>
    <m/>
    <n v="0"/>
    <x v="0"/>
    <n v="0"/>
  </r>
  <r>
    <s v="40808"/>
    <s v="Business Services One Time Fee"/>
    <m/>
    <m/>
    <m/>
    <m/>
    <m/>
    <m/>
    <n v="0"/>
    <x v="0"/>
    <n v="0"/>
  </r>
  <r>
    <s v="41000"/>
    <s v="Wholesale-Monthly Subscription"/>
    <m/>
    <m/>
    <m/>
    <m/>
    <m/>
    <m/>
    <n v="0"/>
    <x v="0"/>
    <n v="0"/>
  </r>
  <r>
    <s v="41300"/>
    <s v="Wholesale-Other Income"/>
    <m/>
    <m/>
    <m/>
    <m/>
    <m/>
    <m/>
    <n v="0"/>
    <x v="0"/>
    <n v="0"/>
  </r>
  <r>
    <s v="43000"/>
    <s v="Hot Spot - Monthly Subs"/>
    <m/>
    <m/>
    <m/>
    <m/>
    <m/>
    <m/>
    <n v="0"/>
    <x v="0"/>
    <n v="0"/>
  </r>
  <r>
    <s v="46000"/>
    <s v="Customer Refunds"/>
    <m/>
    <m/>
    <m/>
    <m/>
    <m/>
    <m/>
    <n v="0"/>
    <x v="0"/>
    <n v="0"/>
  </r>
  <r>
    <s v="46000.01"/>
    <s v="Bus Services Customer Refunds"/>
    <m/>
    <m/>
    <m/>
    <m/>
    <m/>
    <m/>
    <n v="0"/>
    <x v="0"/>
    <n v="0"/>
  </r>
  <r>
    <s v="46100"/>
    <s v="Service Credits"/>
    <m/>
    <m/>
    <m/>
    <m/>
    <m/>
    <m/>
    <n v="0"/>
    <x v="0"/>
    <n v="0"/>
  </r>
  <r>
    <s v="48200"/>
    <s v="Other Income"/>
    <m/>
    <m/>
    <m/>
    <m/>
    <m/>
    <m/>
    <n v="0"/>
    <x v="0"/>
    <n v="0"/>
  </r>
  <r>
    <s v="48202"/>
    <s v="Long Distance Income"/>
    <m/>
    <m/>
    <m/>
    <m/>
    <m/>
    <m/>
    <n v="0"/>
    <x v="0"/>
    <n v="0"/>
  </r>
  <r>
    <s v="48203"/>
    <s v="Phone Income"/>
    <m/>
    <m/>
    <m/>
    <m/>
    <m/>
    <m/>
    <n v="0"/>
    <x v="0"/>
    <n v="0"/>
  </r>
  <r>
    <s v="50000"/>
    <s v="Internet Cost"/>
    <m/>
    <m/>
    <m/>
    <m/>
    <m/>
    <m/>
    <n v="0"/>
    <x v="1"/>
    <n v="0"/>
  </r>
  <r>
    <s v="50000.01"/>
    <s v="Internet Cost - Bus Services"/>
    <m/>
    <m/>
    <m/>
    <m/>
    <m/>
    <m/>
    <n v="0"/>
    <x v="1"/>
    <n v="0"/>
  </r>
  <r>
    <s v="50201"/>
    <s v="VOIP Costs"/>
    <m/>
    <m/>
    <m/>
    <m/>
    <m/>
    <m/>
    <n v="0"/>
    <x v="1"/>
    <n v="0"/>
  </r>
  <r>
    <s v="50500"/>
    <s v="Gateway / RPOP"/>
    <m/>
    <m/>
    <m/>
    <m/>
    <m/>
    <m/>
    <n v="0"/>
    <x v="1"/>
    <n v="0"/>
  </r>
  <r>
    <s v="63500"/>
    <s v="Commissions"/>
    <m/>
    <m/>
    <m/>
    <m/>
    <m/>
    <m/>
    <n v="0"/>
    <x v="1"/>
    <n v="0"/>
  </r>
  <r>
    <s v="63800"/>
    <s v="Sub-Contractors"/>
    <m/>
    <m/>
    <m/>
    <m/>
    <m/>
    <m/>
    <n v="0"/>
    <x v="1"/>
    <n v="0"/>
  </r>
  <r>
    <s v="75000"/>
    <s v="Manufacturing Supplies"/>
    <m/>
    <m/>
    <m/>
    <m/>
    <m/>
    <m/>
    <n v="0"/>
    <x v="1"/>
    <n v="0"/>
  </r>
  <r>
    <m/>
    <s v="Hardware costs"/>
    <m/>
    <m/>
    <m/>
    <m/>
    <m/>
    <m/>
    <n v="0"/>
    <x v="1"/>
    <n v="0"/>
  </r>
  <r>
    <m/>
    <s v="COGS - Intercompany transfer of assets"/>
    <m/>
    <m/>
    <m/>
    <m/>
    <m/>
    <n v="0"/>
    <n v="0"/>
    <x v="1"/>
    <n v="0"/>
  </r>
  <r>
    <s v="60100"/>
    <s v="Advertising &amp; Promotion"/>
    <m/>
    <m/>
    <m/>
    <m/>
    <m/>
    <m/>
    <n v="0"/>
    <x v="2"/>
    <n v="0"/>
  </r>
  <r>
    <s v="60125"/>
    <s v="Advertising Barter"/>
    <m/>
    <m/>
    <m/>
    <m/>
    <m/>
    <m/>
    <n v="0"/>
    <x v="2"/>
    <n v="0"/>
  </r>
  <r>
    <s v="60200"/>
    <s v="Referral Credits"/>
    <m/>
    <m/>
    <m/>
    <m/>
    <m/>
    <m/>
    <n v="0"/>
    <x v="2"/>
    <n v="0"/>
  </r>
  <r>
    <s v="60500"/>
    <s v="Amortization"/>
    <m/>
    <m/>
    <m/>
    <m/>
    <m/>
    <m/>
    <n v="0"/>
    <x v="3"/>
    <n v="0"/>
  </r>
  <r>
    <s v="61000"/>
    <s v="Vehicle Repairs"/>
    <m/>
    <m/>
    <m/>
    <m/>
    <m/>
    <m/>
    <n v="0"/>
    <x v="4"/>
    <n v="0"/>
  </r>
  <r>
    <s v="61000.01"/>
    <s v="Vehicle - Tune up &amp; Oil Change"/>
    <m/>
    <m/>
    <m/>
    <m/>
    <m/>
    <m/>
    <n v="0"/>
    <x v="1"/>
    <n v="0"/>
  </r>
  <r>
    <s v="61000.02"/>
    <s v="Vehicle - Tires"/>
    <m/>
    <m/>
    <m/>
    <m/>
    <m/>
    <m/>
    <n v="0"/>
    <x v="1"/>
    <n v="0"/>
  </r>
  <r>
    <s v="61000.03"/>
    <s v="Vehicle Repairs - Misc"/>
    <m/>
    <m/>
    <m/>
    <m/>
    <m/>
    <m/>
    <n v="0"/>
    <x v="1"/>
    <n v="0"/>
  </r>
  <r>
    <s v="61100"/>
    <s v="Vehicle Gasoline - General"/>
    <m/>
    <m/>
    <m/>
    <m/>
    <m/>
    <m/>
    <n v="0"/>
    <x v="4"/>
    <n v="0"/>
  </r>
  <r>
    <s v="61100.01"/>
    <s v="Vehicle Gasoline - Expansion"/>
    <m/>
    <m/>
    <m/>
    <m/>
    <m/>
    <m/>
    <n v="0"/>
    <x v="4"/>
    <n v="0"/>
  </r>
  <r>
    <s v="61100.02"/>
    <s v="Vehicle Gas - Installers"/>
    <m/>
    <m/>
    <m/>
    <m/>
    <m/>
    <m/>
    <n v="0"/>
    <x v="4"/>
    <n v="0"/>
  </r>
  <r>
    <s v="61100.03"/>
    <s v="Vehicle Propane generators"/>
    <m/>
    <m/>
    <m/>
    <m/>
    <m/>
    <m/>
    <n v="0"/>
    <x v="4"/>
    <n v="0"/>
  </r>
  <r>
    <s v="61100.04"/>
    <s v="Vehicle Gasoline &amp; Oil"/>
    <m/>
    <m/>
    <m/>
    <m/>
    <m/>
    <m/>
    <n v="0"/>
    <x v="4"/>
    <n v="0"/>
  </r>
  <r>
    <s v="61200"/>
    <s v="Vehicle Registration"/>
    <m/>
    <m/>
    <m/>
    <m/>
    <m/>
    <m/>
    <n v="0"/>
    <x v="4"/>
    <n v="0"/>
  </r>
  <r>
    <s v="61500.02"/>
    <s v="Bad Debt"/>
    <m/>
    <m/>
    <m/>
    <m/>
    <m/>
    <m/>
    <n v="0"/>
    <x v="4"/>
    <n v="0"/>
  </r>
  <r>
    <s v="62000"/>
    <s v="Bank Charges"/>
    <m/>
    <m/>
    <m/>
    <m/>
    <m/>
    <m/>
    <n v="0"/>
    <x v="4"/>
    <n v="0"/>
  </r>
  <r>
    <s v="62100"/>
    <s v="Credit Card Discounts"/>
    <m/>
    <m/>
    <m/>
    <m/>
    <m/>
    <m/>
    <n v="0"/>
    <x v="4"/>
    <n v="0"/>
  </r>
  <r>
    <s v="62500"/>
    <s v="Cash (Over) Short"/>
    <m/>
    <m/>
    <m/>
    <m/>
    <m/>
    <m/>
    <n v="0"/>
    <x v="4"/>
    <n v="0"/>
  </r>
  <r>
    <s v="63700"/>
    <s v="Outside Services"/>
    <m/>
    <m/>
    <m/>
    <m/>
    <m/>
    <m/>
    <n v="0"/>
    <x v="4"/>
    <n v="0"/>
  </r>
  <r>
    <s v="64000.07"/>
    <s v="Depreciation"/>
    <m/>
    <m/>
    <m/>
    <m/>
    <m/>
    <m/>
    <n v="0"/>
    <x v="3"/>
    <n v="0"/>
  </r>
  <r>
    <s v="64500.01"/>
    <s v="Dues &amp; Subscriptions"/>
    <m/>
    <m/>
    <m/>
    <m/>
    <m/>
    <m/>
    <n v="0"/>
    <x v="4"/>
    <n v="0"/>
  </r>
  <r>
    <s v="65000"/>
    <s v="Employee Relations"/>
    <m/>
    <m/>
    <m/>
    <m/>
    <m/>
    <m/>
    <n v="0"/>
    <x v="4"/>
    <n v="0"/>
  </r>
  <r>
    <s v="65100"/>
    <s v="Employee Recruiting/Screening"/>
    <m/>
    <m/>
    <m/>
    <m/>
    <m/>
    <m/>
    <n v="0"/>
    <x v="4"/>
    <n v="0"/>
  </r>
  <r>
    <s v="65300"/>
    <s v="Employee Training"/>
    <m/>
    <m/>
    <m/>
    <m/>
    <m/>
    <m/>
    <n v="0"/>
    <x v="4"/>
    <n v="0"/>
  </r>
  <r>
    <s v="66000"/>
    <s v="Gifts"/>
    <m/>
    <m/>
    <m/>
    <m/>
    <m/>
    <m/>
    <n v="0"/>
    <x v="4"/>
    <n v="0"/>
  </r>
  <r>
    <s v="66500"/>
    <s v="Income Tax Expense"/>
    <m/>
    <m/>
    <m/>
    <m/>
    <m/>
    <m/>
    <n v="0"/>
    <x v="4"/>
    <n v="0"/>
  </r>
  <r>
    <s v="67000"/>
    <s v="Insurance - Property/Liability"/>
    <m/>
    <m/>
    <m/>
    <m/>
    <m/>
    <m/>
    <n v="0"/>
    <x v="4"/>
    <n v="0"/>
  </r>
  <r>
    <s v="67100"/>
    <s v="Insurance - Vehicle"/>
    <m/>
    <m/>
    <m/>
    <m/>
    <m/>
    <m/>
    <n v="0"/>
    <x v="4"/>
    <n v="0"/>
  </r>
  <r>
    <s v="67200"/>
    <s v="Insurance - Officers"/>
    <m/>
    <m/>
    <m/>
    <m/>
    <m/>
    <m/>
    <n v="0"/>
    <x v="4"/>
    <n v="0"/>
  </r>
  <r>
    <s v="67300"/>
    <s v="Insurance - Medical"/>
    <m/>
    <m/>
    <m/>
    <m/>
    <m/>
    <m/>
    <n v="0"/>
    <x v="4"/>
    <n v="0"/>
  </r>
  <r>
    <s v="67310"/>
    <s v="Insurance- Life"/>
    <m/>
    <m/>
    <m/>
    <m/>
    <m/>
    <m/>
    <n v="0"/>
    <x v="4"/>
    <n v="0"/>
  </r>
  <r>
    <s v="67400"/>
    <s v="Insurance - Workers Comp"/>
    <m/>
    <m/>
    <m/>
    <m/>
    <m/>
    <m/>
    <n v="0"/>
    <x v="4"/>
    <n v="0"/>
  </r>
  <r>
    <s v="67500"/>
    <s v="Interest"/>
    <m/>
    <m/>
    <m/>
    <m/>
    <m/>
    <m/>
    <n v="0"/>
    <x v="5"/>
    <n v="0"/>
  </r>
  <r>
    <s v="68000"/>
    <s v="Cleaning &amp; Janitorial"/>
    <m/>
    <m/>
    <m/>
    <m/>
    <m/>
    <m/>
    <n v="0"/>
    <x v="4"/>
    <n v="0"/>
  </r>
  <r>
    <s v="68500"/>
    <s v="Legal &amp; Accounting"/>
    <m/>
    <m/>
    <m/>
    <m/>
    <m/>
    <m/>
    <n v="0"/>
    <x v="4"/>
    <n v="0"/>
  </r>
  <r>
    <s v="68550"/>
    <s v="Loan/Lease Fees"/>
    <m/>
    <m/>
    <m/>
    <m/>
    <m/>
    <m/>
    <n v="0"/>
    <x v="4"/>
    <n v="0"/>
  </r>
  <r>
    <s v="68600"/>
    <s v="Consultant Fees"/>
    <m/>
    <m/>
    <m/>
    <m/>
    <m/>
    <m/>
    <n v="0"/>
    <x v="4"/>
    <n v="0"/>
  </r>
  <r>
    <s v="69000"/>
    <s v="Permits &amp; Licenses"/>
    <m/>
    <m/>
    <m/>
    <m/>
    <m/>
    <m/>
    <n v="0"/>
    <x v="4"/>
    <n v="0"/>
  </r>
  <r>
    <s v="70000"/>
    <s v="Maintenance Expense"/>
    <m/>
    <m/>
    <m/>
    <m/>
    <m/>
    <m/>
    <n v="0"/>
    <x v="4"/>
    <n v="0"/>
  </r>
  <r>
    <s v="70500"/>
    <s v="Meals &amp; Entertainment"/>
    <m/>
    <m/>
    <m/>
    <m/>
    <m/>
    <m/>
    <n v="0"/>
    <x v="4"/>
    <n v="0"/>
  </r>
  <r>
    <s v="71000"/>
    <s v="Office Supplies"/>
    <m/>
    <m/>
    <m/>
    <m/>
    <m/>
    <m/>
    <n v="0"/>
    <x v="4"/>
    <n v="0"/>
  </r>
  <r>
    <s v="72101"/>
    <s v="Payroll Tax IRS"/>
    <m/>
    <m/>
    <m/>
    <m/>
    <m/>
    <m/>
    <n v="0"/>
    <x v="4"/>
    <n v="0"/>
  </r>
  <r>
    <s v="72201"/>
    <s v="Payroll Tax EDD"/>
    <m/>
    <m/>
    <m/>
    <m/>
    <m/>
    <m/>
    <n v="0"/>
    <x v="4"/>
    <n v="0"/>
  </r>
  <r>
    <s v="72600"/>
    <s v="Late Fees"/>
    <m/>
    <m/>
    <m/>
    <m/>
    <m/>
    <m/>
    <n v="0"/>
    <x v="4"/>
    <n v="0"/>
  </r>
  <r>
    <s v="73000"/>
    <s v="Taxes Paid"/>
    <m/>
    <m/>
    <m/>
    <m/>
    <m/>
    <m/>
    <n v="0"/>
    <x v="6"/>
    <n v="0"/>
  </r>
  <r>
    <s v="73100"/>
    <s v="Sales Tax Paid"/>
    <m/>
    <m/>
    <m/>
    <m/>
    <m/>
    <m/>
    <n v="0"/>
    <x v="4"/>
    <n v="0"/>
  </r>
  <r>
    <s v="73200"/>
    <s v="Property Taxes Paid"/>
    <m/>
    <m/>
    <m/>
    <m/>
    <m/>
    <m/>
    <n v="0"/>
    <x v="4"/>
    <n v="0"/>
  </r>
  <r>
    <s v="73500"/>
    <s v="Postage"/>
    <m/>
    <m/>
    <m/>
    <m/>
    <m/>
    <m/>
    <n v="0"/>
    <x v="4"/>
    <n v="0"/>
  </r>
  <r>
    <s v="73550.01"/>
    <s v="Shipping &amp; Handling"/>
    <m/>
    <m/>
    <m/>
    <m/>
    <m/>
    <m/>
    <n v="0"/>
    <x v="4"/>
    <n v="0"/>
  </r>
  <r>
    <s v="74000"/>
    <s v="Rent / Lease"/>
    <m/>
    <m/>
    <m/>
    <m/>
    <m/>
    <m/>
    <n v="0"/>
    <x v="4"/>
    <n v="0"/>
  </r>
  <r>
    <s v="74000.01"/>
    <s v="Rent / Lease Helicopter"/>
    <m/>
    <m/>
    <m/>
    <m/>
    <m/>
    <m/>
    <n v="0"/>
    <x v="4"/>
    <n v="0"/>
  </r>
  <r>
    <s v="74100"/>
    <s v="Equipment Rental"/>
    <m/>
    <m/>
    <m/>
    <m/>
    <m/>
    <m/>
    <n v="0"/>
    <x v="4"/>
    <n v="0"/>
  </r>
  <r>
    <s v="74400"/>
    <s v="Small Tools"/>
    <m/>
    <m/>
    <m/>
    <m/>
    <m/>
    <m/>
    <n v="0"/>
    <x v="4"/>
    <n v="0"/>
  </r>
  <r>
    <s v="74500"/>
    <s v="Repairs &amp; Maintenance"/>
    <m/>
    <m/>
    <m/>
    <m/>
    <m/>
    <m/>
    <n v="0"/>
    <x v="4"/>
    <n v="0"/>
  </r>
  <r>
    <s v="74600"/>
    <s v="Research &amp; Development"/>
    <m/>
    <m/>
    <m/>
    <m/>
    <m/>
    <m/>
    <n v="0"/>
    <x v="4"/>
    <n v="0"/>
  </r>
  <r>
    <s v="75000.1"/>
    <s v="Mountain Networks"/>
    <m/>
    <m/>
    <m/>
    <m/>
    <m/>
    <m/>
    <n v="0"/>
    <x v="4"/>
    <n v="0"/>
  </r>
  <r>
    <s v="75500"/>
    <s v="Operating Supplies"/>
    <m/>
    <m/>
    <m/>
    <m/>
    <m/>
    <m/>
    <n v="0"/>
    <x v="4"/>
    <n v="0"/>
  </r>
  <r>
    <s v="75500.02"/>
    <s v="Operating Supplies- Cable"/>
    <m/>
    <m/>
    <m/>
    <m/>
    <m/>
    <m/>
    <n v="0"/>
    <x v="4"/>
    <n v="0"/>
  </r>
  <r>
    <s v="75600"/>
    <s v="Breakroom Supplies"/>
    <m/>
    <m/>
    <m/>
    <m/>
    <m/>
    <m/>
    <n v="0"/>
    <x v="4"/>
    <n v="0"/>
  </r>
  <r>
    <s v="75600.01"/>
    <s v="Cafeteria"/>
    <m/>
    <m/>
    <m/>
    <m/>
    <m/>
    <m/>
    <n v="0"/>
    <x v="4"/>
    <n v="0"/>
  </r>
  <r>
    <s v="75800"/>
    <s v="Security"/>
    <m/>
    <m/>
    <m/>
    <m/>
    <m/>
    <m/>
    <n v="0"/>
    <x v="4"/>
    <n v="0"/>
  </r>
  <r>
    <s v="76000"/>
    <s v="Telephone"/>
    <m/>
    <m/>
    <m/>
    <m/>
    <m/>
    <m/>
    <n v="0"/>
    <x v="4"/>
    <n v="0"/>
  </r>
  <r>
    <s v="76000.02"/>
    <s v="Telephone - NVW"/>
    <m/>
    <m/>
    <m/>
    <m/>
    <m/>
    <m/>
    <n v="0"/>
    <x v="4"/>
    <n v="0"/>
  </r>
  <r>
    <s v="76100"/>
    <s v="Telephones - Cellular"/>
    <m/>
    <m/>
    <m/>
    <m/>
    <m/>
    <m/>
    <n v="0"/>
    <x v="4"/>
    <n v="0"/>
  </r>
  <r>
    <s v="76500"/>
    <s v="Travel &amp; Lodging"/>
    <m/>
    <m/>
    <m/>
    <m/>
    <m/>
    <m/>
    <n v="0"/>
    <x v="4"/>
    <n v="0"/>
  </r>
  <r>
    <s v="77250"/>
    <s v="Bonus"/>
    <m/>
    <m/>
    <m/>
    <m/>
    <m/>
    <m/>
    <n v="0"/>
    <x v="4"/>
    <n v="0"/>
  </r>
  <r>
    <s v="77500.01"/>
    <s v="Wages - Network Expansion"/>
    <m/>
    <m/>
    <m/>
    <m/>
    <m/>
    <m/>
    <n v="0"/>
    <x v="4"/>
    <n v="0"/>
  </r>
  <r>
    <s v="77500.02"/>
    <s v="Wages - R&amp;D"/>
    <m/>
    <m/>
    <m/>
    <m/>
    <m/>
    <m/>
    <n v="0"/>
    <x v="4"/>
    <n v="0"/>
  </r>
  <r>
    <s v="77500.03"/>
    <s v="Wages - Sales &amp; Marketing"/>
    <m/>
    <m/>
    <m/>
    <m/>
    <m/>
    <m/>
    <n v="0"/>
    <x v="2"/>
    <n v="0"/>
  </r>
  <r>
    <s v="77500.04"/>
    <s v="Wages - Customer Service"/>
    <m/>
    <m/>
    <m/>
    <m/>
    <m/>
    <m/>
    <n v="0"/>
    <x v="4"/>
    <n v="0"/>
  </r>
  <r>
    <s v="77500.05"/>
    <s v="Wages - Tech Support"/>
    <m/>
    <m/>
    <m/>
    <m/>
    <m/>
    <m/>
    <n v="0"/>
    <x v="4"/>
    <n v="0"/>
  </r>
  <r>
    <s v="77500.06"/>
    <s v="Wages - Manufacture"/>
    <m/>
    <m/>
    <m/>
    <m/>
    <m/>
    <m/>
    <n v="0"/>
    <x v="1"/>
    <n v="0"/>
  </r>
  <r>
    <s v="77500.07"/>
    <s v="Wages - Administrative"/>
    <m/>
    <m/>
    <m/>
    <m/>
    <m/>
    <m/>
    <n v="0"/>
    <x v="4"/>
    <n v="0"/>
  </r>
  <r>
    <s v="77500.08"/>
    <s v="Wages - Acct/HR"/>
    <m/>
    <m/>
    <m/>
    <m/>
    <m/>
    <m/>
    <n v="0"/>
    <x v="4"/>
    <n v="0"/>
  </r>
  <r>
    <s v="77500.09"/>
    <s v="Wages - Installers"/>
    <m/>
    <m/>
    <m/>
    <m/>
    <m/>
    <m/>
    <n v="0"/>
    <x v="1"/>
    <n v="0"/>
  </r>
  <r>
    <s v="77500.11"/>
    <s v="Wages - Cafeteria"/>
    <m/>
    <m/>
    <m/>
    <m/>
    <m/>
    <m/>
    <n v="0"/>
    <x v="4"/>
    <n v="0"/>
  </r>
  <r>
    <s v="77500.12"/>
    <s v="Wages 2X Sales &amp; Production"/>
    <m/>
    <m/>
    <m/>
    <m/>
    <m/>
    <m/>
    <n v="0"/>
    <x v="4"/>
    <n v="0"/>
  </r>
  <r>
    <s v="77500.13"/>
    <s v="Wages - Heli pilot"/>
    <m/>
    <m/>
    <m/>
    <m/>
    <m/>
    <m/>
    <n v="0"/>
    <x v="4"/>
    <n v="0"/>
  </r>
  <r>
    <s v="77502"/>
    <s v="Wages - On Call"/>
    <m/>
    <m/>
    <m/>
    <m/>
    <m/>
    <m/>
    <n v="0"/>
    <x v="4"/>
    <n v="0"/>
  </r>
  <r>
    <s v="77550.01"/>
    <s v="Wages - Overtime Net Expansion"/>
    <m/>
    <m/>
    <m/>
    <m/>
    <m/>
    <m/>
    <n v="0"/>
    <x v="4"/>
    <n v="0"/>
  </r>
  <r>
    <s v="77550.02"/>
    <s v="Wages - Overtime R &amp; D"/>
    <m/>
    <m/>
    <m/>
    <m/>
    <m/>
    <m/>
    <n v="0"/>
    <x v="4"/>
    <n v="0"/>
  </r>
  <r>
    <s v="77550.03"/>
    <s v="Wages - OT Sales &amp; Marketing"/>
    <m/>
    <m/>
    <m/>
    <m/>
    <m/>
    <m/>
    <n v="0"/>
    <x v="2"/>
    <n v="0"/>
  </r>
  <r>
    <s v="77550.04"/>
    <s v="Wages - OT Customer Service"/>
    <m/>
    <m/>
    <m/>
    <m/>
    <m/>
    <m/>
    <n v="0"/>
    <x v="4"/>
    <n v="0"/>
  </r>
  <r>
    <s v="77550.05"/>
    <s v="Wages - Overtime Tech Support"/>
    <m/>
    <m/>
    <m/>
    <m/>
    <m/>
    <m/>
    <n v="0"/>
    <x v="4"/>
    <n v="0"/>
  </r>
  <r>
    <s v="77550.06"/>
    <s v="Wages - Overtime Manufacturing"/>
    <m/>
    <m/>
    <m/>
    <m/>
    <m/>
    <m/>
    <n v="0"/>
    <x v="1"/>
    <n v="0"/>
  </r>
  <r>
    <s v="77550.08"/>
    <s v="Wages - Overtime Acct/HR"/>
    <m/>
    <m/>
    <m/>
    <m/>
    <m/>
    <m/>
    <n v="0"/>
    <x v="4"/>
    <n v="0"/>
  </r>
  <r>
    <s v="77550.09"/>
    <s v="Wages - OT Installers"/>
    <m/>
    <m/>
    <m/>
    <m/>
    <m/>
    <m/>
    <n v="0"/>
    <x v="1"/>
    <n v="0"/>
  </r>
  <r>
    <s v="77550.12"/>
    <s v="2x Wage overtime"/>
    <m/>
    <m/>
    <m/>
    <m/>
    <m/>
    <m/>
    <n v="0"/>
    <x v="4"/>
    <n v="0"/>
  </r>
  <r>
    <s v="77550.13"/>
    <s v="Wages - OT Heli Pilot"/>
    <m/>
    <m/>
    <m/>
    <m/>
    <m/>
    <m/>
    <n v="0"/>
    <x v="4"/>
    <n v="0"/>
  </r>
  <r>
    <s v="77570"/>
    <s v="2X Labor Capitalization"/>
    <m/>
    <m/>
    <m/>
    <m/>
    <m/>
    <m/>
    <n v="0"/>
    <x v="4"/>
    <n v="0"/>
  </r>
  <r>
    <s v="77575"/>
    <s v="DPI Labor Caplitalization"/>
    <m/>
    <m/>
    <m/>
    <m/>
    <m/>
    <m/>
    <n v="0"/>
    <x v="4"/>
    <n v="0"/>
  </r>
  <r>
    <s v="77575.12"/>
    <s v="MFG Labor Capitalization"/>
    <m/>
    <m/>
    <m/>
    <m/>
    <m/>
    <m/>
    <n v="0"/>
    <x v="4"/>
    <n v="0"/>
  </r>
  <r>
    <s v="77580"/>
    <s v="2X Payroll Allocation"/>
    <m/>
    <m/>
    <m/>
    <n v="0"/>
    <n v="0"/>
    <m/>
    <n v="0"/>
    <x v="4"/>
    <n v="0"/>
  </r>
  <r>
    <s v="77590"/>
    <s v="2X Overhead Allocation"/>
    <m/>
    <m/>
    <m/>
    <s v=" "/>
    <n v="0"/>
    <m/>
    <n v="0"/>
    <x v="4"/>
    <n v="0"/>
  </r>
  <r>
    <s v="77591"/>
    <s v="DPA Overhead Allocation"/>
    <m/>
    <m/>
    <m/>
    <s v=" "/>
    <n v="0"/>
    <m/>
    <n v="0"/>
    <x v="4"/>
    <n v="0"/>
  </r>
  <r>
    <s v="63000"/>
    <s v="G&amp;A Overhead Allocation"/>
    <m/>
    <m/>
    <m/>
    <s v=" "/>
    <n v="0"/>
    <m/>
    <n v="0"/>
    <x v="4"/>
    <n v="0"/>
  </r>
  <r>
    <m/>
    <s v="G&amp;A Wages Allocation"/>
    <m/>
    <m/>
    <m/>
    <s v=" "/>
    <n v="0"/>
    <m/>
    <n v="0"/>
    <x v="4"/>
    <n v="0"/>
  </r>
  <r>
    <m/>
    <s v="G&amp;A Taxes &amp; Benefits"/>
    <m/>
    <m/>
    <m/>
    <s v=" "/>
    <n v="0"/>
    <m/>
    <n v="0"/>
    <x v="4"/>
    <n v="0"/>
  </r>
  <r>
    <s v="60550"/>
    <s v="Misc Warehouse"/>
    <m/>
    <m/>
    <m/>
    <n v="0"/>
    <m/>
    <m/>
    <n v="0"/>
    <x v="4"/>
    <n v="0"/>
  </r>
  <r>
    <s v="77600"/>
    <s v="Per Diem"/>
    <m/>
    <m/>
    <m/>
    <m/>
    <m/>
    <m/>
    <n v="0"/>
    <x v="4"/>
    <n v="0"/>
  </r>
  <r>
    <m/>
    <s v="Waste Disposal"/>
    <m/>
    <m/>
    <m/>
    <m/>
    <m/>
    <m/>
    <n v="0"/>
    <x v="4"/>
    <n v="0"/>
  </r>
  <r>
    <s v="77700"/>
    <s v="Pension &amp; Profit Sharing"/>
    <m/>
    <m/>
    <m/>
    <m/>
    <m/>
    <m/>
    <n v="0"/>
    <x v="4"/>
    <n v="0"/>
  </r>
  <r>
    <s v="78000"/>
    <s v="Utilities"/>
    <m/>
    <m/>
    <m/>
    <m/>
    <m/>
    <m/>
    <n v="0"/>
    <x v="4"/>
    <n v="0"/>
  </r>
  <r>
    <s v="89500"/>
    <s v="Other expense"/>
    <m/>
    <m/>
    <m/>
    <m/>
    <m/>
    <m/>
    <n v="0"/>
    <x v="4"/>
    <n v="0"/>
  </r>
  <r>
    <s v="90000"/>
    <s v="Gain / Loss on Sale of Assets"/>
    <m/>
    <m/>
    <m/>
    <m/>
    <m/>
    <m/>
    <n v="0"/>
    <x v="7"/>
    <n v="0"/>
  </r>
  <r>
    <s v="96500"/>
    <s v="Income Tax Expense"/>
    <m/>
    <m/>
    <m/>
    <m/>
    <m/>
    <m/>
    <n v="0"/>
    <x v="4"/>
    <n v="0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count="198">
  <r>
    <s v="10000"/>
    <s v="Petty Cash Fund"/>
    <m/>
    <m/>
    <m/>
    <m/>
    <m/>
    <m/>
    <n v="0"/>
    <x v="0"/>
    <n v="0"/>
  </r>
  <r>
    <s v="10000.01"/>
    <s v="Petty Cash Emergency fund"/>
    <m/>
    <m/>
    <m/>
    <m/>
    <m/>
    <m/>
    <n v="0"/>
    <x v="0"/>
    <n v="0"/>
  </r>
  <r>
    <s v="10050"/>
    <s v="Cash Box Call Center"/>
    <m/>
    <m/>
    <m/>
    <m/>
    <m/>
    <m/>
    <n v="0"/>
    <x v="0"/>
    <n v="0"/>
  </r>
  <r>
    <s v="10051"/>
    <s v="Per Diem"/>
    <m/>
    <m/>
    <m/>
    <m/>
    <m/>
    <m/>
    <n v="0"/>
    <x v="0"/>
    <n v="0"/>
  </r>
  <r>
    <s v="10175"/>
    <s v="US Bank 4245"/>
    <m/>
    <m/>
    <m/>
    <m/>
    <m/>
    <m/>
    <n v="0"/>
    <x v="0"/>
    <n v="0"/>
  </r>
  <r>
    <s v="10200"/>
    <s v="Rabobank Operating - 7057"/>
    <m/>
    <m/>
    <m/>
    <m/>
    <m/>
    <m/>
    <n v="0"/>
    <x v="0"/>
    <n v="0"/>
  </r>
  <r>
    <m/>
    <s v="East West Bank - 5237 2X"/>
    <m/>
    <m/>
    <m/>
    <m/>
    <m/>
    <m/>
    <n v="0"/>
    <x v="0"/>
    <n v="0"/>
  </r>
  <r>
    <s v="10445"/>
    <s v="East West Bank - 5211 Self Ins"/>
    <m/>
    <m/>
    <m/>
    <m/>
    <m/>
    <m/>
    <n v="0"/>
    <x v="0"/>
    <n v="0"/>
  </r>
  <r>
    <s v="10450"/>
    <s v="East West Bank - 3521 Savings"/>
    <m/>
    <m/>
    <m/>
    <m/>
    <m/>
    <m/>
    <n v="0"/>
    <x v="0"/>
    <n v="0"/>
  </r>
  <r>
    <s v="10455"/>
    <s v="East West Bank - 5229 CC Dep"/>
    <m/>
    <m/>
    <m/>
    <m/>
    <m/>
    <m/>
    <n v="0"/>
    <x v="0"/>
    <n v="0"/>
  </r>
  <r>
    <s v="10475"/>
    <s v="East West Bank - 3349 Gen Op"/>
    <m/>
    <m/>
    <m/>
    <m/>
    <m/>
    <m/>
    <n v="0"/>
    <x v="0"/>
    <n v="0"/>
  </r>
  <r>
    <s v="10480"/>
    <s v="East West Bank - 3802 CapX"/>
    <m/>
    <m/>
    <m/>
    <m/>
    <m/>
    <m/>
    <n v="0"/>
    <x v="0"/>
    <n v="0"/>
  </r>
  <r>
    <s v="10485"/>
    <s v="East West Bank - 3828 Payroll"/>
    <m/>
    <m/>
    <m/>
    <m/>
    <m/>
    <m/>
    <n v="0"/>
    <x v="0"/>
    <n v="0"/>
  </r>
  <r>
    <s v="10700"/>
    <s v="Credit Card Receivable"/>
    <m/>
    <m/>
    <m/>
    <m/>
    <m/>
    <m/>
    <n v="0"/>
    <x v="1"/>
    <n v="0"/>
  </r>
  <r>
    <s v="11000"/>
    <s v="Accounts Receivable - Service"/>
    <m/>
    <m/>
    <m/>
    <m/>
    <m/>
    <m/>
    <n v="0"/>
    <x v="1"/>
    <n v="0"/>
  </r>
  <r>
    <s v="11001"/>
    <s v="Accounts Receivable - Relays"/>
    <m/>
    <m/>
    <m/>
    <m/>
    <m/>
    <m/>
    <n v="0"/>
    <x v="1"/>
    <n v="0"/>
  </r>
  <r>
    <s v="11002"/>
    <s v="AR - Business Phone Sys #17"/>
    <m/>
    <m/>
    <m/>
    <m/>
    <m/>
    <m/>
    <n v="0"/>
    <x v="1"/>
    <n v="0"/>
  </r>
  <r>
    <s v="11100"/>
    <s v="Accounts Receivable- Wholesale"/>
    <m/>
    <m/>
    <m/>
    <m/>
    <m/>
    <m/>
    <n v="0"/>
    <x v="1"/>
    <n v="0"/>
  </r>
  <r>
    <s v="11116"/>
    <s v="Accounts Receivable - Misc"/>
    <m/>
    <m/>
    <m/>
    <m/>
    <m/>
    <m/>
    <n v="0"/>
    <x v="1"/>
    <n v="0"/>
  </r>
  <r>
    <s v="11118"/>
    <s v="AR - Business Services # 18"/>
    <m/>
    <m/>
    <m/>
    <m/>
    <m/>
    <m/>
    <n v="0"/>
    <x v="1"/>
    <n v="0"/>
  </r>
  <r>
    <s v="11120"/>
    <s v="Allowance for doubtful accts"/>
    <m/>
    <m/>
    <m/>
    <m/>
    <m/>
    <m/>
    <n v="0"/>
    <x v="1"/>
    <n v="0"/>
  </r>
  <r>
    <s v="13000"/>
    <s v="Employee Advance"/>
    <m/>
    <m/>
    <m/>
    <m/>
    <m/>
    <m/>
    <n v="0"/>
    <x v="2"/>
    <n v="0"/>
  </r>
  <r>
    <s v="13000.02"/>
    <s v="Owner Advance"/>
    <m/>
    <m/>
    <m/>
    <m/>
    <m/>
    <m/>
    <n v="0"/>
    <x v="3"/>
    <n v="0"/>
  </r>
  <r>
    <m/>
    <s v="2X Inventory"/>
    <m/>
    <m/>
    <m/>
    <m/>
    <m/>
    <m/>
    <n v="0"/>
    <x v="4"/>
    <n v="0"/>
  </r>
  <r>
    <s v="15302"/>
    <s v="Installation Supplies"/>
    <m/>
    <m/>
    <m/>
    <m/>
    <m/>
    <m/>
    <n v="0"/>
    <x v="2"/>
    <n v="0"/>
  </r>
  <r>
    <s v="15304"/>
    <s v="Installation Supplies NPN"/>
    <m/>
    <m/>
    <m/>
    <m/>
    <m/>
    <m/>
    <n v="0"/>
    <x v="2"/>
    <n v="0"/>
  </r>
  <r>
    <s v="15305"/>
    <s v="Cable Inventory"/>
    <m/>
    <m/>
    <m/>
    <m/>
    <m/>
    <m/>
    <n v="0"/>
    <x v="4"/>
    <n v="0"/>
  </r>
  <r>
    <s v="15401"/>
    <s v="Misc inventory - Legacy"/>
    <m/>
    <m/>
    <m/>
    <m/>
    <m/>
    <m/>
    <n v="0"/>
    <x v="4"/>
    <n v="0"/>
  </r>
  <r>
    <s v="18000"/>
    <s v="Prepaid expenses"/>
    <m/>
    <m/>
    <m/>
    <m/>
    <m/>
    <m/>
    <n v="0"/>
    <x v="5"/>
    <n v="0"/>
  </r>
  <r>
    <s v="18100"/>
    <s v="Prepaid Corp Income Taxes"/>
    <m/>
    <m/>
    <m/>
    <m/>
    <m/>
    <m/>
    <n v="0"/>
    <x v="5"/>
    <n v="0"/>
  </r>
  <r>
    <s v="18300"/>
    <s v="PrePaid Sales Tax"/>
    <m/>
    <m/>
    <m/>
    <m/>
    <m/>
    <m/>
    <n v="0"/>
    <x v="5"/>
    <n v="0"/>
  </r>
  <r>
    <s v="18400"/>
    <s v="Non Deployed Fixed Assets - NX"/>
    <m/>
    <m/>
    <m/>
    <m/>
    <m/>
    <m/>
    <n v="0"/>
    <x v="6"/>
    <n v="0"/>
  </r>
  <r>
    <s v="18500"/>
    <s v="Inventory - Non Net Exp"/>
    <m/>
    <m/>
    <m/>
    <m/>
    <m/>
    <m/>
    <n v="0"/>
    <x v="4"/>
    <n v="0"/>
  </r>
  <r>
    <s v="18600"/>
    <s v="Non-Deployed CPE &amp; AP's"/>
    <m/>
    <m/>
    <m/>
    <m/>
    <m/>
    <m/>
    <n v="0"/>
    <x v="6"/>
    <n v="0"/>
  </r>
  <r>
    <m/>
    <s v="Contra Account - Non-Deployed CPE"/>
    <m/>
    <m/>
    <m/>
    <m/>
    <m/>
    <n v="0"/>
    <n v="0"/>
    <x v="6"/>
    <n v="0"/>
  </r>
  <r>
    <s v="15100"/>
    <s v="Furniture"/>
    <m/>
    <m/>
    <m/>
    <m/>
    <m/>
    <m/>
    <n v="0"/>
    <x v="6"/>
    <n v="0"/>
  </r>
  <r>
    <s v="15300"/>
    <s v="CPE-Modems"/>
    <m/>
    <m/>
    <m/>
    <m/>
    <m/>
    <n v="0"/>
    <n v="0"/>
    <x v="6"/>
    <n v="0"/>
  </r>
  <r>
    <s v="15310"/>
    <s v="Phones"/>
    <m/>
    <m/>
    <m/>
    <m/>
    <m/>
    <m/>
    <n v="0"/>
    <x v="6"/>
    <n v="0"/>
  </r>
  <r>
    <s v="15400"/>
    <s v="Repeaters"/>
    <m/>
    <m/>
    <m/>
    <m/>
    <m/>
    <m/>
    <n v="0"/>
    <x v="6"/>
    <n v="0"/>
  </r>
  <r>
    <s v="15402"/>
    <s v="Miscellaneous Equipment"/>
    <m/>
    <m/>
    <m/>
    <m/>
    <m/>
    <m/>
    <n v="0"/>
    <x v="6"/>
    <n v="0"/>
  </r>
  <r>
    <s v="15410"/>
    <s v="Equipment 2X"/>
    <m/>
    <m/>
    <m/>
    <m/>
    <m/>
    <m/>
    <n v="0"/>
    <x v="6"/>
    <n v="0"/>
  </r>
  <r>
    <s v="15500"/>
    <s v="Computers &amp; Peripherial"/>
    <m/>
    <m/>
    <m/>
    <m/>
    <m/>
    <m/>
    <n v="0"/>
    <x v="6"/>
    <n v="0"/>
  </r>
  <r>
    <s v="15600"/>
    <s v="Gateway"/>
    <m/>
    <m/>
    <m/>
    <m/>
    <m/>
    <m/>
    <n v="0"/>
    <x v="6"/>
    <n v="0"/>
  </r>
  <r>
    <s v="15600.01"/>
    <s v="Microwave Network"/>
    <m/>
    <m/>
    <m/>
    <m/>
    <m/>
    <m/>
    <n v="0"/>
    <x v="6"/>
    <n v="0"/>
  </r>
  <r>
    <s v="15600.02"/>
    <s v="Network Infastructure Labor"/>
    <m/>
    <m/>
    <m/>
    <m/>
    <m/>
    <m/>
    <n v="0"/>
    <x v="6"/>
    <n v="0"/>
  </r>
  <r>
    <s v="15700"/>
    <s v="Software"/>
    <m/>
    <m/>
    <m/>
    <m/>
    <m/>
    <m/>
    <n v="0"/>
    <x v="6"/>
    <n v="0"/>
  </r>
  <r>
    <s v="15700.01"/>
    <s v="Software Labor"/>
    <m/>
    <m/>
    <m/>
    <m/>
    <m/>
    <m/>
    <n v="0"/>
    <x v="7"/>
    <n v="0"/>
  </r>
  <r>
    <s v="15800"/>
    <s v="Vehicles"/>
    <m/>
    <m/>
    <m/>
    <m/>
    <m/>
    <m/>
    <n v="0"/>
    <x v="6"/>
    <n v="0"/>
  </r>
  <r>
    <s v="15000"/>
    <s v="Heliocopter"/>
    <m/>
    <m/>
    <m/>
    <m/>
    <m/>
    <m/>
    <n v="0"/>
    <x v="6"/>
    <n v="0"/>
  </r>
  <r>
    <s v="15900"/>
    <s v="Leasehold Improvements"/>
    <m/>
    <m/>
    <m/>
    <m/>
    <m/>
    <m/>
    <n v="0"/>
    <x v="6"/>
    <n v="0"/>
  </r>
  <r>
    <s v="16100"/>
    <s v="Property"/>
    <m/>
    <m/>
    <m/>
    <m/>
    <m/>
    <m/>
    <n v="0"/>
    <x v="6"/>
    <n v="0"/>
  </r>
  <r>
    <s v="17100"/>
    <s v="Accum Depr-Furniture"/>
    <m/>
    <m/>
    <m/>
    <m/>
    <m/>
    <m/>
    <n v="0"/>
    <x v="6"/>
    <n v="0"/>
  </r>
  <r>
    <s v="17200"/>
    <s v="Accum Depr-Micro Network"/>
    <m/>
    <m/>
    <m/>
    <m/>
    <m/>
    <m/>
    <n v="0"/>
    <x v="6"/>
    <n v="0"/>
  </r>
  <r>
    <s v="17200.01"/>
    <s v="Network Infrastructure Labor"/>
    <m/>
    <m/>
    <m/>
    <m/>
    <m/>
    <m/>
    <n v="0"/>
    <x v="6"/>
    <n v="0"/>
  </r>
  <r>
    <m/>
    <s v="Accum Depr - Heliocopter"/>
    <m/>
    <m/>
    <m/>
    <m/>
    <m/>
    <m/>
    <n v="0"/>
    <x v="6"/>
    <n v="0"/>
  </r>
  <r>
    <s v="17300"/>
    <s v="Accum Depr-CPE Modems"/>
    <m/>
    <m/>
    <m/>
    <m/>
    <m/>
    <m/>
    <n v="0"/>
    <x v="6"/>
    <n v="0"/>
  </r>
  <r>
    <s v="17310"/>
    <s v="Accum Depr - Phones"/>
    <m/>
    <m/>
    <m/>
    <m/>
    <m/>
    <m/>
    <n v="0"/>
    <x v="6"/>
    <n v="0"/>
  </r>
  <r>
    <s v="17400"/>
    <s v="Accum Depr-Repeater"/>
    <m/>
    <m/>
    <m/>
    <m/>
    <m/>
    <m/>
    <n v="0"/>
    <x v="6"/>
    <n v="0"/>
  </r>
  <r>
    <s v="17402"/>
    <s v="Accum Depr - Equipment"/>
    <m/>
    <m/>
    <m/>
    <m/>
    <m/>
    <m/>
    <n v="0"/>
    <x v="6"/>
    <n v="0"/>
  </r>
  <r>
    <s v="17410"/>
    <s v="Accum Depre - 2X Equipment"/>
    <m/>
    <m/>
    <m/>
    <m/>
    <m/>
    <m/>
    <n v="0"/>
    <x v="6"/>
    <n v="0"/>
  </r>
  <r>
    <s v="17500"/>
    <s v="Accum Depr-Computer"/>
    <m/>
    <m/>
    <m/>
    <m/>
    <m/>
    <m/>
    <n v="0"/>
    <x v="6"/>
    <n v="0"/>
  </r>
  <r>
    <s v="17600"/>
    <s v="Accum Depr-Gateway"/>
    <m/>
    <m/>
    <m/>
    <m/>
    <m/>
    <m/>
    <n v="0"/>
    <x v="6"/>
    <n v="0"/>
  </r>
  <r>
    <s v="17700"/>
    <s v="Accum-Depr-Software"/>
    <m/>
    <m/>
    <m/>
    <m/>
    <m/>
    <m/>
    <n v="0"/>
    <x v="6"/>
    <n v="0"/>
  </r>
  <r>
    <s v="17700.01"/>
    <s v="Accum Depr Software Labor"/>
    <m/>
    <m/>
    <m/>
    <m/>
    <m/>
    <m/>
    <n v="0"/>
    <x v="7"/>
    <n v="0"/>
  </r>
  <r>
    <s v="17710"/>
    <s v="Accum Dep - LHI"/>
    <m/>
    <m/>
    <m/>
    <m/>
    <m/>
    <m/>
    <n v="0"/>
    <x v="6"/>
    <n v="0"/>
  </r>
  <r>
    <s v="17800"/>
    <s v="Accum Depr-Vehicles"/>
    <m/>
    <m/>
    <m/>
    <m/>
    <m/>
    <m/>
    <n v="0"/>
    <x v="6"/>
    <n v="0"/>
  </r>
  <r>
    <s v="11250"/>
    <s v="Note Receiveable 2X Wireless"/>
    <m/>
    <m/>
    <m/>
    <m/>
    <n v="0"/>
    <m/>
    <n v="0"/>
    <x v="8"/>
    <n v="0"/>
  </r>
  <r>
    <s v="11275"/>
    <s v="Note Receivable DP Aviation"/>
    <m/>
    <m/>
    <m/>
    <m/>
    <n v="0"/>
    <m/>
    <n v="0"/>
    <x v="8"/>
    <n v="0"/>
  </r>
  <r>
    <s v="19000"/>
    <s v="Deposits"/>
    <m/>
    <m/>
    <m/>
    <m/>
    <m/>
    <m/>
    <n v="0"/>
    <x v="2"/>
    <n v="0"/>
  </r>
  <r>
    <s v="19030"/>
    <s v="Prepaid Property Taxes"/>
    <m/>
    <m/>
    <m/>
    <m/>
    <m/>
    <m/>
    <n v="0"/>
    <x v="5"/>
    <n v="0"/>
  </r>
  <r>
    <s v="19300"/>
    <s v="Patent"/>
    <m/>
    <m/>
    <m/>
    <m/>
    <m/>
    <m/>
    <n v="0"/>
    <x v="9"/>
    <n v="0"/>
  </r>
  <r>
    <s v="19350"/>
    <s v="Accumulated Amort - Patent"/>
    <m/>
    <m/>
    <m/>
    <m/>
    <m/>
    <m/>
    <n v="0"/>
    <x v="9"/>
    <n v="0"/>
  </r>
  <r>
    <s v="19567"/>
    <s v="Capitalized Loan costs"/>
    <m/>
    <m/>
    <m/>
    <m/>
    <m/>
    <m/>
    <n v="0"/>
    <x v="10"/>
    <n v="0"/>
  </r>
  <r>
    <s v="19570"/>
    <s v="Accumulated Amort - Loan Costs"/>
    <m/>
    <m/>
    <m/>
    <m/>
    <m/>
    <m/>
    <n v="0"/>
    <x v="10"/>
    <n v="0"/>
  </r>
  <r>
    <s v="19600"/>
    <s v="Investment in 2X Wireless"/>
    <m/>
    <m/>
    <m/>
    <n v="0"/>
    <m/>
    <m/>
    <n v="0"/>
    <x v="8"/>
    <n v="0"/>
  </r>
  <r>
    <s v="19700"/>
    <s v="Investment in DP Aviation"/>
    <m/>
    <m/>
    <m/>
    <n v="0"/>
    <m/>
    <m/>
    <n v="0"/>
    <x v="8"/>
    <n v="0"/>
  </r>
  <r>
    <s v="20000"/>
    <s v="Accounts Payable"/>
    <m/>
    <m/>
    <m/>
    <m/>
    <m/>
    <m/>
    <n v="0"/>
    <x v="11"/>
    <n v="0"/>
  </r>
  <r>
    <s v="20100"/>
    <s v="Accrued Expenses"/>
    <m/>
    <m/>
    <m/>
    <m/>
    <m/>
    <m/>
    <n v="0"/>
    <x v="12"/>
    <n v="0"/>
  </r>
  <r>
    <s v="20100.01"/>
    <s v="Accrued self insurance"/>
    <m/>
    <m/>
    <m/>
    <m/>
    <m/>
    <m/>
    <n v="0"/>
    <x v="12"/>
    <n v="0"/>
  </r>
  <r>
    <s v="21000"/>
    <s v="Payroll Payable"/>
    <m/>
    <m/>
    <m/>
    <m/>
    <m/>
    <m/>
    <n v="0"/>
    <x v="12"/>
    <n v="0"/>
  </r>
  <r>
    <s v="21050"/>
    <s v="Payroll Tax Payable"/>
    <m/>
    <m/>
    <m/>
    <m/>
    <m/>
    <m/>
    <n v="0"/>
    <x v="12"/>
    <n v="0"/>
  </r>
  <r>
    <s v="21100"/>
    <s v="PTO Payable"/>
    <m/>
    <m/>
    <m/>
    <m/>
    <m/>
    <m/>
    <n v="0"/>
    <x v="12"/>
    <n v="0"/>
  </r>
  <r>
    <s v="23100"/>
    <s v="Sales/Use Tax Payable"/>
    <m/>
    <m/>
    <m/>
    <m/>
    <m/>
    <m/>
    <n v="0"/>
    <x v="12"/>
    <n v="0"/>
  </r>
  <r>
    <s v="24948"/>
    <s v="083 N/P - 2012 Dodge Ram"/>
    <m/>
    <m/>
    <m/>
    <m/>
    <m/>
    <m/>
    <n v="0"/>
    <x v="13"/>
    <n v="0"/>
  </r>
  <r>
    <s v="24958"/>
    <s v="091 L/P - 2X  US Bank"/>
    <m/>
    <m/>
    <m/>
    <m/>
    <m/>
    <m/>
    <n v="0"/>
    <x v="13"/>
    <n v="0"/>
  </r>
  <r>
    <s v="24962"/>
    <s v="095 L/P - JB2 Funding"/>
    <m/>
    <m/>
    <m/>
    <m/>
    <m/>
    <m/>
    <n v="0"/>
    <x v="13"/>
    <n v="0"/>
  </r>
  <r>
    <s v="24965"/>
    <s v="098 L/P - Key Equipment"/>
    <m/>
    <m/>
    <m/>
    <m/>
    <m/>
    <m/>
    <n v="0"/>
    <x v="13"/>
    <n v="0"/>
  </r>
  <r>
    <s v="24966"/>
    <s v="099 L/P - Summit"/>
    <m/>
    <m/>
    <m/>
    <m/>
    <m/>
    <m/>
    <n v="0"/>
    <x v="13"/>
    <n v="0"/>
  </r>
  <r>
    <s v="24967"/>
    <s v="100 L/P - Frame 1"/>
    <m/>
    <m/>
    <m/>
    <m/>
    <m/>
    <m/>
    <n v="0"/>
    <x v="13"/>
    <n v="0"/>
  </r>
  <r>
    <s v="24968"/>
    <s v="101 L/P - CIT"/>
    <m/>
    <m/>
    <m/>
    <m/>
    <m/>
    <m/>
    <n v="0"/>
    <x v="13"/>
    <n v="0"/>
  </r>
  <r>
    <s v="24970"/>
    <s v="103 L/P - Element"/>
    <m/>
    <m/>
    <m/>
    <m/>
    <m/>
    <m/>
    <n v="0"/>
    <x v="13"/>
    <n v="0"/>
  </r>
  <r>
    <s v="24971"/>
    <s v="104 L/P - Fame 1 - Leaf"/>
    <m/>
    <m/>
    <m/>
    <m/>
    <m/>
    <m/>
    <n v="0"/>
    <x v="13"/>
    <n v="0"/>
  </r>
  <r>
    <s v="24973"/>
    <s v="106 L/P - EverBank"/>
    <m/>
    <m/>
    <m/>
    <m/>
    <m/>
    <m/>
    <n v="0"/>
    <x v="13"/>
    <n v="0"/>
  </r>
  <r>
    <s v="24977"/>
    <s v="110 L/P - Western Equipment"/>
    <m/>
    <m/>
    <m/>
    <m/>
    <m/>
    <m/>
    <n v="0"/>
    <x v="13"/>
    <n v="0"/>
  </r>
  <r>
    <s v="24979"/>
    <s v="112 L/P - Arlington"/>
    <m/>
    <m/>
    <m/>
    <m/>
    <m/>
    <m/>
    <n v="0"/>
    <x v="13"/>
    <n v="0"/>
  </r>
  <r>
    <s v="24981"/>
    <s v="114 L/P - Nec"/>
    <m/>
    <m/>
    <m/>
    <m/>
    <m/>
    <m/>
    <n v="0"/>
    <x v="13"/>
    <n v="0"/>
  </r>
  <r>
    <s v="24984"/>
    <s v="117 L/P - HP Financial"/>
    <m/>
    <m/>
    <m/>
    <m/>
    <m/>
    <m/>
    <n v="0"/>
    <x v="13"/>
    <n v="0"/>
  </r>
  <r>
    <s v="24986"/>
    <s v="119 L/P - Element"/>
    <m/>
    <m/>
    <m/>
    <m/>
    <m/>
    <m/>
    <n v="0"/>
    <x v="13"/>
    <n v="0"/>
  </r>
  <r>
    <s v="24988"/>
    <s v="121 L/P - Banc of Calif"/>
    <m/>
    <m/>
    <m/>
    <m/>
    <m/>
    <m/>
    <n v="0"/>
    <x v="13"/>
    <n v="0"/>
  </r>
  <r>
    <s v="25001"/>
    <s v="Credit Card AmEx 3000"/>
    <m/>
    <m/>
    <m/>
    <m/>
    <m/>
    <m/>
    <n v="0"/>
    <x v="11"/>
    <n v="0"/>
  </r>
  <r>
    <s v="25001.01"/>
    <s v="Credit Card AMEX 1019"/>
    <m/>
    <m/>
    <m/>
    <m/>
    <m/>
    <m/>
    <n v="0"/>
    <x v="11"/>
    <n v="0"/>
  </r>
  <r>
    <s v="25003"/>
    <s v="Credit Card Home Depot"/>
    <m/>
    <m/>
    <m/>
    <m/>
    <m/>
    <m/>
    <n v="0"/>
    <x v="11"/>
    <n v="0"/>
  </r>
  <r>
    <s v="25004"/>
    <s v="Credit Card Chase 8093 - 3079"/>
    <m/>
    <m/>
    <m/>
    <m/>
    <m/>
    <m/>
    <n v="0"/>
    <x v="11"/>
    <n v="0"/>
  </r>
  <r>
    <s v="25005"/>
    <s v="Credit Card United 6664 - 5834"/>
    <m/>
    <m/>
    <m/>
    <m/>
    <m/>
    <m/>
    <n v="0"/>
    <x v="11"/>
    <n v="0"/>
  </r>
  <r>
    <s v="25006"/>
    <s v="Credit Card Chas 5756 Employee"/>
    <m/>
    <m/>
    <m/>
    <m/>
    <m/>
    <m/>
    <n v="0"/>
    <x v="11"/>
    <n v="0"/>
  </r>
  <r>
    <s v="25007"/>
    <s v="Credit Card  AM EX CostCo 1008"/>
    <m/>
    <m/>
    <m/>
    <m/>
    <m/>
    <m/>
    <n v="0"/>
    <x v="11"/>
    <n v="0"/>
  </r>
  <r>
    <s v="25008"/>
    <s v="Credit Card Capital One"/>
    <m/>
    <m/>
    <m/>
    <m/>
    <m/>
    <m/>
    <n v="0"/>
    <x v="11"/>
    <n v="0"/>
  </r>
  <r>
    <s v="25008.01"/>
    <s v="Capital One"/>
    <m/>
    <m/>
    <m/>
    <m/>
    <m/>
    <m/>
    <n v="0"/>
    <x v="11"/>
    <n v="0"/>
  </r>
  <r>
    <s v="25012"/>
    <s v="Credit CardChase - United 9064"/>
    <m/>
    <m/>
    <m/>
    <m/>
    <m/>
    <m/>
    <n v="0"/>
    <x v="11"/>
    <n v="0"/>
  </r>
  <r>
    <s v="25015"/>
    <s v="126 L/P - Summit"/>
    <m/>
    <m/>
    <m/>
    <m/>
    <m/>
    <m/>
    <n v="0"/>
    <x v="13"/>
    <n v="0"/>
  </r>
  <r>
    <s v="25018"/>
    <s v="129 L/P - Western"/>
    <m/>
    <m/>
    <m/>
    <m/>
    <m/>
    <m/>
    <n v="0"/>
    <x v="13"/>
    <n v="0"/>
  </r>
  <r>
    <s v="25019"/>
    <s v="130 L/P - De Lage Landen"/>
    <m/>
    <m/>
    <m/>
    <m/>
    <m/>
    <m/>
    <n v="0"/>
    <x v="13"/>
    <n v="0"/>
  </r>
  <r>
    <s v="25020"/>
    <s v="131 L/P - Element"/>
    <m/>
    <m/>
    <m/>
    <m/>
    <m/>
    <m/>
    <n v="0"/>
    <x v="13"/>
    <n v="0"/>
  </r>
  <r>
    <s v="25029"/>
    <s v="139 L/P - Western"/>
    <m/>
    <m/>
    <m/>
    <m/>
    <m/>
    <m/>
    <n v="0"/>
    <x v="13"/>
    <n v="0"/>
  </r>
  <r>
    <s v="25031"/>
    <s v="142 L/P - US Bank Copier"/>
    <m/>
    <m/>
    <m/>
    <m/>
    <m/>
    <m/>
    <n v="0"/>
    <x v="13"/>
    <n v="0"/>
  </r>
  <r>
    <s v="25033"/>
    <s v="144 L/P - WISPer"/>
    <m/>
    <m/>
    <m/>
    <m/>
    <m/>
    <m/>
    <n v="0"/>
    <x v="13"/>
    <n v="0"/>
  </r>
  <r>
    <s v="25034"/>
    <s v="145 L/P - EverBank"/>
    <m/>
    <m/>
    <m/>
    <m/>
    <m/>
    <m/>
    <n v="0"/>
    <x v="13"/>
    <n v="0"/>
  </r>
  <r>
    <s v="25035"/>
    <s v="146 L/P - WISPer"/>
    <m/>
    <m/>
    <m/>
    <m/>
    <m/>
    <m/>
    <n v="0"/>
    <x v="13"/>
    <n v="0"/>
  </r>
  <r>
    <s v="25036"/>
    <s v="147 L/P - WISPer"/>
    <m/>
    <m/>
    <m/>
    <m/>
    <m/>
    <m/>
    <n v="0"/>
    <x v="13"/>
    <n v="0"/>
  </r>
  <r>
    <s v="25037"/>
    <s v="148 L/P - Axis Capital"/>
    <m/>
    <m/>
    <m/>
    <m/>
    <m/>
    <m/>
    <n v="0"/>
    <x v="13"/>
    <n v="0"/>
  </r>
  <r>
    <s v="25038"/>
    <s v="149 L/P - Axis Capital"/>
    <m/>
    <m/>
    <m/>
    <m/>
    <m/>
    <m/>
    <n v="0"/>
    <x v="13"/>
    <n v="0"/>
  </r>
  <r>
    <s v="25039"/>
    <s v="150 L/P - WISPer 4"/>
    <m/>
    <m/>
    <m/>
    <m/>
    <m/>
    <m/>
    <n v="0"/>
    <x v="13"/>
    <n v="0"/>
  </r>
  <r>
    <s v="25040"/>
    <s v="151 N/P - 2016 Ford F350"/>
    <m/>
    <m/>
    <m/>
    <m/>
    <m/>
    <m/>
    <n v="0"/>
    <x v="13"/>
    <n v="0"/>
  </r>
  <r>
    <s v="25041"/>
    <s v="152 L/P - AXIS CAPITAL"/>
    <m/>
    <m/>
    <m/>
    <m/>
    <m/>
    <m/>
    <n v="0"/>
    <x v="13"/>
    <n v="0"/>
  </r>
  <r>
    <s v="25042"/>
    <s v="153 L/p - Jules"/>
    <m/>
    <m/>
    <m/>
    <m/>
    <m/>
    <m/>
    <n v="0"/>
    <x v="13"/>
    <n v="0"/>
  </r>
  <r>
    <s v="25043"/>
    <s v="154 L/P - Jules 3"/>
    <m/>
    <m/>
    <m/>
    <m/>
    <m/>
    <m/>
    <n v="0"/>
    <x v="13"/>
    <n v="0"/>
  </r>
  <r>
    <s v="25044"/>
    <s v="155 L/P - Axis Capital 4"/>
    <m/>
    <m/>
    <m/>
    <m/>
    <m/>
    <m/>
    <n v="0"/>
    <x v="13"/>
    <n v="0"/>
  </r>
  <r>
    <s v="25045"/>
    <s v="156 L/P - Axis Capital 5"/>
    <m/>
    <m/>
    <m/>
    <m/>
    <m/>
    <m/>
    <n v="0"/>
    <x v="13"/>
    <n v="0"/>
  </r>
  <r>
    <s v="25046"/>
    <s v="157 L/P - Jules 4"/>
    <m/>
    <m/>
    <m/>
    <m/>
    <m/>
    <m/>
    <n v="0"/>
    <x v="13"/>
    <n v="0"/>
  </r>
  <r>
    <s v="25048"/>
    <s v="159 L/P - Jules 6"/>
    <m/>
    <m/>
    <m/>
    <m/>
    <m/>
    <m/>
    <n v="0"/>
    <x v="13"/>
    <n v="0"/>
  </r>
  <r>
    <s v="25049"/>
    <s v="160 L/P - Technology Finance"/>
    <m/>
    <m/>
    <m/>
    <m/>
    <m/>
    <m/>
    <n v="0"/>
    <x v="13"/>
    <n v="0"/>
  </r>
  <r>
    <s v="25050"/>
    <s v="161 L/P - Alliance Funding"/>
    <m/>
    <m/>
    <m/>
    <m/>
    <m/>
    <m/>
    <n v="0"/>
    <x v="13"/>
    <n v="0"/>
  </r>
  <r>
    <s v="25051"/>
    <s v="162 L/P - Susquehanna"/>
    <m/>
    <m/>
    <m/>
    <m/>
    <m/>
    <m/>
    <n v="0"/>
    <x v="13"/>
    <n v="0"/>
  </r>
  <r>
    <s v="25052"/>
    <s v="163 L/P - Jules 5"/>
    <m/>
    <m/>
    <m/>
    <m/>
    <m/>
    <m/>
    <n v="0"/>
    <x v="13"/>
    <n v="0"/>
  </r>
  <r>
    <s v="25053"/>
    <s v="164 L/P -  TFC 5"/>
    <m/>
    <m/>
    <m/>
    <m/>
    <m/>
    <m/>
    <n v="0"/>
    <x v="13"/>
    <n v="0"/>
  </r>
  <r>
    <s v="25054"/>
    <s v="165 L/P - TFC 6"/>
    <m/>
    <m/>
    <m/>
    <m/>
    <m/>
    <m/>
    <n v="0"/>
    <x v="13"/>
    <n v="0"/>
  </r>
  <r>
    <s v="25055"/>
    <s v="166 L/P - TFC 7"/>
    <m/>
    <m/>
    <m/>
    <m/>
    <m/>
    <m/>
    <n v="0"/>
    <x v="13"/>
    <n v="0"/>
  </r>
  <r>
    <s v="25057"/>
    <s v="168 N/P - TFC 8"/>
    <m/>
    <m/>
    <m/>
    <m/>
    <m/>
    <m/>
    <n v="0"/>
    <x v="13"/>
    <n v="0"/>
  </r>
  <r>
    <s v="25058"/>
    <s v="169 N/P - East West Bank - C"/>
    <m/>
    <m/>
    <m/>
    <m/>
    <m/>
    <m/>
    <n v="0"/>
    <x v="13"/>
    <n v="0"/>
  </r>
  <r>
    <s v="26900"/>
    <s v="Deferred Revenue"/>
    <m/>
    <m/>
    <m/>
    <m/>
    <m/>
    <m/>
    <n v="0"/>
    <x v="14"/>
    <n v="0"/>
  </r>
  <r>
    <s v="26900.01"/>
    <s v="DR HOLDING"/>
    <m/>
    <m/>
    <m/>
    <m/>
    <m/>
    <m/>
    <n v="0"/>
    <x v="14"/>
    <n v="0"/>
  </r>
  <r>
    <s v="26910"/>
    <s v="Deferred Revenuse Wholesale"/>
    <m/>
    <m/>
    <m/>
    <m/>
    <m/>
    <m/>
    <n v="0"/>
    <x v="14"/>
    <n v="0"/>
  </r>
  <r>
    <s v="26920"/>
    <s v="Deferred Revenue Other"/>
    <m/>
    <m/>
    <m/>
    <m/>
    <m/>
    <m/>
    <n v="0"/>
    <x v="14"/>
    <n v="0"/>
  </r>
  <r>
    <s v="26940"/>
    <s v="Deferred Revenue Comm Impact"/>
    <m/>
    <m/>
    <m/>
    <m/>
    <m/>
    <m/>
    <n v="0"/>
    <x v="14"/>
    <n v="0"/>
  </r>
  <r>
    <s v="26951"/>
    <s v="Deferred Revenue Bus Services"/>
    <m/>
    <m/>
    <m/>
    <m/>
    <m/>
    <m/>
    <n v="0"/>
    <x v="14"/>
    <n v="0"/>
  </r>
  <r>
    <s v="27948"/>
    <s v="083 N/P - 2012 Dodge Ram"/>
    <m/>
    <m/>
    <m/>
    <m/>
    <m/>
    <m/>
    <n v="0"/>
    <x v="10"/>
    <n v="0"/>
  </r>
  <r>
    <s v="27966"/>
    <s v="099 L/P - Summit"/>
    <m/>
    <m/>
    <m/>
    <m/>
    <m/>
    <m/>
    <n v="0"/>
    <x v="10"/>
    <n v="0"/>
  </r>
  <r>
    <s v="27967"/>
    <s v="100 L/P - Fame 1"/>
    <m/>
    <m/>
    <m/>
    <m/>
    <m/>
    <m/>
    <n v="0"/>
    <x v="10"/>
    <n v="0"/>
  </r>
  <r>
    <s v="27968"/>
    <s v="101 L/P - CIT"/>
    <m/>
    <m/>
    <m/>
    <m/>
    <m/>
    <m/>
    <n v="0"/>
    <x v="10"/>
    <n v="0"/>
  </r>
  <r>
    <s v="27970"/>
    <s v="103 L/P - Element"/>
    <m/>
    <m/>
    <m/>
    <m/>
    <m/>
    <m/>
    <n v="0"/>
    <x v="10"/>
    <n v="0"/>
  </r>
  <r>
    <s v="27971"/>
    <s v="104 L/P - Fame 1 - Leaf"/>
    <m/>
    <m/>
    <m/>
    <m/>
    <m/>
    <m/>
    <n v="0"/>
    <x v="10"/>
    <n v="0"/>
  </r>
  <r>
    <s v="27973"/>
    <s v="106 L/P - EverBank"/>
    <m/>
    <m/>
    <m/>
    <m/>
    <m/>
    <m/>
    <n v="0"/>
    <x v="10"/>
    <n v="0"/>
  </r>
  <r>
    <s v="27977"/>
    <s v="110 L/P - Western Equipment"/>
    <m/>
    <m/>
    <m/>
    <m/>
    <m/>
    <m/>
    <n v="0"/>
    <x v="10"/>
    <n v="0"/>
  </r>
  <r>
    <s v="27979"/>
    <s v="112 L/P - Arlington"/>
    <m/>
    <m/>
    <m/>
    <m/>
    <m/>
    <m/>
    <n v="0"/>
    <x v="10"/>
    <n v="0"/>
  </r>
  <r>
    <s v="27981"/>
    <s v="114 L/P - Nec"/>
    <m/>
    <m/>
    <m/>
    <m/>
    <m/>
    <m/>
    <n v="0"/>
    <x v="10"/>
    <n v="0"/>
  </r>
  <r>
    <s v="27984"/>
    <s v="117 L/P - HP Financial"/>
    <m/>
    <m/>
    <m/>
    <m/>
    <m/>
    <m/>
    <n v="0"/>
    <x v="10"/>
    <n v="0"/>
  </r>
  <r>
    <s v="27986"/>
    <s v="119 L/P - Element"/>
    <m/>
    <m/>
    <m/>
    <m/>
    <m/>
    <m/>
    <n v="0"/>
    <x v="10"/>
    <n v="0"/>
  </r>
  <r>
    <s v="27988"/>
    <s v="121 L/P - Banc of Calif"/>
    <m/>
    <m/>
    <m/>
    <m/>
    <m/>
    <m/>
    <n v="0"/>
    <x v="10"/>
    <n v="0"/>
  </r>
  <r>
    <s v="28015"/>
    <s v="126 L/P - Summit"/>
    <m/>
    <m/>
    <m/>
    <m/>
    <m/>
    <m/>
    <n v="0"/>
    <x v="10"/>
    <n v="0"/>
  </r>
  <r>
    <s v="28018"/>
    <s v="129 L/P - Western"/>
    <m/>
    <m/>
    <m/>
    <m/>
    <m/>
    <m/>
    <n v="0"/>
    <x v="10"/>
    <n v="0"/>
  </r>
  <r>
    <s v="28019"/>
    <s v="130 L/P - De Lage Landen"/>
    <m/>
    <m/>
    <m/>
    <m/>
    <m/>
    <m/>
    <n v="0"/>
    <x v="10"/>
    <n v="0"/>
  </r>
  <r>
    <s v="28020"/>
    <s v="131 L/P -  Element"/>
    <m/>
    <m/>
    <m/>
    <m/>
    <m/>
    <m/>
    <n v="0"/>
    <x v="10"/>
    <n v="0"/>
  </r>
  <r>
    <s v="28029"/>
    <s v="139 L/P - Western"/>
    <m/>
    <m/>
    <m/>
    <m/>
    <m/>
    <m/>
    <n v="0"/>
    <x v="10"/>
    <n v="0"/>
  </r>
  <r>
    <s v="28031"/>
    <s v="142 L/P - US Bank Copier"/>
    <m/>
    <m/>
    <m/>
    <m/>
    <m/>
    <m/>
    <n v="0"/>
    <x v="10"/>
    <n v="0"/>
  </r>
  <r>
    <s v="28033"/>
    <s v="144 L/P - WISPer"/>
    <m/>
    <m/>
    <m/>
    <m/>
    <m/>
    <m/>
    <n v="0"/>
    <x v="10"/>
    <n v="0"/>
  </r>
  <r>
    <s v="28034"/>
    <s v="145 L/P - EverBank"/>
    <m/>
    <m/>
    <m/>
    <m/>
    <m/>
    <m/>
    <n v="0"/>
    <x v="10"/>
    <n v="0"/>
  </r>
  <r>
    <s v="28035"/>
    <s v="146 L/P - WISPer"/>
    <m/>
    <m/>
    <m/>
    <m/>
    <m/>
    <m/>
    <n v="0"/>
    <x v="10"/>
    <n v="0"/>
  </r>
  <r>
    <s v="28036"/>
    <s v="147 L/P - WISPer"/>
    <m/>
    <m/>
    <m/>
    <m/>
    <m/>
    <m/>
    <n v="0"/>
    <x v="10"/>
    <n v="0"/>
  </r>
  <r>
    <s v="28037"/>
    <s v="148 L/P Axis Capital"/>
    <m/>
    <m/>
    <m/>
    <m/>
    <m/>
    <m/>
    <n v="0"/>
    <x v="10"/>
    <n v="0"/>
  </r>
  <r>
    <s v="28038"/>
    <s v="149 L/P - Axis Capital"/>
    <m/>
    <m/>
    <m/>
    <m/>
    <m/>
    <m/>
    <n v="0"/>
    <x v="10"/>
    <n v="0"/>
  </r>
  <r>
    <s v="28039"/>
    <s v="150 L/P - WISPer 4"/>
    <m/>
    <m/>
    <m/>
    <m/>
    <m/>
    <m/>
    <n v="0"/>
    <x v="10"/>
    <n v="0"/>
  </r>
  <r>
    <s v="28040"/>
    <s v="151 N/P - 2016 Ford F350"/>
    <m/>
    <m/>
    <m/>
    <m/>
    <m/>
    <m/>
    <n v="0"/>
    <x v="10"/>
    <n v="0"/>
  </r>
  <r>
    <s v="28041"/>
    <s v="152 L/P - AXIS CAPITAL"/>
    <m/>
    <m/>
    <m/>
    <m/>
    <m/>
    <m/>
    <n v="0"/>
    <x v="10"/>
    <n v="0"/>
  </r>
  <r>
    <s v="28042"/>
    <s v="153 L/p - Jules"/>
    <m/>
    <m/>
    <m/>
    <m/>
    <m/>
    <m/>
    <n v="0"/>
    <x v="10"/>
    <n v="0"/>
  </r>
  <r>
    <s v="28043"/>
    <s v="154 L/P - Jules 3"/>
    <m/>
    <m/>
    <m/>
    <m/>
    <m/>
    <m/>
    <n v="0"/>
    <x v="10"/>
    <n v="0"/>
  </r>
  <r>
    <s v="28044"/>
    <s v="155 L/P - Axis Capital 4"/>
    <m/>
    <m/>
    <m/>
    <m/>
    <m/>
    <m/>
    <n v="0"/>
    <x v="10"/>
    <n v="0"/>
  </r>
  <r>
    <s v="28045"/>
    <s v="156 L/P - Axis Capital 5"/>
    <m/>
    <m/>
    <m/>
    <m/>
    <m/>
    <m/>
    <n v="0"/>
    <x v="10"/>
    <n v="0"/>
  </r>
  <r>
    <s v="28046"/>
    <s v="157 L/P - Jules 4"/>
    <m/>
    <m/>
    <m/>
    <m/>
    <m/>
    <m/>
    <n v="0"/>
    <x v="10"/>
    <n v="0"/>
  </r>
  <r>
    <s v="28048"/>
    <s v="159 L/P - Jules 6"/>
    <m/>
    <m/>
    <m/>
    <m/>
    <m/>
    <m/>
    <n v="0"/>
    <x v="10"/>
    <n v="0"/>
  </r>
  <r>
    <s v="28049"/>
    <s v="160 L/P - Technology Finance"/>
    <m/>
    <m/>
    <m/>
    <m/>
    <m/>
    <m/>
    <n v="0"/>
    <x v="10"/>
    <n v="0"/>
  </r>
  <r>
    <s v="28050"/>
    <s v="161 L/P - Alliance Funding"/>
    <m/>
    <m/>
    <m/>
    <m/>
    <m/>
    <m/>
    <n v="0"/>
    <x v="10"/>
    <n v="0"/>
  </r>
  <r>
    <s v="28051"/>
    <s v="162 L/P - Susquehanna"/>
    <m/>
    <m/>
    <m/>
    <m/>
    <m/>
    <m/>
    <n v="0"/>
    <x v="10"/>
    <n v="0"/>
  </r>
  <r>
    <s v="28052"/>
    <s v="163 L/P - Jules 5"/>
    <m/>
    <m/>
    <m/>
    <m/>
    <m/>
    <m/>
    <n v="0"/>
    <x v="10"/>
    <n v="0"/>
  </r>
  <r>
    <s v="28053"/>
    <s v="164 L/P -  TFC 5"/>
    <m/>
    <m/>
    <m/>
    <m/>
    <m/>
    <m/>
    <n v="0"/>
    <x v="10"/>
    <n v="0"/>
  </r>
  <r>
    <s v="28054"/>
    <s v="165 L/P - TFC 6"/>
    <m/>
    <m/>
    <m/>
    <m/>
    <m/>
    <m/>
    <n v="0"/>
    <x v="10"/>
    <n v="0"/>
  </r>
  <r>
    <s v="28055"/>
    <s v="166 L/P - TFC 7"/>
    <m/>
    <m/>
    <m/>
    <m/>
    <m/>
    <m/>
    <n v="0"/>
    <x v="10"/>
    <n v="0"/>
  </r>
  <r>
    <s v="28057"/>
    <s v="168 N/P - TFC 8"/>
    <m/>
    <m/>
    <m/>
    <m/>
    <m/>
    <m/>
    <n v="0"/>
    <x v="10"/>
    <n v="0"/>
  </r>
  <r>
    <s v="28058"/>
    <s v="169 N/P - East West Bank - C"/>
    <m/>
    <m/>
    <m/>
    <m/>
    <m/>
    <m/>
    <n v="0"/>
    <x v="10"/>
    <n v="0"/>
  </r>
  <r>
    <n v="27250"/>
    <s v="2x NP DPI - Intercompany"/>
    <m/>
    <m/>
    <m/>
    <m/>
    <n v="0"/>
    <m/>
    <n v="0"/>
    <x v="8"/>
    <n v="0"/>
  </r>
  <r>
    <s v="20275"/>
    <s v="DPA NP DPI - Intercompany"/>
    <m/>
    <m/>
    <m/>
    <m/>
    <n v="0"/>
    <m/>
    <n v="0"/>
    <x v="8"/>
    <n v="0"/>
  </r>
  <r>
    <s v="29000"/>
    <s v="Warrant Liability"/>
    <m/>
    <m/>
    <m/>
    <m/>
    <m/>
    <m/>
    <n v="0"/>
    <x v="15"/>
    <n v="0"/>
  </r>
  <r>
    <s v="38400"/>
    <s v="Contra Account - Sales Leaseback"/>
    <m/>
    <m/>
    <m/>
    <m/>
    <m/>
    <m/>
    <n v="0"/>
    <x v="16"/>
    <n v="0"/>
  </r>
  <r>
    <s v="38500"/>
    <s v="Contra Account - Interco Sales"/>
    <m/>
    <m/>
    <m/>
    <m/>
    <m/>
    <n v="0"/>
    <n v="0"/>
    <x v="16"/>
    <n v="0"/>
  </r>
  <r>
    <s v="39005"/>
    <s v="Retained Earnings"/>
    <m/>
    <m/>
    <m/>
    <m/>
    <m/>
    <m/>
    <n v="0"/>
    <x v="16"/>
    <n v="0"/>
  </r>
  <r>
    <s v="39907"/>
    <s v="Stock"/>
    <m/>
    <m/>
    <m/>
    <n v="0"/>
    <m/>
    <m/>
    <n v="0"/>
    <x v="17"/>
    <n v="0"/>
  </r>
  <r>
    <s v="39908"/>
    <s v="Preferred Stock"/>
    <m/>
    <m/>
    <m/>
    <m/>
    <m/>
    <m/>
    <n v="0"/>
    <x v="18"/>
    <n v="0"/>
  </r>
  <r>
    <s v="39910"/>
    <s v="APIC - add. paid in Capital"/>
    <m/>
    <m/>
    <m/>
    <m/>
    <m/>
    <m/>
    <n v="0"/>
    <x v="19"/>
    <n v="0"/>
  </r>
  <r>
    <s v=""/>
    <s v="Net Income"/>
    <m/>
    <m/>
    <m/>
    <m/>
    <m/>
    <m/>
    <n v="0"/>
    <x v="16"/>
    <n v="0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count="142">
  <r>
    <s v="40000"/>
    <s v="Retail-Monthly Subscriptions"/>
    <m/>
    <m/>
    <m/>
    <m/>
    <m/>
    <m/>
    <n v="0"/>
    <x v="0"/>
    <n v="0"/>
  </r>
  <r>
    <s v="40001"/>
    <s v="Retail - Other accounts"/>
    <m/>
    <m/>
    <m/>
    <m/>
    <m/>
    <m/>
    <n v="0"/>
    <x v="0"/>
    <n v="0"/>
  </r>
  <r>
    <s v="40200"/>
    <s v="Retail-Set-Up Fees"/>
    <m/>
    <m/>
    <m/>
    <m/>
    <m/>
    <m/>
    <n v="0"/>
    <x v="0"/>
    <n v="0"/>
  </r>
  <r>
    <s v="40400"/>
    <s v="Retail-Other Income"/>
    <m/>
    <m/>
    <m/>
    <m/>
    <m/>
    <m/>
    <n v="0"/>
    <x v="0"/>
    <n v="0"/>
  </r>
  <r>
    <s v="40600"/>
    <s v="Rural Market- Monthly Subscrip"/>
    <m/>
    <m/>
    <m/>
    <m/>
    <m/>
    <m/>
    <n v="0"/>
    <x v="0"/>
    <n v="0"/>
  </r>
  <r>
    <s v="46500"/>
    <s v="Intercompany transfer of assets (Sales)"/>
    <m/>
    <m/>
    <m/>
    <m/>
    <m/>
    <n v="0"/>
    <n v="0"/>
    <x v="0"/>
    <n v="0"/>
  </r>
  <r>
    <s v="40601"/>
    <s v="Rural Market- Equipment Sales"/>
    <m/>
    <m/>
    <m/>
    <m/>
    <m/>
    <m/>
    <n v="0"/>
    <x v="0"/>
    <n v="0"/>
  </r>
  <r>
    <s v="40602"/>
    <s v="Rural Market-Set Up Fees"/>
    <m/>
    <m/>
    <m/>
    <m/>
    <m/>
    <m/>
    <n v="0"/>
    <x v="0"/>
    <n v="0"/>
  </r>
  <r>
    <s v="40603"/>
    <s v="Rural Market-Other Income"/>
    <m/>
    <m/>
    <m/>
    <m/>
    <m/>
    <m/>
    <n v="0"/>
    <x v="0"/>
    <n v="0"/>
  </r>
  <r>
    <s v="40604"/>
    <s v="Rural Market - T-Mobile"/>
    <m/>
    <m/>
    <m/>
    <m/>
    <m/>
    <m/>
    <n v="0"/>
    <x v="0"/>
    <n v="0"/>
  </r>
  <r>
    <s v="40800"/>
    <s v="Business Sys  - Monthly Subscr"/>
    <m/>
    <m/>
    <m/>
    <m/>
    <m/>
    <m/>
    <n v="0"/>
    <x v="0"/>
    <n v="0"/>
  </r>
  <r>
    <s v="40800.01"/>
    <s v="Business Phone Services"/>
    <m/>
    <m/>
    <m/>
    <m/>
    <m/>
    <m/>
    <n v="0"/>
    <x v="0"/>
    <n v="0"/>
  </r>
  <r>
    <s v="40801"/>
    <s v="Business Services - Equipment"/>
    <m/>
    <m/>
    <m/>
    <m/>
    <m/>
    <m/>
    <n v="0"/>
    <x v="0"/>
    <n v="0"/>
  </r>
  <r>
    <s v="40802"/>
    <s v="Business Services - SetUp Fee"/>
    <m/>
    <m/>
    <m/>
    <m/>
    <m/>
    <m/>
    <n v="0"/>
    <x v="0"/>
    <n v="0"/>
  </r>
  <r>
    <s v="40803"/>
    <s v="Business Services Other Inc"/>
    <m/>
    <m/>
    <m/>
    <m/>
    <m/>
    <m/>
    <n v="0"/>
    <x v="0"/>
    <n v="0"/>
  </r>
  <r>
    <s v="40804"/>
    <s v="Bus Sys - Phone Charge"/>
    <m/>
    <m/>
    <m/>
    <m/>
    <m/>
    <m/>
    <n v="0"/>
    <x v="0"/>
    <n v="0"/>
  </r>
  <r>
    <s v="40807"/>
    <s v="Business Services - Barter"/>
    <m/>
    <m/>
    <m/>
    <m/>
    <m/>
    <m/>
    <n v="0"/>
    <x v="0"/>
    <n v="0"/>
  </r>
  <r>
    <s v="40808"/>
    <s v="Business Services One Time Fee"/>
    <m/>
    <m/>
    <m/>
    <m/>
    <m/>
    <m/>
    <n v="0"/>
    <x v="0"/>
    <n v="0"/>
  </r>
  <r>
    <s v="41000"/>
    <s v="Wholesale-Monthly Subscription"/>
    <m/>
    <m/>
    <m/>
    <m/>
    <m/>
    <m/>
    <n v="0"/>
    <x v="0"/>
    <n v="0"/>
  </r>
  <r>
    <s v="41300"/>
    <s v="Wholesale-Other Income"/>
    <m/>
    <m/>
    <m/>
    <m/>
    <m/>
    <m/>
    <n v="0"/>
    <x v="0"/>
    <n v="0"/>
  </r>
  <r>
    <s v="43000"/>
    <s v="Hot Spot - Monthly Subs"/>
    <m/>
    <m/>
    <m/>
    <m/>
    <m/>
    <m/>
    <n v="0"/>
    <x v="0"/>
    <n v="0"/>
  </r>
  <r>
    <s v="46000"/>
    <s v="Customer Refunds"/>
    <m/>
    <m/>
    <m/>
    <m/>
    <m/>
    <m/>
    <n v="0"/>
    <x v="0"/>
    <n v="0"/>
  </r>
  <r>
    <s v="46000.01"/>
    <s v="Bus Services Customer Refunds"/>
    <m/>
    <m/>
    <m/>
    <m/>
    <m/>
    <m/>
    <n v="0"/>
    <x v="0"/>
    <n v="0"/>
  </r>
  <r>
    <s v="46100"/>
    <s v="Service Credits"/>
    <m/>
    <m/>
    <m/>
    <m/>
    <m/>
    <m/>
    <n v="0"/>
    <x v="0"/>
    <n v="0"/>
  </r>
  <r>
    <s v="48200"/>
    <s v="Other Income"/>
    <m/>
    <m/>
    <m/>
    <m/>
    <m/>
    <m/>
    <n v="0"/>
    <x v="0"/>
    <n v="0"/>
  </r>
  <r>
    <s v="48202"/>
    <s v="Long Distance Income"/>
    <m/>
    <m/>
    <m/>
    <m/>
    <m/>
    <m/>
    <n v="0"/>
    <x v="0"/>
    <n v="0"/>
  </r>
  <r>
    <s v="48203"/>
    <s v="Phone Income"/>
    <m/>
    <m/>
    <m/>
    <m/>
    <m/>
    <m/>
    <n v="0"/>
    <x v="0"/>
    <n v="0"/>
  </r>
  <r>
    <s v="50000"/>
    <s v="Internet Cost"/>
    <m/>
    <m/>
    <m/>
    <m/>
    <m/>
    <m/>
    <n v="0"/>
    <x v="1"/>
    <n v="0"/>
  </r>
  <r>
    <s v="50000.01"/>
    <s v="Internet Cost - Bus Services"/>
    <m/>
    <m/>
    <m/>
    <m/>
    <m/>
    <m/>
    <n v="0"/>
    <x v="1"/>
    <n v="0"/>
  </r>
  <r>
    <s v="50201"/>
    <s v="VOIP Costs"/>
    <m/>
    <m/>
    <m/>
    <m/>
    <m/>
    <m/>
    <n v="0"/>
    <x v="1"/>
    <n v="0"/>
  </r>
  <r>
    <s v="50500"/>
    <s v="Gateway / RPOP"/>
    <m/>
    <m/>
    <m/>
    <m/>
    <m/>
    <m/>
    <n v="0"/>
    <x v="1"/>
    <n v="0"/>
  </r>
  <r>
    <s v="63500"/>
    <s v="Commissions"/>
    <m/>
    <m/>
    <m/>
    <m/>
    <m/>
    <m/>
    <n v="0"/>
    <x v="1"/>
    <n v="0"/>
  </r>
  <r>
    <s v="63800"/>
    <s v="Sub-Contractors"/>
    <m/>
    <m/>
    <m/>
    <m/>
    <m/>
    <m/>
    <n v="0"/>
    <x v="1"/>
    <n v="0"/>
  </r>
  <r>
    <s v="75000"/>
    <s v="Manufacturing Supplies"/>
    <m/>
    <m/>
    <m/>
    <m/>
    <m/>
    <m/>
    <n v="0"/>
    <x v="1"/>
    <n v="0"/>
  </r>
  <r>
    <m/>
    <s v="Hardware costs"/>
    <m/>
    <m/>
    <m/>
    <m/>
    <m/>
    <m/>
    <n v="0"/>
    <x v="1"/>
    <n v="0"/>
  </r>
  <r>
    <m/>
    <s v="COGS - Intercompany transfer of assets"/>
    <m/>
    <m/>
    <m/>
    <m/>
    <m/>
    <n v="0"/>
    <n v="0"/>
    <x v="1"/>
    <n v="0"/>
  </r>
  <r>
    <s v="60100"/>
    <s v="Advertising &amp; Promotion"/>
    <m/>
    <m/>
    <m/>
    <m/>
    <m/>
    <m/>
    <n v="0"/>
    <x v="2"/>
    <n v="0"/>
  </r>
  <r>
    <s v="60125"/>
    <s v="Advertising Barter"/>
    <m/>
    <m/>
    <m/>
    <m/>
    <m/>
    <m/>
    <n v="0"/>
    <x v="2"/>
    <n v="0"/>
  </r>
  <r>
    <s v="60200"/>
    <s v="Referral Credits"/>
    <m/>
    <m/>
    <m/>
    <m/>
    <m/>
    <m/>
    <n v="0"/>
    <x v="2"/>
    <n v="0"/>
  </r>
  <r>
    <s v="60500"/>
    <s v="Amortization"/>
    <m/>
    <m/>
    <m/>
    <m/>
    <m/>
    <m/>
    <n v="0"/>
    <x v="3"/>
    <n v="0"/>
  </r>
  <r>
    <s v="61000"/>
    <s v="Vehicle Repairs"/>
    <m/>
    <m/>
    <m/>
    <m/>
    <m/>
    <m/>
    <n v="0"/>
    <x v="4"/>
    <n v="0"/>
  </r>
  <r>
    <s v="61000.01"/>
    <s v="Vehicle - Tune up &amp; Oil Change"/>
    <m/>
    <m/>
    <m/>
    <m/>
    <m/>
    <m/>
    <n v="0"/>
    <x v="1"/>
    <n v="0"/>
  </r>
  <r>
    <s v="61000.02"/>
    <s v="Vehicle - Tires"/>
    <m/>
    <m/>
    <m/>
    <m/>
    <m/>
    <m/>
    <n v="0"/>
    <x v="1"/>
    <n v="0"/>
  </r>
  <r>
    <s v="61000.03"/>
    <s v="Vehicle Repairs - Misc"/>
    <m/>
    <m/>
    <m/>
    <m/>
    <m/>
    <m/>
    <n v="0"/>
    <x v="1"/>
    <n v="0"/>
  </r>
  <r>
    <s v="61100"/>
    <s v="Vehicle Gasoline - General"/>
    <m/>
    <m/>
    <m/>
    <m/>
    <m/>
    <m/>
    <n v="0"/>
    <x v="4"/>
    <n v="0"/>
  </r>
  <r>
    <s v="61100.01"/>
    <s v="Vehicle Gasoline - Expansion"/>
    <m/>
    <m/>
    <m/>
    <m/>
    <m/>
    <m/>
    <n v="0"/>
    <x v="4"/>
    <n v="0"/>
  </r>
  <r>
    <s v="61100.02"/>
    <s v="Vehicle Gas - Installers"/>
    <m/>
    <m/>
    <m/>
    <m/>
    <m/>
    <m/>
    <n v="0"/>
    <x v="4"/>
    <n v="0"/>
  </r>
  <r>
    <s v="61100.03"/>
    <s v="Vehicle Propane generators"/>
    <m/>
    <m/>
    <m/>
    <m/>
    <m/>
    <m/>
    <n v="0"/>
    <x v="4"/>
    <n v="0"/>
  </r>
  <r>
    <s v="61100.04"/>
    <s v="Vehicle Gasoline &amp; Oil"/>
    <m/>
    <m/>
    <m/>
    <m/>
    <m/>
    <m/>
    <n v="0"/>
    <x v="4"/>
    <n v="0"/>
  </r>
  <r>
    <s v="61200"/>
    <s v="Vehicle Registration"/>
    <m/>
    <m/>
    <m/>
    <m/>
    <m/>
    <m/>
    <n v="0"/>
    <x v="4"/>
    <n v="0"/>
  </r>
  <r>
    <s v="61500.02"/>
    <s v="Bad Debt"/>
    <m/>
    <m/>
    <m/>
    <m/>
    <m/>
    <m/>
    <n v="0"/>
    <x v="4"/>
    <n v="0"/>
  </r>
  <r>
    <s v="62000"/>
    <s v="Bank Charges"/>
    <m/>
    <m/>
    <m/>
    <m/>
    <m/>
    <m/>
    <n v="0"/>
    <x v="4"/>
    <n v="0"/>
  </r>
  <r>
    <s v="62100"/>
    <s v="Credit Card Discounts"/>
    <m/>
    <m/>
    <m/>
    <m/>
    <m/>
    <m/>
    <n v="0"/>
    <x v="4"/>
    <n v="0"/>
  </r>
  <r>
    <s v="62500"/>
    <s v="Cash (Over) Short"/>
    <m/>
    <m/>
    <m/>
    <m/>
    <m/>
    <m/>
    <n v="0"/>
    <x v="4"/>
    <n v="0"/>
  </r>
  <r>
    <s v="63700"/>
    <s v="Outside Services"/>
    <m/>
    <m/>
    <m/>
    <m/>
    <m/>
    <m/>
    <n v="0"/>
    <x v="4"/>
    <n v="0"/>
  </r>
  <r>
    <s v="64000.07"/>
    <s v="Depreciation"/>
    <m/>
    <m/>
    <m/>
    <m/>
    <m/>
    <m/>
    <n v="0"/>
    <x v="3"/>
    <n v="0"/>
  </r>
  <r>
    <s v="64500.01"/>
    <s v="Dues &amp; Subscriptions"/>
    <m/>
    <m/>
    <m/>
    <m/>
    <m/>
    <m/>
    <n v="0"/>
    <x v="4"/>
    <n v="0"/>
  </r>
  <r>
    <s v="65000"/>
    <s v="Employee Relations"/>
    <m/>
    <m/>
    <m/>
    <m/>
    <m/>
    <m/>
    <n v="0"/>
    <x v="4"/>
    <n v="0"/>
  </r>
  <r>
    <s v="65100"/>
    <s v="Employee Recruiting/Screening"/>
    <m/>
    <m/>
    <m/>
    <m/>
    <m/>
    <m/>
    <n v="0"/>
    <x v="4"/>
    <n v="0"/>
  </r>
  <r>
    <s v="65300"/>
    <s v="Employee Training"/>
    <m/>
    <m/>
    <m/>
    <m/>
    <m/>
    <m/>
    <n v="0"/>
    <x v="4"/>
    <n v="0"/>
  </r>
  <r>
    <s v="66000"/>
    <s v="Gifts"/>
    <m/>
    <m/>
    <m/>
    <m/>
    <m/>
    <m/>
    <n v="0"/>
    <x v="4"/>
    <n v="0"/>
  </r>
  <r>
    <s v="66500"/>
    <s v="Income Tax Expense"/>
    <m/>
    <m/>
    <m/>
    <m/>
    <m/>
    <m/>
    <n v="0"/>
    <x v="4"/>
    <n v="0"/>
  </r>
  <r>
    <s v="67000"/>
    <s v="Insurance - Property/Liability"/>
    <m/>
    <m/>
    <m/>
    <m/>
    <m/>
    <m/>
    <n v="0"/>
    <x v="4"/>
    <n v="0"/>
  </r>
  <r>
    <s v="67100"/>
    <s v="Insurance - Vehicle"/>
    <m/>
    <m/>
    <m/>
    <m/>
    <m/>
    <m/>
    <n v="0"/>
    <x v="4"/>
    <n v="0"/>
  </r>
  <r>
    <s v="67200"/>
    <s v="Insurance - Officers"/>
    <m/>
    <m/>
    <m/>
    <m/>
    <m/>
    <m/>
    <n v="0"/>
    <x v="4"/>
    <n v="0"/>
  </r>
  <r>
    <s v="67300"/>
    <s v="Insurance - Medical"/>
    <m/>
    <m/>
    <m/>
    <m/>
    <m/>
    <m/>
    <n v="0"/>
    <x v="4"/>
    <n v="0"/>
  </r>
  <r>
    <s v="67310"/>
    <s v="Insurance- Life"/>
    <m/>
    <m/>
    <m/>
    <m/>
    <m/>
    <m/>
    <n v="0"/>
    <x v="4"/>
    <n v="0"/>
  </r>
  <r>
    <s v="67400"/>
    <s v="Insurance - Workers Comp"/>
    <m/>
    <m/>
    <m/>
    <m/>
    <m/>
    <m/>
    <n v="0"/>
    <x v="4"/>
    <n v="0"/>
  </r>
  <r>
    <s v="67500"/>
    <s v="Interest"/>
    <m/>
    <m/>
    <m/>
    <m/>
    <m/>
    <m/>
    <n v="0"/>
    <x v="5"/>
    <n v="0"/>
  </r>
  <r>
    <s v="68000"/>
    <s v="Cleaning &amp; Janitorial"/>
    <m/>
    <m/>
    <m/>
    <m/>
    <m/>
    <m/>
    <n v="0"/>
    <x v="4"/>
    <n v="0"/>
  </r>
  <r>
    <s v="68500"/>
    <s v="Legal &amp; Accounting"/>
    <m/>
    <m/>
    <m/>
    <m/>
    <m/>
    <m/>
    <n v="0"/>
    <x v="4"/>
    <n v="0"/>
  </r>
  <r>
    <s v="68550"/>
    <s v="Loan/Lease Fees"/>
    <m/>
    <m/>
    <m/>
    <m/>
    <m/>
    <m/>
    <n v="0"/>
    <x v="4"/>
    <n v="0"/>
  </r>
  <r>
    <s v="68600"/>
    <s v="Consultant Fees"/>
    <m/>
    <m/>
    <m/>
    <m/>
    <m/>
    <m/>
    <n v="0"/>
    <x v="4"/>
    <n v="0"/>
  </r>
  <r>
    <s v="69000"/>
    <s v="Permits &amp; Licenses"/>
    <m/>
    <m/>
    <m/>
    <m/>
    <m/>
    <m/>
    <n v="0"/>
    <x v="4"/>
    <n v="0"/>
  </r>
  <r>
    <s v="70000"/>
    <s v="Maintenance Expense"/>
    <m/>
    <m/>
    <m/>
    <m/>
    <m/>
    <m/>
    <n v="0"/>
    <x v="4"/>
    <n v="0"/>
  </r>
  <r>
    <s v="70500"/>
    <s v="Meals &amp; Entertainment"/>
    <m/>
    <m/>
    <m/>
    <m/>
    <m/>
    <m/>
    <n v="0"/>
    <x v="4"/>
    <n v="0"/>
  </r>
  <r>
    <s v="71000"/>
    <s v="Office Supplies"/>
    <m/>
    <m/>
    <m/>
    <m/>
    <m/>
    <m/>
    <n v="0"/>
    <x v="4"/>
    <n v="0"/>
  </r>
  <r>
    <s v="72101"/>
    <s v="Payroll Tax IRS"/>
    <m/>
    <m/>
    <m/>
    <m/>
    <m/>
    <m/>
    <n v="0"/>
    <x v="4"/>
    <n v="0"/>
  </r>
  <r>
    <s v="72201"/>
    <s v="Payroll Tax EDD"/>
    <m/>
    <m/>
    <m/>
    <m/>
    <m/>
    <m/>
    <n v="0"/>
    <x v="4"/>
    <n v="0"/>
  </r>
  <r>
    <s v="72600"/>
    <s v="Late Fees"/>
    <m/>
    <m/>
    <m/>
    <m/>
    <m/>
    <m/>
    <n v="0"/>
    <x v="4"/>
    <n v="0"/>
  </r>
  <r>
    <s v="73000"/>
    <s v="Taxes Paid"/>
    <m/>
    <m/>
    <m/>
    <m/>
    <m/>
    <m/>
    <n v="0"/>
    <x v="6"/>
    <n v="0"/>
  </r>
  <r>
    <s v="73100"/>
    <s v="Sales Tax Paid"/>
    <m/>
    <m/>
    <m/>
    <m/>
    <m/>
    <m/>
    <n v="0"/>
    <x v="4"/>
    <n v="0"/>
  </r>
  <r>
    <s v="73200"/>
    <s v="Property Taxes Paid"/>
    <m/>
    <m/>
    <m/>
    <m/>
    <m/>
    <m/>
    <n v="0"/>
    <x v="4"/>
    <n v="0"/>
  </r>
  <r>
    <s v="73500"/>
    <s v="Postage"/>
    <m/>
    <m/>
    <m/>
    <m/>
    <m/>
    <m/>
    <n v="0"/>
    <x v="4"/>
    <n v="0"/>
  </r>
  <r>
    <s v="73550.01"/>
    <s v="Shipping &amp; Handling"/>
    <m/>
    <m/>
    <m/>
    <m/>
    <m/>
    <m/>
    <n v="0"/>
    <x v="4"/>
    <n v="0"/>
  </r>
  <r>
    <s v="74000"/>
    <s v="Rent / Lease"/>
    <m/>
    <m/>
    <m/>
    <m/>
    <m/>
    <m/>
    <n v="0"/>
    <x v="4"/>
    <n v="0"/>
  </r>
  <r>
    <s v="74000.01"/>
    <s v="Rent / Lease Helicopter"/>
    <m/>
    <m/>
    <m/>
    <m/>
    <m/>
    <m/>
    <n v="0"/>
    <x v="4"/>
    <n v="0"/>
  </r>
  <r>
    <s v="74100"/>
    <s v="Equipment Rental"/>
    <m/>
    <m/>
    <m/>
    <m/>
    <m/>
    <m/>
    <n v="0"/>
    <x v="4"/>
    <n v="0"/>
  </r>
  <r>
    <s v="74400"/>
    <s v="Small Tools"/>
    <m/>
    <m/>
    <m/>
    <m/>
    <m/>
    <m/>
    <n v="0"/>
    <x v="4"/>
    <n v="0"/>
  </r>
  <r>
    <s v="74500"/>
    <s v="Repairs &amp; Maintenance"/>
    <m/>
    <m/>
    <m/>
    <m/>
    <m/>
    <m/>
    <n v="0"/>
    <x v="4"/>
    <n v="0"/>
  </r>
  <r>
    <s v="74600"/>
    <s v="Research &amp; Development"/>
    <m/>
    <m/>
    <m/>
    <m/>
    <m/>
    <m/>
    <n v="0"/>
    <x v="4"/>
    <n v="0"/>
  </r>
  <r>
    <s v="75000.1"/>
    <s v="Mountain Networks"/>
    <m/>
    <m/>
    <m/>
    <m/>
    <m/>
    <m/>
    <n v="0"/>
    <x v="4"/>
    <n v="0"/>
  </r>
  <r>
    <s v="75500"/>
    <s v="Operating Supplies"/>
    <m/>
    <m/>
    <m/>
    <m/>
    <m/>
    <m/>
    <n v="0"/>
    <x v="4"/>
    <n v="0"/>
  </r>
  <r>
    <s v="75500.02"/>
    <s v="Operating Supplies- Cable"/>
    <m/>
    <m/>
    <m/>
    <m/>
    <m/>
    <m/>
    <n v="0"/>
    <x v="4"/>
    <n v="0"/>
  </r>
  <r>
    <s v="75600"/>
    <s v="Breakroom Supplies"/>
    <m/>
    <m/>
    <m/>
    <m/>
    <m/>
    <m/>
    <n v="0"/>
    <x v="4"/>
    <n v="0"/>
  </r>
  <r>
    <s v="75600.01"/>
    <s v="Cafeteria"/>
    <m/>
    <m/>
    <m/>
    <m/>
    <m/>
    <m/>
    <n v="0"/>
    <x v="4"/>
    <n v="0"/>
  </r>
  <r>
    <s v="75800"/>
    <s v="Security"/>
    <m/>
    <m/>
    <m/>
    <m/>
    <m/>
    <m/>
    <n v="0"/>
    <x v="4"/>
    <n v="0"/>
  </r>
  <r>
    <s v="76000"/>
    <s v="Telephone"/>
    <m/>
    <m/>
    <m/>
    <m/>
    <m/>
    <m/>
    <n v="0"/>
    <x v="4"/>
    <n v="0"/>
  </r>
  <r>
    <s v="76000.02"/>
    <s v="Telephone - NVW"/>
    <m/>
    <m/>
    <m/>
    <m/>
    <m/>
    <m/>
    <n v="0"/>
    <x v="4"/>
    <n v="0"/>
  </r>
  <r>
    <s v="76100"/>
    <s v="Telephones - Cellular"/>
    <m/>
    <m/>
    <m/>
    <m/>
    <m/>
    <m/>
    <n v="0"/>
    <x v="4"/>
    <n v="0"/>
  </r>
  <r>
    <s v="76500"/>
    <s v="Travel &amp; Lodging"/>
    <m/>
    <m/>
    <m/>
    <m/>
    <m/>
    <m/>
    <n v="0"/>
    <x v="4"/>
    <n v="0"/>
  </r>
  <r>
    <s v="77250"/>
    <s v="Bonus"/>
    <m/>
    <m/>
    <m/>
    <m/>
    <m/>
    <m/>
    <n v="0"/>
    <x v="4"/>
    <n v="0"/>
  </r>
  <r>
    <s v="77500.01"/>
    <s v="Wages - Network Expansion"/>
    <m/>
    <m/>
    <m/>
    <m/>
    <m/>
    <m/>
    <n v="0"/>
    <x v="4"/>
    <n v="0"/>
  </r>
  <r>
    <s v="77500.02"/>
    <s v="Wages - R&amp;D"/>
    <m/>
    <m/>
    <m/>
    <m/>
    <m/>
    <m/>
    <n v="0"/>
    <x v="4"/>
    <n v="0"/>
  </r>
  <r>
    <s v="77500.03"/>
    <s v="Wages - Sales &amp; Marketing"/>
    <m/>
    <m/>
    <m/>
    <m/>
    <m/>
    <m/>
    <n v="0"/>
    <x v="2"/>
    <n v="0"/>
  </r>
  <r>
    <s v="77500.04"/>
    <s v="Wages - Customer Service"/>
    <m/>
    <m/>
    <m/>
    <m/>
    <m/>
    <m/>
    <n v="0"/>
    <x v="4"/>
    <n v="0"/>
  </r>
  <r>
    <s v="77500.05"/>
    <s v="Wages - Tech Support"/>
    <m/>
    <m/>
    <m/>
    <m/>
    <m/>
    <m/>
    <n v="0"/>
    <x v="4"/>
    <n v="0"/>
  </r>
  <r>
    <s v="77500.06"/>
    <s v="Wages - Manufacture"/>
    <m/>
    <m/>
    <m/>
    <m/>
    <m/>
    <m/>
    <n v="0"/>
    <x v="1"/>
    <n v="0"/>
  </r>
  <r>
    <s v="77500.07"/>
    <s v="Wages - Administrative"/>
    <m/>
    <m/>
    <m/>
    <m/>
    <m/>
    <m/>
    <n v="0"/>
    <x v="4"/>
    <n v="0"/>
  </r>
  <r>
    <s v="77500.08"/>
    <s v="Wages - Acct/HR"/>
    <m/>
    <m/>
    <m/>
    <m/>
    <m/>
    <m/>
    <n v="0"/>
    <x v="4"/>
    <n v="0"/>
  </r>
  <r>
    <s v="77500.09"/>
    <s v="Wages - Installers"/>
    <m/>
    <m/>
    <m/>
    <m/>
    <m/>
    <m/>
    <n v="0"/>
    <x v="1"/>
    <n v="0"/>
  </r>
  <r>
    <s v="77500.11"/>
    <s v="Wages - Cafeteria"/>
    <m/>
    <m/>
    <m/>
    <m/>
    <m/>
    <m/>
    <n v="0"/>
    <x v="4"/>
    <n v="0"/>
  </r>
  <r>
    <s v="77500.12"/>
    <s v="Wages 2X Sales &amp; Production"/>
    <m/>
    <m/>
    <m/>
    <m/>
    <m/>
    <m/>
    <n v="0"/>
    <x v="4"/>
    <n v="0"/>
  </r>
  <r>
    <s v="77500.13"/>
    <s v="Wages - Heli pilot"/>
    <m/>
    <m/>
    <m/>
    <m/>
    <m/>
    <m/>
    <n v="0"/>
    <x v="4"/>
    <n v="0"/>
  </r>
  <r>
    <s v="77502"/>
    <s v="Wages - On Call"/>
    <m/>
    <m/>
    <m/>
    <m/>
    <m/>
    <m/>
    <n v="0"/>
    <x v="4"/>
    <n v="0"/>
  </r>
  <r>
    <s v="77550.01"/>
    <s v="Wages - Overtime Net Expansion"/>
    <m/>
    <m/>
    <m/>
    <m/>
    <m/>
    <m/>
    <n v="0"/>
    <x v="4"/>
    <n v="0"/>
  </r>
  <r>
    <s v="77550.02"/>
    <s v="Wages - Overtime R &amp; D"/>
    <m/>
    <m/>
    <m/>
    <m/>
    <m/>
    <m/>
    <n v="0"/>
    <x v="4"/>
    <n v="0"/>
  </r>
  <r>
    <s v="77550.03"/>
    <s v="Wages - OT Sales &amp; Marketing"/>
    <m/>
    <m/>
    <m/>
    <m/>
    <m/>
    <m/>
    <n v="0"/>
    <x v="2"/>
    <n v="0"/>
  </r>
  <r>
    <s v="77550.04"/>
    <s v="Wages - OT Customer Service"/>
    <m/>
    <m/>
    <m/>
    <m/>
    <m/>
    <m/>
    <n v="0"/>
    <x v="4"/>
    <n v="0"/>
  </r>
  <r>
    <s v="77550.05"/>
    <s v="Wages - Overtime Tech Support"/>
    <m/>
    <m/>
    <m/>
    <m/>
    <m/>
    <m/>
    <n v="0"/>
    <x v="4"/>
    <n v="0"/>
  </r>
  <r>
    <s v="77550.06"/>
    <s v="Wages - Overtime Manufacturing"/>
    <m/>
    <m/>
    <m/>
    <m/>
    <m/>
    <m/>
    <n v="0"/>
    <x v="1"/>
    <n v="0"/>
  </r>
  <r>
    <s v="77550.08"/>
    <s v="Wages - Overtime Acct/HR"/>
    <m/>
    <m/>
    <m/>
    <m/>
    <m/>
    <m/>
    <n v="0"/>
    <x v="4"/>
    <n v="0"/>
  </r>
  <r>
    <s v="77550.09"/>
    <s v="Wages - OT Installers"/>
    <m/>
    <m/>
    <m/>
    <m/>
    <m/>
    <m/>
    <n v="0"/>
    <x v="1"/>
    <n v="0"/>
  </r>
  <r>
    <s v="77550.12"/>
    <s v="2x Wage overtime"/>
    <m/>
    <m/>
    <m/>
    <m/>
    <m/>
    <m/>
    <n v="0"/>
    <x v="4"/>
    <n v="0"/>
  </r>
  <r>
    <s v="77550.13"/>
    <s v="Wages - OT Heli Pilot"/>
    <m/>
    <m/>
    <m/>
    <m/>
    <m/>
    <m/>
    <n v="0"/>
    <x v="4"/>
    <n v="0"/>
  </r>
  <r>
    <s v="77570"/>
    <s v="2X Labor Capitalization"/>
    <m/>
    <m/>
    <m/>
    <m/>
    <m/>
    <m/>
    <n v="0"/>
    <x v="4"/>
    <n v="0"/>
  </r>
  <r>
    <s v="77575"/>
    <s v="DPI Labor Caplitalization"/>
    <m/>
    <m/>
    <m/>
    <m/>
    <m/>
    <m/>
    <n v="0"/>
    <x v="4"/>
    <n v="0"/>
  </r>
  <r>
    <s v="77575.12"/>
    <s v="MFG Labor Capitalization"/>
    <m/>
    <m/>
    <m/>
    <m/>
    <m/>
    <m/>
    <n v="0"/>
    <x v="4"/>
    <n v="0"/>
  </r>
  <r>
    <s v="77580"/>
    <s v="2X Payroll Allocation"/>
    <m/>
    <m/>
    <m/>
    <n v="0"/>
    <n v="0"/>
    <m/>
    <n v="0"/>
    <x v="4"/>
    <n v="0"/>
  </r>
  <r>
    <s v="77590"/>
    <s v="2X Overhead Allocation"/>
    <m/>
    <m/>
    <m/>
    <s v=" "/>
    <n v="0"/>
    <m/>
    <n v="0"/>
    <x v="4"/>
    <n v="0"/>
  </r>
  <r>
    <s v="77591"/>
    <s v="DPA Overhead Allocation"/>
    <m/>
    <m/>
    <m/>
    <s v=" "/>
    <n v="0"/>
    <m/>
    <n v="0"/>
    <x v="4"/>
    <n v="0"/>
  </r>
  <r>
    <s v="63000"/>
    <s v="G&amp;A Overhead Allocation"/>
    <m/>
    <m/>
    <m/>
    <s v=" "/>
    <n v="0"/>
    <m/>
    <n v="0"/>
    <x v="4"/>
    <n v="0"/>
  </r>
  <r>
    <m/>
    <s v="G&amp;A Wages Allocation"/>
    <m/>
    <m/>
    <m/>
    <s v=" "/>
    <n v="0"/>
    <m/>
    <n v="0"/>
    <x v="4"/>
    <n v="0"/>
  </r>
  <r>
    <m/>
    <s v="G&amp;A Taxes &amp; Benefits"/>
    <m/>
    <m/>
    <m/>
    <s v=" "/>
    <n v="0"/>
    <m/>
    <n v="0"/>
    <x v="4"/>
    <n v="0"/>
  </r>
  <r>
    <s v="60550"/>
    <s v="Misc Warehouse"/>
    <m/>
    <m/>
    <m/>
    <n v="0"/>
    <m/>
    <m/>
    <n v="0"/>
    <x v="4"/>
    <n v="0"/>
  </r>
  <r>
    <s v="77600"/>
    <s v="Per Diem"/>
    <m/>
    <m/>
    <m/>
    <m/>
    <m/>
    <m/>
    <n v="0"/>
    <x v="4"/>
    <n v="0"/>
  </r>
  <r>
    <m/>
    <s v="Waste Disposal"/>
    <m/>
    <m/>
    <m/>
    <m/>
    <m/>
    <m/>
    <n v="0"/>
    <x v="4"/>
    <n v="0"/>
  </r>
  <r>
    <s v="77700"/>
    <s v="Pension &amp; Profit Sharing"/>
    <m/>
    <m/>
    <m/>
    <m/>
    <m/>
    <m/>
    <n v="0"/>
    <x v="4"/>
    <n v="0"/>
  </r>
  <r>
    <s v="78000"/>
    <s v="Utilities"/>
    <m/>
    <m/>
    <m/>
    <m/>
    <m/>
    <m/>
    <n v="0"/>
    <x v="4"/>
    <n v="0"/>
  </r>
  <r>
    <s v="89500"/>
    <s v="Other expense"/>
    <m/>
    <m/>
    <m/>
    <m/>
    <m/>
    <m/>
    <n v="0"/>
    <x v="4"/>
    <n v="0"/>
  </r>
  <r>
    <s v="90000"/>
    <s v="Gain / Loss on Sale of Assets"/>
    <m/>
    <m/>
    <m/>
    <m/>
    <m/>
    <m/>
    <n v="0"/>
    <x v="7"/>
    <n v="0"/>
  </r>
  <r>
    <s v="96500"/>
    <s v="Income Tax Expense"/>
    <m/>
    <m/>
    <m/>
    <m/>
    <m/>
    <m/>
    <n v="0"/>
    <x v="4"/>
    <n v="0"/>
  </r>
</pivotCacheRecords>
</file>

<file path=xl/pivotCache/pivotCacheRecords24.xml><?xml version="1.0" encoding="utf-8"?>
<pivotCacheRecords xmlns="http://schemas.openxmlformats.org/spreadsheetml/2006/main" xmlns:r="http://schemas.openxmlformats.org/officeDocument/2006/relationships" count="196">
  <r>
    <s v="10000"/>
    <s v="Petty Cash Fund"/>
    <m/>
    <m/>
    <m/>
    <m/>
    <m/>
    <m/>
    <n v="0"/>
    <x v="0"/>
    <n v="0"/>
  </r>
  <r>
    <s v="10000.01"/>
    <s v="Petty Cash Emergency fund"/>
    <m/>
    <m/>
    <m/>
    <m/>
    <m/>
    <m/>
    <n v="0"/>
    <x v="0"/>
    <n v="0"/>
  </r>
  <r>
    <s v="10050"/>
    <s v="Cash Box Call Center"/>
    <m/>
    <m/>
    <m/>
    <m/>
    <m/>
    <m/>
    <n v="0"/>
    <x v="0"/>
    <n v="0"/>
  </r>
  <r>
    <s v="10051"/>
    <s v="Per Diem"/>
    <m/>
    <m/>
    <m/>
    <m/>
    <m/>
    <m/>
    <n v="0"/>
    <x v="0"/>
    <n v="0"/>
  </r>
  <r>
    <s v="10175"/>
    <s v="US Bank 4245"/>
    <m/>
    <m/>
    <m/>
    <m/>
    <m/>
    <m/>
    <n v="0"/>
    <x v="0"/>
    <n v="0"/>
  </r>
  <r>
    <s v="10200"/>
    <s v="Rabobank Operating - 7057"/>
    <m/>
    <m/>
    <m/>
    <m/>
    <m/>
    <m/>
    <n v="0"/>
    <x v="0"/>
    <n v="0"/>
  </r>
  <r>
    <m/>
    <s v="East West Bank - 5237 2X"/>
    <m/>
    <m/>
    <m/>
    <m/>
    <m/>
    <m/>
    <n v="0"/>
    <x v="0"/>
    <n v="0"/>
  </r>
  <r>
    <s v="10445"/>
    <s v="East West Bank - 5211 Self Ins"/>
    <m/>
    <m/>
    <m/>
    <m/>
    <m/>
    <m/>
    <n v="0"/>
    <x v="0"/>
    <n v="0"/>
  </r>
  <r>
    <s v="10450"/>
    <s v="East West Bank - 3521 Savings"/>
    <m/>
    <m/>
    <m/>
    <m/>
    <m/>
    <m/>
    <n v="0"/>
    <x v="0"/>
    <n v="0"/>
  </r>
  <r>
    <s v="10455"/>
    <s v="East West Bank - 5229 CC Dep"/>
    <m/>
    <m/>
    <m/>
    <m/>
    <m/>
    <m/>
    <n v="0"/>
    <x v="0"/>
    <n v="0"/>
  </r>
  <r>
    <s v="10475"/>
    <s v="East West Bank - 3349 Gen Op"/>
    <m/>
    <m/>
    <m/>
    <m/>
    <m/>
    <m/>
    <n v="0"/>
    <x v="0"/>
    <n v="0"/>
  </r>
  <r>
    <s v="10480"/>
    <s v="East West Bank - 3802 CapX"/>
    <m/>
    <m/>
    <m/>
    <m/>
    <m/>
    <m/>
    <n v="0"/>
    <x v="0"/>
    <n v="0"/>
  </r>
  <r>
    <s v="10485"/>
    <s v="East West Bank - 3828 Payroll"/>
    <m/>
    <m/>
    <m/>
    <m/>
    <m/>
    <m/>
    <n v="0"/>
    <x v="0"/>
    <n v="0"/>
  </r>
  <r>
    <s v="10700"/>
    <s v="Credit Card Receivable"/>
    <m/>
    <m/>
    <m/>
    <m/>
    <m/>
    <m/>
    <n v="0"/>
    <x v="1"/>
    <n v="0"/>
  </r>
  <r>
    <s v="11000"/>
    <s v="Accounts Receivable - Service"/>
    <m/>
    <m/>
    <m/>
    <m/>
    <m/>
    <m/>
    <n v="0"/>
    <x v="1"/>
    <n v="0"/>
  </r>
  <r>
    <s v="11001"/>
    <s v="Accounts Receivable - Relays"/>
    <m/>
    <m/>
    <m/>
    <m/>
    <m/>
    <m/>
    <n v="0"/>
    <x v="1"/>
    <n v="0"/>
  </r>
  <r>
    <s v="11002"/>
    <s v="AR - Business Phone Sys #17"/>
    <m/>
    <m/>
    <m/>
    <m/>
    <m/>
    <m/>
    <n v="0"/>
    <x v="1"/>
    <n v="0"/>
  </r>
  <r>
    <s v="11100"/>
    <s v="Accounts Receivable- Wholesale"/>
    <m/>
    <m/>
    <m/>
    <m/>
    <m/>
    <m/>
    <n v="0"/>
    <x v="1"/>
    <n v="0"/>
  </r>
  <r>
    <s v="11116"/>
    <s v="Accounts Receivable - Misc"/>
    <m/>
    <m/>
    <m/>
    <m/>
    <m/>
    <m/>
    <n v="0"/>
    <x v="1"/>
    <n v="0"/>
  </r>
  <r>
    <s v="11118"/>
    <s v="AR - Business Services # 18"/>
    <m/>
    <m/>
    <m/>
    <m/>
    <m/>
    <m/>
    <n v="0"/>
    <x v="1"/>
    <n v="0"/>
  </r>
  <r>
    <s v="11120"/>
    <s v="Allowance for doubtful accts"/>
    <m/>
    <m/>
    <m/>
    <m/>
    <m/>
    <m/>
    <n v="0"/>
    <x v="1"/>
    <n v="0"/>
  </r>
  <r>
    <s v="13000"/>
    <s v="Employee Advance"/>
    <m/>
    <m/>
    <m/>
    <m/>
    <m/>
    <m/>
    <n v="0"/>
    <x v="2"/>
    <n v="0"/>
  </r>
  <r>
    <s v="13000.02"/>
    <s v="Owner Advance"/>
    <m/>
    <m/>
    <m/>
    <m/>
    <m/>
    <m/>
    <n v="0"/>
    <x v="3"/>
    <n v="0"/>
  </r>
  <r>
    <m/>
    <s v="2X Inventory"/>
    <m/>
    <m/>
    <m/>
    <m/>
    <m/>
    <m/>
    <n v="0"/>
    <x v="4"/>
    <n v="0"/>
  </r>
  <r>
    <s v="15302"/>
    <s v="Installation Supplies"/>
    <m/>
    <m/>
    <m/>
    <m/>
    <m/>
    <m/>
    <n v="0"/>
    <x v="2"/>
    <n v="0"/>
  </r>
  <r>
    <s v="15304"/>
    <s v="Installation Supplies NPN"/>
    <m/>
    <m/>
    <m/>
    <m/>
    <m/>
    <m/>
    <n v="0"/>
    <x v="2"/>
    <n v="0"/>
  </r>
  <r>
    <s v="15305"/>
    <s v="Cable Inventory"/>
    <m/>
    <m/>
    <m/>
    <m/>
    <m/>
    <m/>
    <n v="0"/>
    <x v="4"/>
    <n v="0"/>
  </r>
  <r>
    <s v="15401"/>
    <s v="Misc inventory - Legacy"/>
    <m/>
    <m/>
    <m/>
    <m/>
    <m/>
    <m/>
    <n v="0"/>
    <x v="4"/>
    <n v="0"/>
  </r>
  <r>
    <s v="18000"/>
    <s v="Prepaid expenses"/>
    <m/>
    <m/>
    <m/>
    <m/>
    <m/>
    <m/>
    <n v="0"/>
    <x v="5"/>
    <n v="0"/>
  </r>
  <r>
    <s v="18100"/>
    <s v="Prepaid Corp Income Taxes"/>
    <m/>
    <m/>
    <m/>
    <m/>
    <m/>
    <m/>
    <n v="0"/>
    <x v="5"/>
    <n v="0"/>
  </r>
  <r>
    <s v="18300"/>
    <s v="PrePaid Sales Tax"/>
    <m/>
    <m/>
    <m/>
    <m/>
    <m/>
    <m/>
    <n v="0"/>
    <x v="5"/>
    <n v="0"/>
  </r>
  <r>
    <s v="18400"/>
    <s v="Non Deployed Fixed Assets - NX"/>
    <m/>
    <m/>
    <m/>
    <m/>
    <m/>
    <m/>
    <n v="0"/>
    <x v="6"/>
    <n v="0"/>
  </r>
  <r>
    <s v="18500"/>
    <s v="Inventory - Non Net Exp"/>
    <m/>
    <m/>
    <m/>
    <m/>
    <m/>
    <m/>
    <n v="0"/>
    <x v="4"/>
    <n v="0"/>
  </r>
  <r>
    <s v="18600"/>
    <s v="Non-Deployed CPE &amp; AP's"/>
    <m/>
    <m/>
    <m/>
    <m/>
    <m/>
    <m/>
    <n v="0"/>
    <x v="6"/>
    <n v="0"/>
  </r>
  <r>
    <m/>
    <s v="Contra Account - Non-Deployed CPE"/>
    <m/>
    <m/>
    <m/>
    <m/>
    <m/>
    <n v="0"/>
    <n v="0"/>
    <x v="6"/>
    <n v="0"/>
  </r>
  <r>
    <s v="15100"/>
    <s v="Furniture"/>
    <m/>
    <m/>
    <m/>
    <m/>
    <m/>
    <m/>
    <n v="0"/>
    <x v="6"/>
    <n v="0"/>
  </r>
  <r>
    <s v="15300"/>
    <s v="CPE-Modems"/>
    <m/>
    <m/>
    <m/>
    <m/>
    <m/>
    <n v="0"/>
    <n v="0"/>
    <x v="6"/>
    <n v="0"/>
  </r>
  <r>
    <s v="15310"/>
    <s v="Phones"/>
    <m/>
    <m/>
    <m/>
    <m/>
    <m/>
    <m/>
    <n v="0"/>
    <x v="6"/>
    <n v="0"/>
  </r>
  <r>
    <s v="15400"/>
    <s v="Repeaters"/>
    <m/>
    <m/>
    <m/>
    <m/>
    <m/>
    <m/>
    <n v="0"/>
    <x v="6"/>
    <n v="0"/>
  </r>
  <r>
    <s v="15402"/>
    <s v="Miscellaneous Equipment"/>
    <m/>
    <m/>
    <m/>
    <m/>
    <m/>
    <m/>
    <n v="0"/>
    <x v="6"/>
    <n v="0"/>
  </r>
  <r>
    <s v="15410"/>
    <s v="Equipment 2X"/>
    <m/>
    <m/>
    <m/>
    <m/>
    <m/>
    <m/>
    <n v="0"/>
    <x v="6"/>
    <n v="0"/>
  </r>
  <r>
    <s v="15500"/>
    <s v="Computers &amp; Peripherial"/>
    <m/>
    <m/>
    <m/>
    <m/>
    <m/>
    <m/>
    <n v="0"/>
    <x v="6"/>
    <n v="0"/>
  </r>
  <r>
    <s v="15600"/>
    <s v="Gateway"/>
    <m/>
    <m/>
    <m/>
    <m/>
    <m/>
    <m/>
    <n v="0"/>
    <x v="6"/>
    <n v="0"/>
  </r>
  <r>
    <s v="15600.01"/>
    <s v="Microwave Network"/>
    <m/>
    <m/>
    <m/>
    <m/>
    <m/>
    <m/>
    <n v="0"/>
    <x v="6"/>
    <n v="0"/>
  </r>
  <r>
    <s v="15600.02"/>
    <s v="Network Infastructure Labor"/>
    <m/>
    <m/>
    <m/>
    <m/>
    <m/>
    <m/>
    <n v="0"/>
    <x v="6"/>
    <n v="0"/>
  </r>
  <r>
    <s v="15700"/>
    <s v="Software"/>
    <m/>
    <m/>
    <m/>
    <m/>
    <m/>
    <m/>
    <n v="0"/>
    <x v="6"/>
    <n v="0"/>
  </r>
  <r>
    <s v="15700.01"/>
    <s v="Software Labor"/>
    <m/>
    <m/>
    <m/>
    <m/>
    <m/>
    <m/>
    <n v="0"/>
    <x v="7"/>
    <n v="0"/>
  </r>
  <r>
    <s v="15800"/>
    <s v="Vehicles"/>
    <m/>
    <m/>
    <m/>
    <m/>
    <m/>
    <m/>
    <n v="0"/>
    <x v="6"/>
    <n v="0"/>
  </r>
  <r>
    <s v="15000"/>
    <s v="Heliocopter"/>
    <m/>
    <m/>
    <m/>
    <m/>
    <m/>
    <m/>
    <n v="0"/>
    <x v="6"/>
    <n v="0"/>
  </r>
  <r>
    <s v="15900"/>
    <s v="Leasehold Improvements"/>
    <m/>
    <m/>
    <m/>
    <m/>
    <m/>
    <m/>
    <n v="0"/>
    <x v="6"/>
    <n v="0"/>
  </r>
  <r>
    <s v="16100"/>
    <s v="Property"/>
    <m/>
    <m/>
    <m/>
    <m/>
    <m/>
    <m/>
    <n v="0"/>
    <x v="6"/>
    <n v="0"/>
  </r>
  <r>
    <s v="17100"/>
    <s v="Accum Depr-Furniture"/>
    <m/>
    <m/>
    <m/>
    <m/>
    <m/>
    <m/>
    <n v="0"/>
    <x v="6"/>
    <n v="0"/>
  </r>
  <r>
    <s v="17200"/>
    <s v="Accum Depr-Micro Network"/>
    <m/>
    <m/>
    <m/>
    <m/>
    <m/>
    <m/>
    <n v="0"/>
    <x v="6"/>
    <n v="0"/>
  </r>
  <r>
    <s v="17200.01"/>
    <s v="Network Infrastructure Labor"/>
    <m/>
    <m/>
    <m/>
    <m/>
    <m/>
    <m/>
    <n v="0"/>
    <x v="6"/>
    <n v="0"/>
  </r>
  <r>
    <m/>
    <s v="Accum Depr - Heliocopter"/>
    <m/>
    <m/>
    <m/>
    <m/>
    <m/>
    <m/>
    <n v="0"/>
    <x v="6"/>
    <n v="0"/>
  </r>
  <r>
    <s v="17300"/>
    <s v="Accum Depr-CPE Modems"/>
    <m/>
    <m/>
    <m/>
    <m/>
    <m/>
    <m/>
    <n v="0"/>
    <x v="6"/>
    <n v="0"/>
  </r>
  <r>
    <s v="17310"/>
    <s v="Accum Depr - Phones"/>
    <m/>
    <m/>
    <m/>
    <m/>
    <m/>
    <m/>
    <n v="0"/>
    <x v="6"/>
    <n v="0"/>
  </r>
  <r>
    <s v="17400"/>
    <s v="Accum Depr-Repeater"/>
    <m/>
    <m/>
    <m/>
    <m/>
    <m/>
    <m/>
    <n v="0"/>
    <x v="6"/>
    <n v="0"/>
  </r>
  <r>
    <s v="17402"/>
    <s v="Accum Depr - Equipment"/>
    <m/>
    <m/>
    <m/>
    <m/>
    <m/>
    <m/>
    <n v="0"/>
    <x v="6"/>
    <n v="0"/>
  </r>
  <r>
    <s v="17410"/>
    <s v="Accum Depre - 2X Equipment"/>
    <m/>
    <m/>
    <m/>
    <m/>
    <m/>
    <m/>
    <n v="0"/>
    <x v="6"/>
    <n v="0"/>
  </r>
  <r>
    <s v="17500"/>
    <s v="Accum Depr-Computer"/>
    <m/>
    <m/>
    <m/>
    <m/>
    <m/>
    <m/>
    <n v="0"/>
    <x v="6"/>
    <n v="0"/>
  </r>
  <r>
    <s v="17600"/>
    <s v="Accum Depr-Gateway"/>
    <m/>
    <m/>
    <m/>
    <m/>
    <m/>
    <m/>
    <n v="0"/>
    <x v="6"/>
    <n v="0"/>
  </r>
  <r>
    <s v="17700"/>
    <s v="Accum-Depr-Software"/>
    <m/>
    <m/>
    <m/>
    <m/>
    <m/>
    <m/>
    <n v="0"/>
    <x v="6"/>
    <n v="0"/>
  </r>
  <r>
    <s v="17700.01"/>
    <s v="Accum Depr Software Labor"/>
    <m/>
    <m/>
    <m/>
    <m/>
    <m/>
    <m/>
    <n v="0"/>
    <x v="7"/>
    <n v="0"/>
  </r>
  <r>
    <s v="17710"/>
    <s v="Accum Dep - LHI"/>
    <m/>
    <m/>
    <m/>
    <m/>
    <m/>
    <m/>
    <n v="0"/>
    <x v="6"/>
    <n v="0"/>
  </r>
  <r>
    <s v="17800"/>
    <s v="Accum Depr-Vehicles"/>
    <m/>
    <m/>
    <m/>
    <m/>
    <m/>
    <m/>
    <n v="0"/>
    <x v="6"/>
    <n v="0"/>
  </r>
  <r>
    <s v="11250"/>
    <s v="Note Receiveable 2X Wireless"/>
    <m/>
    <m/>
    <m/>
    <m/>
    <n v="0"/>
    <m/>
    <n v="0"/>
    <x v="8"/>
    <n v="0"/>
  </r>
  <r>
    <s v="11275"/>
    <s v="Note Receivable DP Aviation"/>
    <m/>
    <m/>
    <m/>
    <m/>
    <n v="0"/>
    <m/>
    <n v="0"/>
    <x v="8"/>
    <n v="0"/>
  </r>
  <r>
    <s v="19000"/>
    <s v="Deposits"/>
    <m/>
    <m/>
    <m/>
    <m/>
    <m/>
    <m/>
    <n v="0"/>
    <x v="2"/>
    <n v="0"/>
  </r>
  <r>
    <s v="19030"/>
    <s v="Prepaid Property Taxes"/>
    <m/>
    <m/>
    <m/>
    <m/>
    <m/>
    <m/>
    <n v="0"/>
    <x v="5"/>
    <n v="0"/>
  </r>
  <r>
    <s v="19300"/>
    <s v="Patent"/>
    <m/>
    <m/>
    <m/>
    <m/>
    <m/>
    <m/>
    <n v="0"/>
    <x v="9"/>
    <n v="0"/>
  </r>
  <r>
    <s v="19350"/>
    <s v="Accumulated Amort - Patent"/>
    <m/>
    <m/>
    <m/>
    <m/>
    <m/>
    <m/>
    <n v="0"/>
    <x v="9"/>
    <n v="0"/>
  </r>
  <r>
    <s v="19567"/>
    <s v="Capitalized Loan costs"/>
    <m/>
    <m/>
    <m/>
    <m/>
    <m/>
    <m/>
    <n v="0"/>
    <x v="10"/>
    <n v="0"/>
  </r>
  <r>
    <s v="19570"/>
    <s v="Accumulated Amort - Loan Costs"/>
    <m/>
    <m/>
    <m/>
    <m/>
    <m/>
    <m/>
    <n v="0"/>
    <x v="10"/>
    <n v="0"/>
  </r>
  <r>
    <s v="19600"/>
    <s v="Investment in 2X Wireless"/>
    <m/>
    <m/>
    <m/>
    <n v="0"/>
    <m/>
    <m/>
    <n v="0"/>
    <x v="8"/>
    <n v="0"/>
  </r>
  <r>
    <s v="19700"/>
    <s v="Investment in DP Aviation"/>
    <m/>
    <m/>
    <m/>
    <n v="0"/>
    <m/>
    <m/>
    <n v="0"/>
    <x v="8"/>
    <n v="0"/>
  </r>
  <r>
    <s v="20000"/>
    <s v="Accounts Payable"/>
    <m/>
    <m/>
    <m/>
    <m/>
    <m/>
    <m/>
    <n v="0"/>
    <x v="11"/>
    <n v="0"/>
  </r>
  <r>
    <s v="20100"/>
    <s v="Accrued Expenses"/>
    <m/>
    <m/>
    <m/>
    <m/>
    <m/>
    <m/>
    <n v="0"/>
    <x v="12"/>
    <n v="0"/>
  </r>
  <r>
    <s v="20100.01"/>
    <s v="Accrued self insurance"/>
    <m/>
    <m/>
    <m/>
    <m/>
    <m/>
    <m/>
    <n v="0"/>
    <x v="12"/>
    <n v="0"/>
  </r>
  <r>
    <s v="21000"/>
    <s v="Payroll Payable"/>
    <m/>
    <m/>
    <m/>
    <m/>
    <m/>
    <m/>
    <n v="0"/>
    <x v="12"/>
    <n v="0"/>
  </r>
  <r>
    <s v="21050"/>
    <s v="Payroll Tax Payable"/>
    <m/>
    <m/>
    <m/>
    <m/>
    <m/>
    <m/>
    <n v="0"/>
    <x v="12"/>
    <n v="0"/>
  </r>
  <r>
    <s v="21100"/>
    <s v="PTO Payable"/>
    <m/>
    <m/>
    <m/>
    <m/>
    <m/>
    <m/>
    <n v="0"/>
    <x v="12"/>
    <n v="0"/>
  </r>
  <r>
    <s v="23100"/>
    <s v="Sales/Use Tax Payable"/>
    <m/>
    <m/>
    <m/>
    <m/>
    <m/>
    <m/>
    <n v="0"/>
    <x v="12"/>
    <n v="0"/>
  </r>
  <r>
    <s v="24948"/>
    <s v="083 N/P - 2012 Dodge Ram"/>
    <m/>
    <m/>
    <m/>
    <m/>
    <m/>
    <m/>
    <n v="0"/>
    <x v="13"/>
    <n v="0"/>
  </r>
  <r>
    <s v="24958"/>
    <s v="091 L/P - 2X  US Bank"/>
    <m/>
    <m/>
    <m/>
    <m/>
    <m/>
    <m/>
    <n v="0"/>
    <x v="13"/>
    <n v="0"/>
  </r>
  <r>
    <s v="24962"/>
    <s v="095 L/P - JB2 Funding"/>
    <m/>
    <m/>
    <m/>
    <m/>
    <m/>
    <m/>
    <n v="0"/>
    <x v="13"/>
    <n v="0"/>
  </r>
  <r>
    <s v="24965"/>
    <s v="098 L/P - Key Equipment"/>
    <m/>
    <m/>
    <m/>
    <m/>
    <m/>
    <m/>
    <n v="0"/>
    <x v="13"/>
    <n v="0"/>
  </r>
  <r>
    <s v="24966"/>
    <s v="099 L/P - Summit"/>
    <m/>
    <m/>
    <m/>
    <m/>
    <m/>
    <m/>
    <n v="0"/>
    <x v="13"/>
    <n v="0"/>
  </r>
  <r>
    <s v="24967"/>
    <s v="100 L/P - Frame 1"/>
    <m/>
    <m/>
    <m/>
    <m/>
    <m/>
    <m/>
    <n v="0"/>
    <x v="13"/>
    <n v="0"/>
  </r>
  <r>
    <s v="24968"/>
    <s v="101 L/P - CIT"/>
    <m/>
    <m/>
    <m/>
    <m/>
    <m/>
    <m/>
    <n v="0"/>
    <x v="13"/>
    <n v="0"/>
  </r>
  <r>
    <s v="24970"/>
    <s v="103 L/P - Element"/>
    <m/>
    <m/>
    <m/>
    <m/>
    <m/>
    <m/>
    <n v="0"/>
    <x v="13"/>
    <n v="0"/>
  </r>
  <r>
    <s v="24971"/>
    <s v="104 L/P - Fame 1 - Leaf"/>
    <m/>
    <m/>
    <m/>
    <m/>
    <m/>
    <m/>
    <n v="0"/>
    <x v="13"/>
    <n v="0"/>
  </r>
  <r>
    <s v="24973"/>
    <s v="106 L/P - EverBank"/>
    <m/>
    <m/>
    <m/>
    <m/>
    <m/>
    <m/>
    <n v="0"/>
    <x v="13"/>
    <n v="0"/>
  </r>
  <r>
    <s v="24977"/>
    <s v="110 L/P - Western Equipment"/>
    <m/>
    <m/>
    <m/>
    <m/>
    <m/>
    <m/>
    <n v="0"/>
    <x v="13"/>
    <n v="0"/>
  </r>
  <r>
    <s v="24979"/>
    <s v="112 L/P - Arlington"/>
    <m/>
    <m/>
    <m/>
    <m/>
    <m/>
    <m/>
    <n v="0"/>
    <x v="13"/>
    <n v="0"/>
  </r>
  <r>
    <s v="24981"/>
    <s v="114 L/P - Nec"/>
    <m/>
    <m/>
    <m/>
    <m/>
    <m/>
    <m/>
    <n v="0"/>
    <x v="13"/>
    <n v="0"/>
  </r>
  <r>
    <s v="24984"/>
    <s v="117 L/P - HP Financial"/>
    <m/>
    <m/>
    <m/>
    <m/>
    <m/>
    <m/>
    <n v="0"/>
    <x v="13"/>
    <n v="0"/>
  </r>
  <r>
    <s v="24986"/>
    <s v="119 L/P - Element"/>
    <m/>
    <m/>
    <m/>
    <m/>
    <m/>
    <m/>
    <n v="0"/>
    <x v="13"/>
    <n v="0"/>
  </r>
  <r>
    <s v="24988"/>
    <s v="121 L/P - Banc of Calif"/>
    <m/>
    <m/>
    <m/>
    <m/>
    <m/>
    <m/>
    <n v="0"/>
    <x v="13"/>
    <n v="0"/>
  </r>
  <r>
    <s v="25001"/>
    <s v="Credit Card AmEx 3000"/>
    <m/>
    <m/>
    <m/>
    <m/>
    <m/>
    <m/>
    <n v="0"/>
    <x v="11"/>
    <n v="0"/>
  </r>
  <r>
    <s v="25001.01"/>
    <s v="Credit Card AMEX 1019"/>
    <m/>
    <m/>
    <m/>
    <m/>
    <m/>
    <m/>
    <n v="0"/>
    <x v="11"/>
    <n v="0"/>
  </r>
  <r>
    <s v="25003"/>
    <s v="Credit Card Home Depot"/>
    <m/>
    <m/>
    <m/>
    <m/>
    <m/>
    <m/>
    <n v="0"/>
    <x v="11"/>
    <n v="0"/>
  </r>
  <r>
    <s v="25004"/>
    <s v="Credit Card Chase 8093 - 3079"/>
    <m/>
    <m/>
    <m/>
    <m/>
    <m/>
    <m/>
    <n v="0"/>
    <x v="11"/>
    <n v="0"/>
  </r>
  <r>
    <s v="25005"/>
    <s v="Credit Card United 6664 - 5834"/>
    <m/>
    <m/>
    <m/>
    <m/>
    <m/>
    <m/>
    <n v="0"/>
    <x v="11"/>
    <n v="0"/>
  </r>
  <r>
    <s v="25006"/>
    <s v="Credit Card Chas 5756 Employee"/>
    <m/>
    <m/>
    <m/>
    <m/>
    <m/>
    <m/>
    <n v="0"/>
    <x v="11"/>
    <n v="0"/>
  </r>
  <r>
    <s v="25007"/>
    <s v="Credit Card  AM EX CostCo 1008"/>
    <m/>
    <m/>
    <m/>
    <m/>
    <m/>
    <m/>
    <n v="0"/>
    <x v="11"/>
    <n v="0"/>
  </r>
  <r>
    <s v="25008"/>
    <s v="Credit Card Capital One"/>
    <m/>
    <m/>
    <m/>
    <m/>
    <m/>
    <m/>
    <n v="0"/>
    <x v="11"/>
    <n v="0"/>
  </r>
  <r>
    <s v="25008.01"/>
    <s v="Capital One"/>
    <m/>
    <m/>
    <m/>
    <m/>
    <m/>
    <m/>
    <n v="0"/>
    <x v="11"/>
    <n v="0"/>
  </r>
  <r>
    <s v="25012"/>
    <s v="Credit CardChase - United 9064"/>
    <m/>
    <m/>
    <m/>
    <m/>
    <m/>
    <m/>
    <n v="0"/>
    <x v="11"/>
    <n v="0"/>
  </r>
  <r>
    <s v="25015"/>
    <s v="126 L/P - Summit"/>
    <m/>
    <m/>
    <m/>
    <m/>
    <m/>
    <m/>
    <n v="0"/>
    <x v="13"/>
    <n v="0"/>
  </r>
  <r>
    <s v="25018"/>
    <s v="129 L/P - Western"/>
    <m/>
    <m/>
    <m/>
    <m/>
    <m/>
    <m/>
    <n v="0"/>
    <x v="13"/>
    <n v="0"/>
  </r>
  <r>
    <s v="25019"/>
    <s v="130 L/P - De Lage Landen"/>
    <m/>
    <m/>
    <m/>
    <m/>
    <m/>
    <m/>
    <n v="0"/>
    <x v="13"/>
    <n v="0"/>
  </r>
  <r>
    <s v="25020"/>
    <s v="131 L/P - Element"/>
    <m/>
    <m/>
    <m/>
    <m/>
    <m/>
    <m/>
    <n v="0"/>
    <x v="13"/>
    <n v="0"/>
  </r>
  <r>
    <s v="25029"/>
    <s v="139 L/P - Western"/>
    <m/>
    <m/>
    <m/>
    <m/>
    <m/>
    <m/>
    <n v="0"/>
    <x v="13"/>
    <n v="0"/>
  </r>
  <r>
    <s v="25031"/>
    <s v="142 L/P - US Bank Copier"/>
    <m/>
    <m/>
    <m/>
    <m/>
    <m/>
    <m/>
    <n v="0"/>
    <x v="13"/>
    <n v="0"/>
  </r>
  <r>
    <s v="25033"/>
    <s v="144 L/P - WISPer"/>
    <m/>
    <m/>
    <m/>
    <m/>
    <m/>
    <m/>
    <n v="0"/>
    <x v="13"/>
    <n v="0"/>
  </r>
  <r>
    <s v="25034"/>
    <s v="145 L/P - EverBank"/>
    <m/>
    <m/>
    <m/>
    <m/>
    <m/>
    <m/>
    <n v="0"/>
    <x v="13"/>
    <n v="0"/>
  </r>
  <r>
    <s v="25035"/>
    <s v="146 L/P - WISPer"/>
    <m/>
    <m/>
    <m/>
    <m/>
    <m/>
    <m/>
    <n v="0"/>
    <x v="13"/>
    <n v="0"/>
  </r>
  <r>
    <s v="25036"/>
    <s v="147 L/P - WISPer"/>
    <m/>
    <m/>
    <m/>
    <m/>
    <m/>
    <m/>
    <n v="0"/>
    <x v="13"/>
    <n v="0"/>
  </r>
  <r>
    <s v="25037"/>
    <s v="148 L/P - Axis Capital"/>
    <m/>
    <m/>
    <m/>
    <m/>
    <m/>
    <m/>
    <n v="0"/>
    <x v="13"/>
    <n v="0"/>
  </r>
  <r>
    <s v="25038"/>
    <s v="149 L/P - Axis Capital"/>
    <m/>
    <m/>
    <m/>
    <m/>
    <m/>
    <m/>
    <n v="0"/>
    <x v="13"/>
    <n v="0"/>
  </r>
  <r>
    <s v="25039"/>
    <s v="150 L/P - WISPer 4"/>
    <m/>
    <m/>
    <m/>
    <m/>
    <m/>
    <m/>
    <n v="0"/>
    <x v="13"/>
    <n v="0"/>
  </r>
  <r>
    <s v="25040"/>
    <s v="151 N/P - 2016 Ford F350"/>
    <m/>
    <m/>
    <m/>
    <m/>
    <m/>
    <m/>
    <n v="0"/>
    <x v="13"/>
    <n v="0"/>
  </r>
  <r>
    <s v="25041"/>
    <s v="152 L/P - AXIS CAPITAL"/>
    <m/>
    <m/>
    <m/>
    <m/>
    <m/>
    <m/>
    <n v="0"/>
    <x v="13"/>
    <n v="0"/>
  </r>
  <r>
    <s v="25042"/>
    <s v="153 L/p - Jules"/>
    <m/>
    <m/>
    <m/>
    <m/>
    <m/>
    <m/>
    <n v="0"/>
    <x v="13"/>
    <n v="0"/>
  </r>
  <r>
    <s v="25043"/>
    <s v="154 L/P - Jules 3"/>
    <m/>
    <m/>
    <m/>
    <m/>
    <m/>
    <m/>
    <n v="0"/>
    <x v="13"/>
    <n v="0"/>
  </r>
  <r>
    <s v="25044"/>
    <s v="155 L/P - Axis Capital 4"/>
    <m/>
    <m/>
    <m/>
    <m/>
    <m/>
    <m/>
    <n v="0"/>
    <x v="13"/>
    <n v="0"/>
  </r>
  <r>
    <s v="25045"/>
    <s v="156 L/P - Axis Capital 5"/>
    <m/>
    <m/>
    <m/>
    <m/>
    <m/>
    <m/>
    <n v="0"/>
    <x v="13"/>
    <n v="0"/>
  </r>
  <r>
    <s v="25046"/>
    <s v="157 L/P - Jules 4"/>
    <m/>
    <m/>
    <m/>
    <m/>
    <m/>
    <m/>
    <n v="0"/>
    <x v="13"/>
    <n v="0"/>
  </r>
  <r>
    <s v="25048"/>
    <s v="159 L/P - Jules 6"/>
    <m/>
    <m/>
    <m/>
    <m/>
    <m/>
    <m/>
    <n v="0"/>
    <x v="13"/>
    <n v="0"/>
  </r>
  <r>
    <s v="25049"/>
    <s v="160 L/P - Technology Finance"/>
    <m/>
    <m/>
    <m/>
    <m/>
    <m/>
    <m/>
    <n v="0"/>
    <x v="13"/>
    <n v="0"/>
  </r>
  <r>
    <s v="25050"/>
    <s v="161 L/P - Alliance Funding"/>
    <m/>
    <m/>
    <m/>
    <m/>
    <m/>
    <m/>
    <n v="0"/>
    <x v="13"/>
    <n v="0"/>
  </r>
  <r>
    <s v="25051"/>
    <s v="162 L/P - Susquehanna"/>
    <m/>
    <m/>
    <m/>
    <m/>
    <m/>
    <m/>
    <n v="0"/>
    <x v="13"/>
    <n v="0"/>
  </r>
  <r>
    <s v="25052"/>
    <s v="163 L/P - Jules 5"/>
    <m/>
    <m/>
    <m/>
    <m/>
    <m/>
    <m/>
    <n v="0"/>
    <x v="13"/>
    <n v="0"/>
  </r>
  <r>
    <s v="25053"/>
    <s v="164 L/P -  TFC 5"/>
    <m/>
    <m/>
    <m/>
    <m/>
    <m/>
    <m/>
    <n v="0"/>
    <x v="13"/>
    <n v="0"/>
  </r>
  <r>
    <s v="25054"/>
    <s v="165 L/P - TFC 6"/>
    <m/>
    <m/>
    <m/>
    <m/>
    <m/>
    <m/>
    <n v="0"/>
    <x v="13"/>
    <n v="0"/>
  </r>
  <r>
    <s v="25055"/>
    <s v="166 L/P - TFC 7"/>
    <m/>
    <m/>
    <m/>
    <m/>
    <m/>
    <m/>
    <n v="0"/>
    <x v="13"/>
    <n v="0"/>
  </r>
  <r>
    <s v="25057"/>
    <s v="168 N/P - TFC 8"/>
    <m/>
    <m/>
    <m/>
    <m/>
    <m/>
    <m/>
    <n v="0"/>
    <x v="13"/>
    <n v="0"/>
  </r>
  <r>
    <s v="25058"/>
    <s v="169 N/P - East West Bank - C"/>
    <m/>
    <m/>
    <m/>
    <m/>
    <m/>
    <m/>
    <n v="0"/>
    <x v="13"/>
    <n v="0"/>
  </r>
  <r>
    <s v="26900"/>
    <s v="Deferred Revenue"/>
    <m/>
    <m/>
    <m/>
    <m/>
    <m/>
    <m/>
    <n v="0"/>
    <x v="14"/>
    <n v="0"/>
  </r>
  <r>
    <s v="26900.01"/>
    <s v="DR HOLDING"/>
    <m/>
    <m/>
    <m/>
    <m/>
    <m/>
    <m/>
    <n v="0"/>
    <x v="14"/>
    <n v="0"/>
  </r>
  <r>
    <s v="26910"/>
    <s v="Deferred Revenuse Wholesale"/>
    <m/>
    <m/>
    <m/>
    <m/>
    <m/>
    <m/>
    <n v="0"/>
    <x v="14"/>
    <n v="0"/>
  </r>
  <r>
    <s v="26920"/>
    <s v="Deferred Revenue Other"/>
    <m/>
    <m/>
    <m/>
    <m/>
    <m/>
    <m/>
    <n v="0"/>
    <x v="14"/>
    <n v="0"/>
  </r>
  <r>
    <s v="26940"/>
    <s v="Deferred Revenue Comm Impact"/>
    <m/>
    <m/>
    <m/>
    <m/>
    <m/>
    <m/>
    <n v="0"/>
    <x v="14"/>
    <n v="0"/>
  </r>
  <r>
    <s v="26951"/>
    <s v="Deferred Revenue Bus Services"/>
    <m/>
    <m/>
    <m/>
    <m/>
    <m/>
    <m/>
    <n v="0"/>
    <x v="14"/>
    <n v="0"/>
  </r>
  <r>
    <s v="27948"/>
    <s v="083 N/P - 2012 Dodge Ram"/>
    <m/>
    <m/>
    <m/>
    <m/>
    <m/>
    <m/>
    <n v="0"/>
    <x v="10"/>
    <n v="0"/>
  </r>
  <r>
    <s v="27968"/>
    <s v="101 L/P - CIT"/>
    <m/>
    <m/>
    <m/>
    <m/>
    <m/>
    <m/>
    <n v="0"/>
    <x v="10"/>
    <n v="0"/>
  </r>
  <r>
    <s v="27970"/>
    <s v="103 L/P - Element"/>
    <m/>
    <m/>
    <m/>
    <m/>
    <m/>
    <m/>
    <n v="0"/>
    <x v="10"/>
    <n v="0"/>
  </r>
  <r>
    <s v="27971"/>
    <s v="104 L/P - Fame 1 - Leaf"/>
    <m/>
    <m/>
    <m/>
    <m/>
    <m/>
    <m/>
    <n v="0"/>
    <x v="10"/>
    <n v="0"/>
  </r>
  <r>
    <s v="27973"/>
    <s v="106 L/P - EverBank"/>
    <m/>
    <m/>
    <m/>
    <m/>
    <m/>
    <m/>
    <n v="0"/>
    <x v="10"/>
    <n v="0"/>
  </r>
  <r>
    <s v="27977"/>
    <s v="110 L/P - Western Equipment"/>
    <m/>
    <m/>
    <m/>
    <m/>
    <m/>
    <m/>
    <n v="0"/>
    <x v="10"/>
    <n v="0"/>
  </r>
  <r>
    <s v="27979"/>
    <s v="112 L/P - Arlington"/>
    <m/>
    <m/>
    <m/>
    <m/>
    <m/>
    <m/>
    <n v="0"/>
    <x v="10"/>
    <n v="0"/>
  </r>
  <r>
    <s v="27981"/>
    <s v="114 L/P - Nec"/>
    <m/>
    <m/>
    <m/>
    <m/>
    <m/>
    <m/>
    <n v="0"/>
    <x v="10"/>
    <n v="0"/>
  </r>
  <r>
    <s v="27984"/>
    <s v="117 L/P - HP Financial"/>
    <m/>
    <m/>
    <m/>
    <m/>
    <m/>
    <m/>
    <n v="0"/>
    <x v="10"/>
    <n v="0"/>
  </r>
  <r>
    <s v="27986"/>
    <s v="119 L/P - Element"/>
    <m/>
    <m/>
    <m/>
    <m/>
    <m/>
    <m/>
    <n v="0"/>
    <x v="10"/>
    <n v="0"/>
  </r>
  <r>
    <s v="27988"/>
    <s v="121 L/P - Banc of Calif"/>
    <m/>
    <m/>
    <m/>
    <m/>
    <m/>
    <m/>
    <n v="0"/>
    <x v="10"/>
    <n v="0"/>
  </r>
  <r>
    <s v="28015"/>
    <s v="126 L/P - Summit"/>
    <m/>
    <m/>
    <m/>
    <m/>
    <m/>
    <m/>
    <n v="0"/>
    <x v="10"/>
    <n v="0"/>
  </r>
  <r>
    <s v="28018"/>
    <s v="129 L/P - Western"/>
    <m/>
    <m/>
    <m/>
    <m/>
    <m/>
    <m/>
    <n v="0"/>
    <x v="10"/>
    <n v="0"/>
  </r>
  <r>
    <s v="28019"/>
    <s v="130 L/P - De Lage Landen"/>
    <m/>
    <m/>
    <m/>
    <m/>
    <m/>
    <m/>
    <n v="0"/>
    <x v="10"/>
    <n v="0"/>
  </r>
  <r>
    <s v="28020"/>
    <s v="131 L/P -  Element"/>
    <m/>
    <m/>
    <m/>
    <m/>
    <m/>
    <m/>
    <n v="0"/>
    <x v="10"/>
    <n v="0"/>
  </r>
  <r>
    <s v="28029"/>
    <s v="139 L/P - Western"/>
    <m/>
    <m/>
    <m/>
    <m/>
    <m/>
    <m/>
    <n v="0"/>
    <x v="10"/>
    <n v="0"/>
  </r>
  <r>
    <s v="28031"/>
    <s v="142 L/P - US Bank Copier"/>
    <m/>
    <m/>
    <m/>
    <m/>
    <m/>
    <m/>
    <n v="0"/>
    <x v="10"/>
    <n v="0"/>
  </r>
  <r>
    <s v="28033"/>
    <s v="144 L/P - WISPer"/>
    <m/>
    <m/>
    <m/>
    <m/>
    <m/>
    <m/>
    <n v="0"/>
    <x v="10"/>
    <n v="0"/>
  </r>
  <r>
    <s v="28034"/>
    <s v="145 L/P - EverBank"/>
    <m/>
    <m/>
    <m/>
    <m/>
    <m/>
    <m/>
    <n v="0"/>
    <x v="10"/>
    <n v="0"/>
  </r>
  <r>
    <s v="28035"/>
    <s v="146 L/P - WISPer"/>
    <m/>
    <m/>
    <m/>
    <m/>
    <m/>
    <m/>
    <n v="0"/>
    <x v="10"/>
    <n v="0"/>
  </r>
  <r>
    <s v="28036"/>
    <s v="147 L/P - WISPer"/>
    <m/>
    <m/>
    <m/>
    <m/>
    <m/>
    <m/>
    <n v="0"/>
    <x v="10"/>
    <n v="0"/>
  </r>
  <r>
    <s v="28037"/>
    <s v="148 L/P Axis Capital"/>
    <m/>
    <m/>
    <m/>
    <m/>
    <m/>
    <m/>
    <n v="0"/>
    <x v="10"/>
    <n v="0"/>
  </r>
  <r>
    <s v="28038"/>
    <s v="149 L/P - Axis Capital"/>
    <m/>
    <m/>
    <m/>
    <m/>
    <m/>
    <m/>
    <n v="0"/>
    <x v="10"/>
    <n v="0"/>
  </r>
  <r>
    <s v="28039"/>
    <s v="150 L/P - WISPer 4"/>
    <m/>
    <m/>
    <m/>
    <m/>
    <m/>
    <m/>
    <n v="0"/>
    <x v="10"/>
    <n v="0"/>
  </r>
  <r>
    <s v="28040"/>
    <s v="151 N/P - 2016 Ford F350"/>
    <m/>
    <m/>
    <m/>
    <m/>
    <m/>
    <m/>
    <n v="0"/>
    <x v="10"/>
    <n v="0"/>
  </r>
  <r>
    <s v="28041"/>
    <s v="152 L/P - AXIS CAPITAL"/>
    <m/>
    <m/>
    <m/>
    <m/>
    <m/>
    <m/>
    <n v="0"/>
    <x v="10"/>
    <n v="0"/>
  </r>
  <r>
    <s v="28042"/>
    <s v="153 L/p - Jules"/>
    <m/>
    <m/>
    <m/>
    <m/>
    <m/>
    <m/>
    <n v="0"/>
    <x v="10"/>
    <n v="0"/>
  </r>
  <r>
    <s v="28043"/>
    <s v="154 L/P - Jules 3"/>
    <m/>
    <m/>
    <m/>
    <m/>
    <m/>
    <m/>
    <n v="0"/>
    <x v="10"/>
    <n v="0"/>
  </r>
  <r>
    <s v="28044"/>
    <s v="155 L/P - Axis Capital 4"/>
    <m/>
    <m/>
    <m/>
    <m/>
    <m/>
    <m/>
    <n v="0"/>
    <x v="10"/>
    <n v="0"/>
  </r>
  <r>
    <s v="28045"/>
    <s v="156 L/P - Axis Capital 5"/>
    <m/>
    <m/>
    <m/>
    <m/>
    <m/>
    <m/>
    <n v="0"/>
    <x v="10"/>
    <n v="0"/>
  </r>
  <r>
    <s v="28046"/>
    <s v="157 L/P - Jules 4"/>
    <m/>
    <m/>
    <m/>
    <m/>
    <m/>
    <m/>
    <n v="0"/>
    <x v="10"/>
    <n v="0"/>
  </r>
  <r>
    <s v="28048"/>
    <s v="159 L/P - Jules 6"/>
    <m/>
    <m/>
    <m/>
    <m/>
    <m/>
    <m/>
    <n v="0"/>
    <x v="10"/>
    <n v="0"/>
  </r>
  <r>
    <s v="28049"/>
    <s v="160 L/P - Technology Finance"/>
    <m/>
    <m/>
    <m/>
    <m/>
    <m/>
    <m/>
    <n v="0"/>
    <x v="10"/>
    <n v="0"/>
  </r>
  <r>
    <s v="28050"/>
    <s v="161 L/P - Alliance Funding"/>
    <m/>
    <m/>
    <m/>
    <m/>
    <m/>
    <m/>
    <n v="0"/>
    <x v="10"/>
    <n v="0"/>
  </r>
  <r>
    <s v="28051"/>
    <s v="162 L/P - Susquehanna"/>
    <m/>
    <m/>
    <m/>
    <m/>
    <m/>
    <m/>
    <n v="0"/>
    <x v="10"/>
    <n v="0"/>
  </r>
  <r>
    <s v="28052"/>
    <s v="163 L/P - Jules 5"/>
    <m/>
    <m/>
    <m/>
    <m/>
    <m/>
    <m/>
    <n v="0"/>
    <x v="10"/>
    <n v="0"/>
  </r>
  <r>
    <s v="28053"/>
    <s v="164 L/P -  TFC 5"/>
    <m/>
    <m/>
    <m/>
    <m/>
    <m/>
    <m/>
    <n v="0"/>
    <x v="10"/>
    <n v="0"/>
  </r>
  <r>
    <s v="28054"/>
    <s v="165 L/P - TFC 6"/>
    <m/>
    <m/>
    <m/>
    <m/>
    <m/>
    <m/>
    <n v="0"/>
    <x v="10"/>
    <n v="0"/>
  </r>
  <r>
    <s v="28055"/>
    <s v="166 L/P - TFC 7"/>
    <m/>
    <m/>
    <m/>
    <m/>
    <m/>
    <m/>
    <n v="0"/>
    <x v="10"/>
    <n v="0"/>
  </r>
  <r>
    <s v="28057"/>
    <s v="168 N/P - TFC 8"/>
    <m/>
    <m/>
    <m/>
    <m/>
    <m/>
    <m/>
    <n v="0"/>
    <x v="10"/>
    <n v="0"/>
  </r>
  <r>
    <s v="28058"/>
    <s v="169 N/P - East West Bank - C"/>
    <m/>
    <m/>
    <m/>
    <m/>
    <m/>
    <m/>
    <n v="0"/>
    <x v="10"/>
    <n v="0"/>
  </r>
  <r>
    <n v="27250"/>
    <s v="2x NP DPI - Intercompany"/>
    <m/>
    <m/>
    <m/>
    <m/>
    <n v="0"/>
    <m/>
    <n v="0"/>
    <x v="8"/>
    <n v="0"/>
  </r>
  <r>
    <s v="20275"/>
    <s v="DPA NP DPI - Intercompany"/>
    <m/>
    <m/>
    <m/>
    <m/>
    <n v="0"/>
    <m/>
    <n v="0"/>
    <x v="8"/>
    <n v="0"/>
  </r>
  <r>
    <s v="29000"/>
    <s v="Warrant Liability"/>
    <m/>
    <m/>
    <m/>
    <m/>
    <m/>
    <m/>
    <n v="0"/>
    <x v="15"/>
    <n v="0"/>
  </r>
  <r>
    <s v="38400"/>
    <s v="Contra Account - Sales Leaseback"/>
    <m/>
    <m/>
    <m/>
    <m/>
    <m/>
    <m/>
    <n v="0"/>
    <x v="16"/>
    <n v="0"/>
  </r>
  <r>
    <s v="38500"/>
    <s v="Contra Account - Interco Sales"/>
    <m/>
    <m/>
    <m/>
    <m/>
    <m/>
    <n v="0"/>
    <n v="0"/>
    <x v="16"/>
    <n v="0"/>
  </r>
  <r>
    <s v="39005"/>
    <s v="Retained Earnings"/>
    <m/>
    <m/>
    <m/>
    <m/>
    <m/>
    <m/>
    <n v="0"/>
    <x v="16"/>
    <n v="0"/>
  </r>
  <r>
    <s v="39907"/>
    <s v="Stock"/>
    <m/>
    <m/>
    <m/>
    <n v="0"/>
    <m/>
    <m/>
    <n v="0"/>
    <x v="17"/>
    <n v="0"/>
  </r>
  <r>
    <s v="39908"/>
    <s v="Preferred Stock"/>
    <m/>
    <m/>
    <m/>
    <m/>
    <m/>
    <m/>
    <n v="0"/>
    <x v="18"/>
    <n v="0"/>
  </r>
  <r>
    <s v="39910"/>
    <s v="APIC - add. paid in Capital"/>
    <m/>
    <m/>
    <m/>
    <m/>
    <m/>
    <m/>
    <n v="0"/>
    <x v="19"/>
    <n v="0"/>
  </r>
  <r>
    <s v=""/>
    <s v="Net Income"/>
    <m/>
    <m/>
    <m/>
    <m/>
    <m/>
    <m/>
    <n v="0"/>
    <x v="16"/>
    <n v="0"/>
  </r>
</pivotCacheRecords>
</file>

<file path=xl/pivotCache/pivotCacheRecords25.xml><?xml version="1.0" encoding="utf-8"?>
<pivotCacheRecords xmlns="http://schemas.openxmlformats.org/spreadsheetml/2006/main" xmlns:r="http://schemas.openxmlformats.org/officeDocument/2006/relationships" count="143">
  <r>
    <s v="40000"/>
    <s v="Retail-Monthly Subscriptions"/>
    <m/>
    <m/>
    <m/>
    <m/>
    <m/>
    <m/>
    <n v="0"/>
    <x v="0"/>
    <n v="0"/>
  </r>
  <r>
    <s v="40001"/>
    <s v="Retail - Other accounts"/>
    <m/>
    <m/>
    <m/>
    <m/>
    <m/>
    <m/>
    <n v="0"/>
    <x v="0"/>
    <n v="0"/>
  </r>
  <r>
    <s v="40200"/>
    <s v="Retail-Set-Up Fees"/>
    <m/>
    <m/>
    <m/>
    <m/>
    <m/>
    <m/>
    <n v="0"/>
    <x v="0"/>
    <n v="0"/>
  </r>
  <r>
    <s v="40400"/>
    <s v="Retail-Other Income"/>
    <m/>
    <m/>
    <m/>
    <m/>
    <m/>
    <m/>
    <n v="0"/>
    <x v="0"/>
    <n v="0"/>
  </r>
  <r>
    <s v="40600"/>
    <s v="Rural Market- Monthly Subscrip"/>
    <m/>
    <m/>
    <m/>
    <m/>
    <m/>
    <m/>
    <n v="0"/>
    <x v="0"/>
    <n v="0"/>
  </r>
  <r>
    <s v="46500"/>
    <s v="Intercompany transfer of assets (Sales)"/>
    <m/>
    <m/>
    <m/>
    <m/>
    <m/>
    <n v="0"/>
    <n v="0"/>
    <x v="0"/>
    <n v="0"/>
  </r>
  <r>
    <s v="40601"/>
    <s v="Rural Market- Equipment Sales"/>
    <m/>
    <m/>
    <m/>
    <m/>
    <m/>
    <m/>
    <n v="0"/>
    <x v="0"/>
    <n v="0"/>
  </r>
  <r>
    <s v="40602"/>
    <s v="Rural Market-Set Up Fees"/>
    <m/>
    <m/>
    <m/>
    <m/>
    <m/>
    <m/>
    <n v="0"/>
    <x v="0"/>
    <n v="0"/>
  </r>
  <r>
    <s v="40603"/>
    <s v="Rural Market-Other Income"/>
    <m/>
    <m/>
    <m/>
    <m/>
    <m/>
    <m/>
    <n v="0"/>
    <x v="0"/>
    <n v="0"/>
  </r>
  <r>
    <s v="40604"/>
    <s v="Rural Market - T-Mobile"/>
    <m/>
    <m/>
    <m/>
    <m/>
    <m/>
    <m/>
    <n v="0"/>
    <x v="0"/>
    <n v="0"/>
  </r>
  <r>
    <s v="40800"/>
    <s v="Business Sys  - Monthly Subscr"/>
    <m/>
    <m/>
    <m/>
    <m/>
    <m/>
    <m/>
    <n v="0"/>
    <x v="0"/>
    <n v="0"/>
  </r>
  <r>
    <s v="40800.01"/>
    <s v="Business Phone Services"/>
    <m/>
    <m/>
    <m/>
    <m/>
    <m/>
    <m/>
    <n v="0"/>
    <x v="0"/>
    <n v="0"/>
  </r>
  <r>
    <s v="40801"/>
    <s v="Business Services - Equipment"/>
    <m/>
    <m/>
    <m/>
    <m/>
    <m/>
    <m/>
    <n v="0"/>
    <x v="0"/>
    <n v="0"/>
  </r>
  <r>
    <s v="40802"/>
    <s v="Business Services - SetUp Fee"/>
    <m/>
    <m/>
    <m/>
    <m/>
    <m/>
    <m/>
    <n v="0"/>
    <x v="0"/>
    <n v="0"/>
  </r>
  <r>
    <s v="40803"/>
    <s v="Business Services Other Inc"/>
    <m/>
    <m/>
    <m/>
    <m/>
    <m/>
    <m/>
    <n v="0"/>
    <x v="0"/>
    <n v="0"/>
  </r>
  <r>
    <s v="40804"/>
    <s v="Bus Sys - Phone Charge"/>
    <m/>
    <m/>
    <m/>
    <m/>
    <m/>
    <m/>
    <n v="0"/>
    <x v="0"/>
    <n v="0"/>
  </r>
  <r>
    <s v="40807"/>
    <s v="Business Services - Barter"/>
    <m/>
    <m/>
    <m/>
    <m/>
    <m/>
    <m/>
    <n v="0"/>
    <x v="0"/>
    <n v="0"/>
  </r>
  <r>
    <s v="40808"/>
    <s v="Business Services One Time Fee"/>
    <m/>
    <m/>
    <m/>
    <m/>
    <m/>
    <m/>
    <n v="0"/>
    <x v="0"/>
    <n v="0"/>
  </r>
  <r>
    <s v="41000"/>
    <s v="Wholesale-Monthly Subscription"/>
    <m/>
    <m/>
    <m/>
    <m/>
    <m/>
    <m/>
    <n v="0"/>
    <x v="0"/>
    <n v="0"/>
  </r>
  <r>
    <s v="41300"/>
    <s v="Wholesale-Other Income"/>
    <m/>
    <m/>
    <m/>
    <m/>
    <m/>
    <m/>
    <n v="0"/>
    <x v="0"/>
    <n v="0"/>
  </r>
  <r>
    <s v="43000"/>
    <s v="Hot Spot - Monthly Subs"/>
    <m/>
    <m/>
    <m/>
    <m/>
    <m/>
    <m/>
    <n v="0"/>
    <x v="0"/>
    <n v="0"/>
  </r>
  <r>
    <s v="46000"/>
    <s v="Customer Refunds"/>
    <m/>
    <m/>
    <m/>
    <m/>
    <m/>
    <m/>
    <n v="0"/>
    <x v="0"/>
    <n v="0"/>
  </r>
  <r>
    <s v="46000.01"/>
    <s v="Bus Services Customer Refunds"/>
    <m/>
    <m/>
    <m/>
    <m/>
    <m/>
    <m/>
    <n v="0"/>
    <x v="0"/>
    <n v="0"/>
  </r>
  <r>
    <s v="46100"/>
    <s v="Service Credits"/>
    <m/>
    <m/>
    <m/>
    <m/>
    <m/>
    <m/>
    <n v="0"/>
    <x v="0"/>
    <n v="0"/>
  </r>
  <r>
    <s v="48200"/>
    <s v="Other Income"/>
    <m/>
    <m/>
    <m/>
    <m/>
    <m/>
    <m/>
    <n v="0"/>
    <x v="0"/>
    <n v="0"/>
  </r>
  <r>
    <s v="48202"/>
    <s v="Long Distance Income"/>
    <m/>
    <m/>
    <m/>
    <m/>
    <m/>
    <m/>
    <n v="0"/>
    <x v="0"/>
    <n v="0"/>
  </r>
  <r>
    <s v="48203"/>
    <s v="Phone Income"/>
    <m/>
    <m/>
    <m/>
    <m/>
    <m/>
    <m/>
    <n v="0"/>
    <x v="0"/>
    <n v="0"/>
  </r>
  <r>
    <s v="50000"/>
    <s v="Internet Cost"/>
    <m/>
    <m/>
    <m/>
    <m/>
    <m/>
    <m/>
    <n v="0"/>
    <x v="1"/>
    <n v="0"/>
  </r>
  <r>
    <s v="50000.01"/>
    <s v="Internet Cost - Bus Services"/>
    <m/>
    <m/>
    <m/>
    <m/>
    <m/>
    <m/>
    <n v="0"/>
    <x v="1"/>
    <n v="0"/>
  </r>
  <r>
    <s v="50201"/>
    <s v="VOIP Costs"/>
    <m/>
    <m/>
    <m/>
    <m/>
    <m/>
    <m/>
    <n v="0"/>
    <x v="1"/>
    <n v="0"/>
  </r>
  <r>
    <s v="50500"/>
    <s v="Gateway / RPOP"/>
    <m/>
    <m/>
    <m/>
    <m/>
    <m/>
    <m/>
    <n v="0"/>
    <x v="1"/>
    <n v="0"/>
  </r>
  <r>
    <s v="63500"/>
    <s v="Commissions"/>
    <m/>
    <m/>
    <m/>
    <m/>
    <m/>
    <m/>
    <n v="0"/>
    <x v="1"/>
    <n v="0"/>
  </r>
  <r>
    <s v="63800"/>
    <s v="Sub-Contractors"/>
    <m/>
    <m/>
    <m/>
    <m/>
    <m/>
    <m/>
    <n v="0"/>
    <x v="1"/>
    <n v="0"/>
  </r>
  <r>
    <s v="75000"/>
    <s v="Manufacturing Supplies"/>
    <m/>
    <m/>
    <m/>
    <m/>
    <m/>
    <m/>
    <n v="0"/>
    <x v="1"/>
    <n v="0"/>
  </r>
  <r>
    <m/>
    <s v="Hardware costs"/>
    <m/>
    <m/>
    <m/>
    <m/>
    <m/>
    <m/>
    <n v="0"/>
    <x v="1"/>
    <n v="0"/>
  </r>
  <r>
    <m/>
    <s v="COGS - Intercompany transfer of assets"/>
    <m/>
    <m/>
    <m/>
    <m/>
    <m/>
    <n v="0"/>
    <n v="0"/>
    <x v="1"/>
    <n v="0"/>
  </r>
  <r>
    <s v="60100"/>
    <s v="Advertising &amp; Promotion"/>
    <m/>
    <m/>
    <m/>
    <m/>
    <m/>
    <m/>
    <n v="0"/>
    <x v="2"/>
    <n v="0"/>
  </r>
  <r>
    <s v="60125"/>
    <s v="Advertising Barter"/>
    <m/>
    <m/>
    <m/>
    <m/>
    <m/>
    <m/>
    <n v="0"/>
    <x v="2"/>
    <n v="0"/>
  </r>
  <r>
    <s v="60200"/>
    <s v="Referral Credits"/>
    <m/>
    <m/>
    <m/>
    <m/>
    <m/>
    <m/>
    <n v="0"/>
    <x v="2"/>
    <n v="0"/>
  </r>
  <r>
    <s v="60500"/>
    <s v="Amortization"/>
    <m/>
    <m/>
    <m/>
    <m/>
    <m/>
    <m/>
    <n v="0"/>
    <x v="3"/>
    <n v="0"/>
  </r>
  <r>
    <s v="61000"/>
    <s v="Vehicle Repairs"/>
    <m/>
    <m/>
    <m/>
    <m/>
    <m/>
    <m/>
    <n v="0"/>
    <x v="4"/>
    <n v="0"/>
  </r>
  <r>
    <s v="61000.01"/>
    <s v="Vehicle - Tune up &amp; Oil Change"/>
    <m/>
    <m/>
    <m/>
    <m/>
    <m/>
    <m/>
    <n v="0"/>
    <x v="1"/>
    <n v="0"/>
  </r>
  <r>
    <s v="61000.02"/>
    <s v="Vehicle - Tires"/>
    <m/>
    <m/>
    <m/>
    <m/>
    <m/>
    <m/>
    <n v="0"/>
    <x v="1"/>
    <n v="0"/>
  </r>
  <r>
    <s v="61000.03"/>
    <s v="Vehicle Repairs - Misc"/>
    <m/>
    <m/>
    <m/>
    <m/>
    <m/>
    <m/>
    <n v="0"/>
    <x v="1"/>
    <n v="0"/>
  </r>
  <r>
    <s v="61100"/>
    <s v="Vehicle Gasoline - General"/>
    <m/>
    <m/>
    <m/>
    <m/>
    <m/>
    <m/>
    <n v="0"/>
    <x v="4"/>
    <n v="0"/>
  </r>
  <r>
    <s v="61100.01"/>
    <s v="Vehicle Gasoline - Expansion"/>
    <m/>
    <m/>
    <m/>
    <m/>
    <m/>
    <m/>
    <n v="0"/>
    <x v="4"/>
    <n v="0"/>
  </r>
  <r>
    <s v="61100.02"/>
    <s v="Vehicle Gas - Installers"/>
    <m/>
    <m/>
    <m/>
    <m/>
    <m/>
    <m/>
    <n v="0"/>
    <x v="4"/>
    <n v="0"/>
  </r>
  <r>
    <s v="61100.03"/>
    <s v="Vehicle Propane generators"/>
    <m/>
    <m/>
    <m/>
    <m/>
    <m/>
    <m/>
    <n v="0"/>
    <x v="4"/>
    <n v="0"/>
  </r>
  <r>
    <s v="61100.04"/>
    <s v="Vehicle Gasoline &amp; Oil"/>
    <m/>
    <m/>
    <m/>
    <m/>
    <m/>
    <m/>
    <n v="0"/>
    <x v="4"/>
    <n v="0"/>
  </r>
  <r>
    <s v="61200"/>
    <s v="Vehicle Registration"/>
    <m/>
    <m/>
    <m/>
    <m/>
    <m/>
    <m/>
    <n v="0"/>
    <x v="4"/>
    <n v="0"/>
  </r>
  <r>
    <s v="61500.02"/>
    <s v="Bad Debt"/>
    <m/>
    <m/>
    <m/>
    <m/>
    <m/>
    <m/>
    <n v="0"/>
    <x v="4"/>
    <n v="0"/>
  </r>
  <r>
    <s v="62000"/>
    <s v="Bank Charges"/>
    <m/>
    <m/>
    <m/>
    <m/>
    <m/>
    <m/>
    <n v="0"/>
    <x v="4"/>
    <n v="0"/>
  </r>
  <r>
    <s v="62100"/>
    <s v="Credit Card Discounts"/>
    <m/>
    <m/>
    <m/>
    <m/>
    <m/>
    <m/>
    <n v="0"/>
    <x v="4"/>
    <n v="0"/>
  </r>
  <r>
    <s v="62500"/>
    <s v="Cash (Over) Short"/>
    <m/>
    <m/>
    <m/>
    <m/>
    <m/>
    <m/>
    <n v="0"/>
    <x v="4"/>
    <n v="0"/>
  </r>
  <r>
    <s v="63700"/>
    <s v="Outside Services"/>
    <m/>
    <m/>
    <m/>
    <m/>
    <m/>
    <m/>
    <n v="0"/>
    <x v="4"/>
    <n v="0"/>
  </r>
  <r>
    <s v="64000.07"/>
    <s v="Depreciation"/>
    <m/>
    <m/>
    <m/>
    <m/>
    <m/>
    <m/>
    <n v="0"/>
    <x v="3"/>
    <n v="0"/>
  </r>
  <r>
    <s v="64500.01"/>
    <s v="Dues &amp; Subscriptions"/>
    <m/>
    <m/>
    <m/>
    <m/>
    <m/>
    <m/>
    <n v="0"/>
    <x v="4"/>
    <n v="0"/>
  </r>
  <r>
    <s v="65000"/>
    <s v="Employee Relations"/>
    <m/>
    <m/>
    <m/>
    <m/>
    <m/>
    <m/>
    <n v="0"/>
    <x v="4"/>
    <n v="0"/>
  </r>
  <r>
    <s v="65100"/>
    <s v="Employee Recruiting/Screening"/>
    <m/>
    <m/>
    <m/>
    <m/>
    <m/>
    <m/>
    <n v="0"/>
    <x v="4"/>
    <n v="0"/>
  </r>
  <r>
    <s v="65300"/>
    <s v="Employee Training"/>
    <m/>
    <m/>
    <m/>
    <m/>
    <m/>
    <m/>
    <n v="0"/>
    <x v="4"/>
    <n v="0"/>
  </r>
  <r>
    <s v="66000"/>
    <s v="Gifts"/>
    <m/>
    <m/>
    <m/>
    <m/>
    <m/>
    <m/>
    <n v="0"/>
    <x v="4"/>
    <n v="0"/>
  </r>
  <r>
    <s v="66500"/>
    <s v="Income Tax Expense"/>
    <m/>
    <m/>
    <m/>
    <m/>
    <m/>
    <m/>
    <n v="0"/>
    <x v="4"/>
    <n v="0"/>
  </r>
  <r>
    <s v="67000"/>
    <s v="Insurance - Property/Liability"/>
    <m/>
    <m/>
    <m/>
    <m/>
    <m/>
    <m/>
    <n v="0"/>
    <x v="4"/>
    <n v="0"/>
  </r>
  <r>
    <s v="67100"/>
    <s v="Insurance - Vehicle"/>
    <m/>
    <m/>
    <m/>
    <m/>
    <m/>
    <m/>
    <n v="0"/>
    <x v="4"/>
    <n v="0"/>
  </r>
  <r>
    <s v="67200"/>
    <s v="Insurance - Officers"/>
    <m/>
    <m/>
    <m/>
    <m/>
    <m/>
    <m/>
    <n v="0"/>
    <x v="4"/>
    <n v="0"/>
  </r>
  <r>
    <s v="67300"/>
    <s v="Insurance - Medical"/>
    <m/>
    <m/>
    <m/>
    <m/>
    <m/>
    <m/>
    <n v="0"/>
    <x v="4"/>
    <n v="0"/>
  </r>
  <r>
    <s v="67310"/>
    <s v="Insurance- Life"/>
    <m/>
    <m/>
    <m/>
    <m/>
    <m/>
    <m/>
    <n v="0"/>
    <x v="4"/>
    <n v="0"/>
  </r>
  <r>
    <s v="67400"/>
    <s v="Insurance - Workers Comp"/>
    <m/>
    <m/>
    <m/>
    <m/>
    <m/>
    <m/>
    <n v="0"/>
    <x v="4"/>
    <n v="0"/>
  </r>
  <r>
    <s v="67450"/>
    <s v="Insurance - self"/>
    <m/>
    <m/>
    <m/>
    <m/>
    <m/>
    <m/>
    <n v="0"/>
    <x v="4"/>
    <n v="0"/>
  </r>
  <r>
    <s v="67500"/>
    <s v="Interest"/>
    <m/>
    <m/>
    <m/>
    <m/>
    <m/>
    <m/>
    <n v="0"/>
    <x v="5"/>
    <n v="0"/>
  </r>
  <r>
    <s v="68000"/>
    <s v="Cleaning &amp; Janitorial"/>
    <m/>
    <m/>
    <m/>
    <m/>
    <m/>
    <m/>
    <n v="0"/>
    <x v="4"/>
    <n v="0"/>
  </r>
  <r>
    <s v="68500"/>
    <s v="Legal &amp; Accounting"/>
    <m/>
    <m/>
    <m/>
    <m/>
    <m/>
    <m/>
    <n v="0"/>
    <x v="4"/>
    <n v="0"/>
  </r>
  <r>
    <s v="68550"/>
    <s v="Loan/Lease Fees"/>
    <m/>
    <m/>
    <m/>
    <m/>
    <m/>
    <m/>
    <n v="0"/>
    <x v="4"/>
    <n v="0"/>
  </r>
  <r>
    <s v="68600"/>
    <s v="Consultant Fees"/>
    <m/>
    <m/>
    <m/>
    <m/>
    <m/>
    <m/>
    <n v="0"/>
    <x v="4"/>
    <n v="0"/>
  </r>
  <r>
    <s v="69000"/>
    <s v="Permits &amp; Licenses"/>
    <m/>
    <m/>
    <m/>
    <m/>
    <m/>
    <m/>
    <n v="0"/>
    <x v="4"/>
    <n v="0"/>
  </r>
  <r>
    <s v="70000"/>
    <s v="Maintenance Expense"/>
    <m/>
    <m/>
    <m/>
    <m/>
    <m/>
    <m/>
    <n v="0"/>
    <x v="4"/>
    <n v="0"/>
  </r>
  <r>
    <s v="70500"/>
    <s v="Meals &amp; Entertainment"/>
    <m/>
    <m/>
    <m/>
    <m/>
    <m/>
    <m/>
    <n v="0"/>
    <x v="4"/>
    <n v="0"/>
  </r>
  <r>
    <s v="71000"/>
    <s v="Office Supplies"/>
    <m/>
    <m/>
    <m/>
    <m/>
    <m/>
    <m/>
    <n v="0"/>
    <x v="4"/>
    <n v="0"/>
  </r>
  <r>
    <s v="72101"/>
    <s v="Payroll Tax IRS"/>
    <m/>
    <m/>
    <m/>
    <m/>
    <m/>
    <m/>
    <n v="0"/>
    <x v="4"/>
    <n v="0"/>
  </r>
  <r>
    <s v="72201"/>
    <s v="Payroll Tax EDD"/>
    <m/>
    <m/>
    <m/>
    <m/>
    <m/>
    <m/>
    <n v="0"/>
    <x v="4"/>
    <n v="0"/>
  </r>
  <r>
    <s v="72600"/>
    <s v="Late Fees"/>
    <m/>
    <m/>
    <m/>
    <m/>
    <m/>
    <m/>
    <n v="0"/>
    <x v="4"/>
    <n v="0"/>
  </r>
  <r>
    <s v="73000"/>
    <s v="Taxes Paid"/>
    <m/>
    <m/>
    <m/>
    <m/>
    <m/>
    <m/>
    <n v="0"/>
    <x v="6"/>
    <n v="0"/>
  </r>
  <r>
    <s v="73100"/>
    <s v="Sales Tax Paid"/>
    <m/>
    <m/>
    <m/>
    <m/>
    <m/>
    <m/>
    <n v="0"/>
    <x v="4"/>
    <n v="0"/>
  </r>
  <r>
    <s v="73200"/>
    <s v="Property Taxes Paid"/>
    <m/>
    <m/>
    <m/>
    <m/>
    <m/>
    <m/>
    <n v="0"/>
    <x v="4"/>
    <n v="0"/>
  </r>
  <r>
    <s v="73500"/>
    <s v="Postage"/>
    <m/>
    <m/>
    <m/>
    <m/>
    <m/>
    <m/>
    <n v="0"/>
    <x v="4"/>
    <n v="0"/>
  </r>
  <r>
    <s v="73550.01"/>
    <s v="Shipping &amp; Handling"/>
    <m/>
    <m/>
    <m/>
    <m/>
    <m/>
    <m/>
    <n v="0"/>
    <x v="4"/>
    <n v="0"/>
  </r>
  <r>
    <s v="74000"/>
    <s v="Rent / Lease"/>
    <m/>
    <m/>
    <m/>
    <m/>
    <m/>
    <m/>
    <n v="0"/>
    <x v="4"/>
    <n v="0"/>
  </r>
  <r>
    <s v="74000.01"/>
    <s v="Rent / Lease Helicopter"/>
    <m/>
    <m/>
    <m/>
    <m/>
    <m/>
    <m/>
    <n v="0"/>
    <x v="4"/>
    <n v="0"/>
  </r>
  <r>
    <s v="74100"/>
    <s v="Equipment Rental"/>
    <m/>
    <m/>
    <m/>
    <m/>
    <m/>
    <m/>
    <n v="0"/>
    <x v="4"/>
    <n v="0"/>
  </r>
  <r>
    <s v="74400"/>
    <s v="Small Tools"/>
    <m/>
    <m/>
    <m/>
    <m/>
    <m/>
    <m/>
    <n v="0"/>
    <x v="4"/>
    <n v="0"/>
  </r>
  <r>
    <s v="74500"/>
    <s v="Repairs &amp; Maintenance"/>
    <m/>
    <m/>
    <m/>
    <m/>
    <m/>
    <m/>
    <n v="0"/>
    <x v="4"/>
    <n v="0"/>
  </r>
  <r>
    <s v="74600"/>
    <s v="Research &amp; Development"/>
    <m/>
    <m/>
    <m/>
    <m/>
    <m/>
    <m/>
    <n v="0"/>
    <x v="4"/>
    <n v="0"/>
  </r>
  <r>
    <s v="75000.1"/>
    <s v="Mountain Networks"/>
    <m/>
    <m/>
    <m/>
    <m/>
    <m/>
    <m/>
    <n v="0"/>
    <x v="4"/>
    <n v="0"/>
  </r>
  <r>
    <s v="75500"/>
    <s v="Operating Supplies"/>
    <m/>
    <m/>
    <m/>
    <m/>
    <m/>
    <m/>
    <n v="0"/>
    <x v="4"/>
    <n v="0"/>
  </r>
  <r>
    <s v="75500.02"/>
    <s v="Operating Supplies- Cable"/>
    <m/>
    <m/>
    <m/>
    <m/>
    <m/>
    <m/>
    <n v="0"/>
    <x v="4"/>
    <n v="0"/>
  </r>
  <r>
    <s v="75600"/>
    <s v="Breakroom Supplies"/>
    <m/>
    <m/>
    <m/>
    <m/>
    <m/>
    <m/>
    <n v="0"/>
    <x v="4"/>
    <n v="0"/>
  </r>
  <r>
    <s v="75600.01"/>
    <s v="Cafeteria"/>
    <m/>
    <m/>
    <m/>
    <m/>
    <m/>
    <m/>
    <n v="0"/>
    <x v="4"/>
    <n v="0"/>
  </r>
  <r>
    <s v="75800"/>
    <s v="Security"/>
    <m/>
    <m/>
    <m/>
    <m/>
    <m/>
    <m/>
    <n v="0"/>
    <x v="4"/>
    <n v="0"/>
  </r>
  <r>
    <s v="76000"/>
    <s v="Telephone"/>
    <m/>
    <m/>
    <m/>
    <m/>
    <m/>
    <m/>
    <n v="0"/>
    <x v="4"/>
    <n v="0"/>
  </r>
  <r>
    <s v="76000.02"/>
    <s v="Telephone - NVW"/>
    <m/>
    <m/>
    <m/>
    <m/>
    <m/>
    <m/>
    <n v="0"/>
    <x v="4"/>
    <n v="0"/>
  </r>
  <r>
    <s v="76100"/>
    <s v="Telephones - Cellular"/>
    <m/>
    <m/>
    <m/>
    <m/>
    <m/>
    <m/>
    <n v="0"/>
    <x v="4"/>
    <n v="0"/>
  </r>
  <r>
    <s v="76500"/>
    <s v="Travel &amp; Lodging"/>
    <m/>
    <m/>
    <m/>
    <m/>
    <m/>
    <m/>
    <n v="0"/>
    <x v="4"/>
    <n v="0"/>
  </r>
  <r>
    <s v="77250"/>
    <s v="Bonus"/>
    <m/>
    <m/>
    <m/>
    <m/>
    <m/>
    <m/>
    <n v="0"/>
    <x v="4"/>
    <n v="0"/>
  </r>
  <r>
    <s v="77500.01"/>
    <s v="Wages - Network Expansion"/>
    <m/>
    <m/>
    <m/>
    <m/>
    <m/>
    <m/>
    <n v="0"/>
    <x v="4"/>
    <n v="0"/>
  </r>
  <r>
    <s v="77500.02"/>
    <s v="Wages - R&amp;D"/>
    <m/>
    <m/>
    <m/>
    <m/>
    <m/>
    <m/>
    <n v="0"/>
    <x v="4"/>
    <n v="0"/>
  </r>
  <r>
    <s v="77500.03"/>
    <s v="Wages - Sales &amp; Marketing"/>
    <m/>
    <m/>
    <m/>
    <m/>
    <m/>
    <m/>
    <n v="0"/>
    <x v="2"/>
    <n v="0"/>
  </r>
  <r>
    <s v="77500.04"/>
    <s v="Wages - Customer Service"/>
    <m/>
    <m/>
    <m/>
    <m/>
    <m/>
    <m/>
    <n v="0"/>
    <x v="4"/>
    <n v="0"/>
  </r>
  <r>
    <s v="77500.05"/>
    <s v="Wages - Tech Support"/>
    <m/>
    <m/>
    <m/>
    <m/>
    <m/>
    <m/>
    <n v="0"/>
    <x v="4"/>
    <n v="0"/>
  </r>
  <r>
    <s v="77500.06"/>
    <s v="Wages - Manufacture"/>
    <m/>
    <m/>
    <m/>
    <m/>
    <m/>
    <m/>
    <n v="0"/>
    <x v="1"/>
    <n v="0"/>
  </r>
  <r>
    <s v="77500.07"/>
    <s v="Wages - Administrative"/>
    <m/>
    <m/>
    <m/>
    <m/>
    <m/>
    <m/>
    <n v="0"/>
    <x v="4"/>
    <n v="0"/>
  </r>
  <r>
    <s v="77500.08"/>
    <s v="Wages - Acct/HR"/>
    <m/>
    <m/>
    <m/>
    <m/>
    <m/>
    <m/>
    <n v="0"/>
    <x v="4"/>
    <n v="0"/>
  </r>
  <r>
    <s v="77500.09"/>
    <s v="Wages - Installers"/>
    <m/>
    <m/>
    <m/>
    <m/>
    <m/>
    <m/>
    <n v="0"/>
    <x v="1"/>
    <n v="0"/>
  </r>
  <r>
    <s v="77500.11"/>
    <s v="Wages - Cafeteria"/>
    <m/>
    <m/>
    <m/>
    <m/>
    <m/>
    <m/>
    <n v="0"/>
    <x v="4"/>
    <n v="0"/>
  </r>
  <r>
    <s v="77500.12"/>
    <s v="Wages 2X Sales &amp; Production"/>
    <m/>
    <m/>
    <m/>
    <m/>
    <m/>
    <m/>
    <n v="0"/>
    <x v="4"/>
    <n v="0"/>
  </r>
  <r>
    <s v="77500.13"/>
    <s v="Wages - Heli pilot"/>
    <m/>
    <m/>
    <m/>
    <m/>
    <m/>
    <m/>
    <n v="0"/>
    <x v="4"/>
    <n v="0"/>
  </r>
  <r>
    <s v="77502"/>
    <s v="Wages - On Call"/>
    <m/>
    <m/>
    <m/>
    <m/>
    <m/>
    <m/>
    <n v="0"/>
    <x v="4"/>
    <n v="0"/>
  </r>
  <r>
    <s v="77550.01"/>
    <s v="Wages - Overtime Net Expansion"/>
    <m/>
    <m/>
    <m/>
    <m/>
    <m/>
    <m/>
    <n v="0"/>
    <x v="4"/>
    <n v="0"/>
  </r>
  <r>
    <s v="77550.02"/>
    <s v="Wages - Overtime R &amp; D"/>
    <m/>
    <m/>
    <m/>
    <m/>
    <m/>
    <m/>
    <n v="0"/>
    <x v="4"/>
    <n v="0"/>
  </r>
  <r>
    <s v="77550.03"/>
    <s v="Wages - OT Sales &amp; Marketing"/>
    <m/>
    <m/>
    <m/>
    <m/>
    <m/>
    <m/>
    <n v="0"/>
    <x v="2"/>
    <n v="0"/>
  </r>
  <r>
    <s v="77550.04"/>
    <s v="Wages - OT Customer Service"/>
    <m/>
    <m/>
    <m/>
    <m/>
    <m/>
    <m/>
    <n v="0"/>
    <x v="4"/>
    <n v="0"/>
  </r>
  <r>
    <s v="77550.05"/>
    <s v="Wages - Overtime Tech Support"/>
    <m/>
    <m/>
    <m/>
    <m/>
    <m/>
    <m/>
    <n v="0"/>
    <x v="4"/>
    <n v="0"/>
  </r>
  <r>
    <s v="77550.06"/>
    <s v="Wages - Overtime Manufacturing"/>
    <m/>
    <m/>
    <m/>
    <m/>
    <m/>
    <m/>
    <n v="0"/>
    <x v="1"/>
    <n v="0"/>
  </r>
  <r>
    <s v="77550.08"/>
    <s v="Wages - Overtime Acct/HR"/>
    <m/>
    <m/>
    <m/>
    <m/>
    <m/>
    <m/>
    <n v="0"/>
    <x v="4"/>
    <n v="0"/>
  </r>
  <r>
    <s v="77550.09"/>
    <s v="Wages - OT Installers"/>
    <m/>
    <m/>
    <m/>
    <m/>
    <m/>
    <m/>
    <n v="0"/>
    <x v="1"/>
    <n v="0"/>
  </r>
  <r>
    <s v="77550.12"/>
    <s v="2x Wage overtime"/>
    <m/>
    <m/>
    <m/>
    <m/>
    <m/>
    <m/>
    <n v="0"/>
    <x v="4"/>
    <n v="0"/>
  </r>
  <r>
    <s v="77550.13"/>
    <s v="Wages - OT Heli Pilot"/>
    <m/>
    <m/>
    <m/>
    <m/>
    <m/>
    <m/>
    <n v="0"/>
    <x v="4"/>
    <n v="0"/>
  </r>
  <r>
    <s v="77570"/>
    <s v="2X Labor Capitalization"/>
    <m/>
    <m/>
    <m/>
    <m/>
    <m/>
    <m/>
    <n v="0"/>
    <x v="4"/>
    <n v="0"/>
  </r>
  <r>
    <s v="77575"/>
    <s v="DPI Labor Caplitalization"/>
    <m/>
    <m/>
    <m/>
    <m/>
    <m/>
    <m/>
    <n v="0"/>
    <x v="4"/>
    <n v="0"/>
  </r>
  <r>
    <s v="77575.12"/>
    <s v="MFG Labor Capitalization"/>
    <m/>
    <m/>
    <m/>
    <m/>
    <m/>
    <m/>
    <n v="0"/>
    <x v="4"/>
    <n v="0"/>
  </r>
  <r>
    <s v="77580"/>
    <s v="2X Payroll Allocation"/>
    <m/>
    <m/>
    <m/>
    <n v="0"/>
    <n v="0"/>
    <m/>
    <n v="0"/>
    <x v="4"/>
    <n v="0"/>
  </r>
  <r>
    <s v="77590"/>
    <s v="2X Overhead Allocation"/>
    <m/>
    <m/>
    <m/>
    <s v=" "/>
    <n v="0"/>
    <m/>
    <n v="0"/>
    <x v="4"/>
    <n v="0"/>
  </r>
  <r>
    <s v="77591"/>
    <s v="DPA Overhead Allocation"/>
    <m/>
    <m/>
    <m/>
    <s v=" "/>
    <n v="0"/>
    <m/>
    <n v="0"/>
    <x v="4"/>
    <n v="0"/>
  </r>
  <r>
    <s v="63000"/>
    <s v="G&amp;A Overhead Allocation"/>
    <m/>
    <m/>
    <m/>
    <s v=" "/>
    <n v="0"/>
    <m/>
    <n v="0"/>
    <x v="4"/>
    <n v="0"/>
  </r>
  <r>
    <m/>
    <s v="G&amp;A Wages Allocation"/>
    <m/>
    <m/>
    <m/>
    <s v=" "/>
    <n v="0"/>
    <m/>
    <n v="0"/>
    <x v="4"/>
    <n v="0"/>
  </r>
  <r>
    <m/>
    <s v="G&amp;A Taxes &amp; Benefits"/>
    <m/>
    <m/>
    <m/>
    <s v=" "/>
    <n v="0"/>
    <m/>
    <n v="0"/>
    <x v="4"/>
    <n v="0"/>
  </r>
  <r>
    <s v="60550"/>
    <s v="Misc Warehouse"/>
    <m/>
    <m/>
    <m/>
    <n v="0"/>
    <m/>
    <m/>
    <n v="0"/>
    <x v="4"/>
    <n v="0"/>
  </r>
  <r>
    <s v="77600"/>
    <s v="Per Diem"/>
    <m/>
    <m/>
    <m/>
    <m/>
    <m/>
    <m/>
    <n v="0"/>
    <x v="4"/>
    <n v="0"/>
  </r>
  <r>
    <m/>
    <s v="Waste Disposal"/>
    <m/>
    <m/>
    <m/>
    <m/>
    <m/>
    <m/>
    <n v="0"/>
    <x v="4"/>
    <n v="0"/>
  </r>
  <r>
    <s v="77700"/>
    <s v="Pension &amp; Profit Sharing"/>
    <m/>
    <m/>
    <m/>
    <m/>
    <m/>
    <m/>
    <n v="0"/>
    <x v="4"/>
    <n v="0"/>
  </r>
  <r>
    <s v="78000"/>
    <s v="Utilities"/>
    <m/>
    <m/>
    <m/>
    <m/>
    <m/>
    <m/>
    <n v="0"/>
    <x v="4"/>
    <n v="0"/>
  </r>
  <r>
    <s v="89500"/>
    <s v="Other expense"/>
    <m/>
    <m/>
    <m/>
    <m/>
    <m/>
    <m/>
    <n v="0"/>
    <x v="4"/>
    <n v="0"/>
  </r>
  <r>
    <s v="90000"/>
    <s v="Gain / Loss on Sale of Assets"/>
    <m/>
    <m/>
    <m/>
    <m/>
    <m/>
    <m/>
    <n v="0"/>
    <x v="7"/>
    <n v="0"/>
  </r>
  <r>
    <s v="96500"/>
    <s v="Income Tax Expense"/>
    <m/>
    <m/>
    <m/>
    <m/>
    <m/>
    <m/>
    <n v="0"/>
    <x v="4"/>
    <n v="0"/>
  </r>
</pivotCacheRecords>
</file>

<file path=xl/pivotCache/pivotCacheRecords26.xml><?xml version="1.0" encoding="utf-8"?>
<pivotCacheRecords xmlns="http://schemas.openxmlformats.org/spreadsheetml/2006/main" xmlns:r="http://schemas.openxmlformats.org/officeDocument/2006/relationships" count="204">
  <r>
    <s v="10000"/>
    <s v="Petty Cash Fund"/>
    <m/>
    <m/>
    <m/>
    <m/>
    <m/>
    <m/>
    <n v="0"/>
    <x v="0"/>
    <n v="0"/>
  </r>
  <r>
    <s v="10000.01"/>
    <s v="Petty Cash Emergency fund"/>
    <m/>
    <m/>
    <m/>
    <m/>
    <m/>
    <m/>
    <n v="0"/>
    <x v="0"/>
    <n v="0"/>
  </r>
  <r>
    <s v="10050"/>
    <s v="Cash Box Call Center"/>
    <m/>
    <m/>
    <m/>
    <m/>
    <m/>
    <m/>
    <n v="0"/>
    <x v="0"/>
    <n v="0"/>
  </r>
  <r>
    <s v="10051"/>
    <s v="Per Diem"/>
    <m/>
    <m/>
    <m/>
    <m/>
    <m/>
    <m/>
    <n v="0"/>
    <x v="0"/>
    <n v="0"/>
  </r>
  <r>
    <s v="10175"/>
    <s v="US Bank 4245"/>
    <m/>
    <m/>
    <m/>
    <m/>
    <m/>
    <m/>
    <n v="0"/>
    <x v="0"/>
    <n v="0"/>
  </r>
  <r>
    <s v="10200"/>
    <s v="Rabobank Operating - 7057"/>
    <m/>
    <m/>
    <m/>
    <m/>
    <m/>
    <m/>
    <n v="0"/>
    <x v="0"/>
    <n v="0"/>
  </r>
  <r>
    <m/>
    <s v="East West Bank - 5237 2X"/>
    <m/>
    <m/>
    <m/>
    <m/>
    <m/>
    <m/>
    <n v="0"/>
    <x v="0"/>
    <n v="0"/>
  </r>
  <r>
    <s v="10445"/>
    <s v="East West Bank - 5211 Self Ins"/>
    <m/>
    <m/>
    <m/>
    <m/>
    <m/>
    <m/>
    <n v="0"/>
    <x v="0"/>
    <n v="0"/>
  </r>
  <r>
    <s v="10450"/>
    <s v="East West Bank - 3521 Savings"/>
    <m/>
    <m/>
    <m/>
    <m/>
    <m/>
    <m/>
    <n v="0"/>
    <x v="0"/>
    <n v="0"/>
  </r>
  <r>
    <s v="10455"/>
    <s v="East West Bank - 5229 CC Dep"/>
    <m/>
    <m/>
    <m/>
    <m/>
    <m/>
    <m/>
    <n v="0"/>
    <x v="0"/>
    <n v="0"/>
  </r>
  <r>
    <s v="10475"/>
    <s v="East West Bank - 3349 Gen Op"/>
    <m/>
    <m/>
    <m/>
    <m/>
    <m/>
    <m/>
    <n v="0"/>
    <x v="0"/>
    <n v="0"/>
  </r>
  <r>
    <s v="10480"/>
    <s v="East West Bank - 3802 CapX"/>
    <m/>
    <m/>
    <m/>
    <m/>
    <m/>
    <m/>
    <n v="0"/>
    <x v="0"/>
    <n v="0"/>
  </r>
  <r>
    <s v="10485"/>
    <s v="East West Bank - 3828 Payroll"/>
    <m/>
    <m/>
    <m/>
    <m/>
    <m/>
    <m/>
    <n v="0"/>
    <x v="0"/>
    <n v="0"/>
  </r>
  <r>
    <s v="10700"/>
    <s v="Credit Card Receivable"/>
    <m/>
    <m/>
    <m/>
    <m/>
    <m/>
    <m/>
    <n v="0"/>
    <x v="1"/>
    <n v="0"/>
  </r>
  <r>
    <s v="11000"/>
    <s v="Accounts Receivable - Service"/>
    <m/>
    <m/>
    <m/>
    <m/>
    <m/>
    <m/>
    <n v="0"/>
    <x v="1"/>
    <n v="0"/>
  </r>
  <r>
    <s v="11001"/>
    <s v="Accounts Receivable - Relays"/>
    <m/>
    <m/>
    <m/>
    <m/>
    <m/>
    <m/>
    <n v="0"/>
    <x v="1"/>
    <n v="0"/>
  </r>
  <r>
    <s v="11002"/>
    <s v="AR - Business Phone Sys #17"/>
    <m/>
    <m/>
    <m/>
    <m/>
    <m/>
    <m/>
    <n v="0"/>
    <x v="1"/>
    <n v="0"/>
  </r>
  <r>
    <s v="11100"/>
    <s v="Accounts Receivable- Wholesale"/>
    <m/>
    <m/>
    <m/>
    <m/>
    <m/>
    <m/>
    <n v="0"/>
    <x v="1"/>
    <n v="0"/>
  </r>
  <r>
    <s v="11116"/>
    <s v="Accounts Receivable - Misc"/>
    <m/>
    <m/>
    <m/>
    <m/>
    <m/>
    <m/>
    <n v="0"/>
    <x v="1"/>
    <n v="0"/>
  </r>
  <r>
    <s v="11118"/>
    <s v="AR - Business Services # 18"/>
    <m/>
    <m/>
    <m/>
    <m/>
    <m/>
    <m/>
    <n v="0"/>
    <x v="1"/>
    <n v="0"/>
  </r>
  <r>
    <s v="11120"/>
    <s v="Allowance for doubtful accts"/>
    <m/>
    <m/>
    <m/>
    <m/>
    <m/>
    <m/>
    <n v="0"/>
    <x v="1"/>
    <n v="0"/>
  </r>
  <r>
    <s v="13000"/>
    <s v="Employee Advance"/>
    <m/>
    <m/>
    <m/>
    <m/>
    <m/>
    <m/>
    <n v="0"/>
    <x v="2"/>
    <n v="0"/>
  </r>
  <r>
    <s v="13000.02"/>
    <s v="Owner Advance"/>
    <m/>
    <m/>
    <m/>
    <m/>
    <m/>
    <m/>
    <n v="0"/>
    <x v="3"/>
    <n v="0"/>
  </r>
  <r>
    <m/>
    <s v="2X Inventory"/>
    <m/>
    <m/>
    <m/>
    <m/>
    <m/>
    <m/>
    <n v="0"/>
    <x v="4"/>
    <n v="0"/>
  </r>
  <r>
    <s v="15302"/>
    <s v="Installation Supplies"/>
    <m/>
    <m/>
    <m/>
    <m/>
    <m/>
    <m/>
    <n v="0"/>
    <x v="2"/>
    <n v="0"/>
  </r>
  <r>
    <s v="15304"/>
    <s v="Installation Supplies NPN"/>
    <m/>
    <m/>
    <m/>
    <m/>
    <m/>
    <m/>
    <n v="0"/>
    <x v="2"/>
    <n v="0"/>
  </r>
  <r>
    <s v="15305"/>
    <s v="Cable Inventory"/>
    <m/>
    <m/>
    <m/>
    <m/>
    <m/>
    <m/>
    <n v="0"/>
    <x v="4"/>
    <n v="0"/>
  </r>
  <r>
    <s v="15307"/>
    <s v="Gen 7 Inventory"/>
    <m/>
    <m/>
    <m/>
    <m/>
    <m/>
    <m/>
    <n v="0"/>
    <x v="4"/>
    <n v="0"/>
  </r>
  <r>
    <s v="15401"/>
    <s v="Misc inventory - Legacy"/>
    <m/>
    <m/>
    <m/>
    <m/>
    <m/>
    <m/>
    <n v="0"/>
    <x v="4"/>
    <n v="0"/>
  </r>
  <r>
    <s v="18000"/>
    <s v="Prepaid expenses"/>
    <m/>
    <m/>
    <m/>
    <m/>
    <m/>
    <m/>
    <n v="0"/>
    <x v="5"/>
    <n v="0"/>
  </r>
  <r>
    <s v="18100"/>
    <s v="Prepaid Corp Income Taxes"/>
    <m/>
    <m/>
    <m/>
    <m/>
    <m/>
    <m/>
    <n v="0"/>
    <x v="5"/>
    <n v="0"/>
  </r>
  <r>
    <s v="18300"/>
    <s v="PrePaid Sales Tax"/>
    <m/>
    <m/>
    <m/>
    <m/>
    <m/>
    <m/>
    <n v="0"/>
    <x v="5"/>
    <n v="0"/>
  </r>
  <r>
    <s v="18400"/>
    <s v="Non Deployed Fixed Assets - NX"/>
    <m/>
    <m/>
    <m/>
    <m/>
    <m/>
    <m/>
    <n v="0"/>
    <x v="6"/>
    <n v="0"/>
  </r>
  <r>
    <s v="18500"/>
    <s v="Inventory - Non Net Exp"/>
    <m/>
    <m/>
    <m/>
    <m/>
    <m/>
    <m/>
    <n v="0"/>
    <x v="4"/>
    <n v="0"/>
  </r>
  <r>
    <s v="18600"/>
    <s v="Non-Deployed CPE &amp; AP's"/>
    <m/>
    <m/>
    <m/>
    <m/>
    <m/>
    <m/>
    <n v="0"/>
    <x v="6"/>
    <n v="0"/>
  </r>
  <r>
    <s v="18607"/>
    <s v="Non-Deployed Gen 7"/>
    <m/>
    <m/>
    <m/>
    <m/>
    <m/>
    <m/>
    <n v="0"/>
    <x v="6"/>
    <n v="0"/>
  </r>
  <r>
    <m/>
    <s v="Contra Account - Non-Deployed CPE"/>
    <m/>
    <m/>
    <m/>
    <m/>
    <m/>
    <n v="0"/>
    <n v="0"/>
    <x v="6"/>
    <n v="0"/>
  </r>
  <r>
    <s v="15100"/>
    <s v="Furniture"/>
    <m/>
    <m/>
    <m/>
    <m/>
    <m/>
    <m/>
    <n v="0"/>
    <x v="6"/>
    <n v="0"/>
  </r>
  <r>
    <s v="15300"/>
    <s v="CPE-Modems"/>
    <m/>
    <m/>
    <m/>
    <m/>
    <m/>
    <n v="0"/>
    <n v="0"/>
    <x v="6"/>
    <n v="0"/>
  </r>
  <r>
    <s v="15310"/>
    <s v="Phones"/>
    <m/>
    <m/>
    <m/>
    <m/>
    <m/>
    <m/>
    <n v="0"/>
    <x v="6"/>
    <n v="0"/>
  </r>
  <r>
    <s v="15400"/>
    <s v="Repeaters"/>
    <m/>
    <m/>
    <m/>
    <m/>
    <m/>
    <m/>
    <n v="0"/>
    <x v="6"/>
    <n v="0"/>
  </r>
  <r>
    <s v="15402"/>
    <s v="Miscellaneous Equipment"/>
    <m/>
    <m/>
    <m/>
    <m/>
    <m/>
    <m/>
    <n v="0"/>
    <x v="6"/>
    <n v="0"/>
  </r>
  <r>
    <s v="15407"/>
    <s v="Equipment Gen 7"/>
    <m/>
    <m/>
    <m/>
    <m/>
    <m/>
    <m/>
    <n v="0"/>
    <x v="6"/>
    <n v="0"/>
  </r>
  <r>
    <s v="15410"/>
    <s v="Equipment 2X"/>
    <m/>
    <m/>
    <m/>
    <m/>
    <m/>
    <m/>
    <n v="0"/>
    <x v="6"/>
    <n v="0"/>
  </r>
  <r>
    <s v="15500"/>
    <s v="Computers &amp; Peripherial"/>
    <m/>
    <m/>
    <m/>
    <m/>
    <m/>
    <m/>
    <n v="0"/>
    <x v="6"/>
    <n v="0"/>
  </r>
  <r>
    <s v="15600"/>
    <s v="Gateway"/>
    <m/>
    <m/>
    <m/>
    <m/>
    <m/>
    <m/>
    <n v="0"/>
    <x v="6"/>
    <n v="0"/>
  </r>
  <r>
    <s v="15600.01"/>
    <s v="Microwave Network"/>
    <m/>
    <m/>
    <m/>
    <m/>
    <m/>
    <m/>
    <n v="0"/>
    <x v="6"/>
    <n v="0"/>
  </r>
  <r>
    <s v="15600.02"/>
    <s v="Network Infastructure Labor"/>
    <m/>
    <m/>
    <m/>
    <m/>
    <m/>
    <m/>
    <n v="0"/>
    <x v="6"/>
    <n v="0"/>
  </r>
  <r>
    <s v="15600.07"/>
    <s v="Gen 7 Network"/>
    <m/>
    <m/>
    <m/>
    <m/>
    <m/>
    <m/>
    <n v="0"/>
    <x v="6"/>
    <n v="0"/>
  </r>
  <r>
    <s v="15700"/>
    <s v="Software"/>
    <m/>
    <m/>
    <m/>
    <m/>
    <m/>
    <m/>
    <n v="0"/>
    <x v="6"/>
    <n v="0"/>
  </r>
  <r>
    <s v="15700.01"/>
    <s v="Software Labor"/>
    <m/>
    <m/>
    <m/>
    <m/>
    <m/>
    <m/>
    <n v="0"/>
    <x v="7"/>
    <n v="0"/>
  </r>
  <r>
    <s v="15800"/>
    <s v="Vehicles"/>
    <m/>
    <m/>
    <m/>
    <m/>
    <m/>
    <m/>
    <n v="0"/>
    <x v="6"/>
    <n v="0"/>
  </r>
  <r>
    <s v="15000"/>
    <s v="Heliocopter"/>
    <m/>
    <m/>
    <m/>
    <m/>
    <m/>
    <m/>
    <n v="0"/>
    <x v="6"/>
    <n v="0"/>
  </r>
  <r>
    <s v="15900"/>
    <s v="Leasehold Improvements"/>
    <m/>
    <m/>
    <m/>
    <m/>
    <m/>
    <m/>
    <n v="0"/>
    <x v="6"/>
    <n v="0"/>
  </r>
  <r>
    <s v="16100"/>
    <s v="Property"/>
    <m/>
    <m/>
    <m/>
    <m/>
    <m/>
    <m/>
    <n v="0"/>
    <x v="6"/>
    <n v="0"/>
  </r>
  <r>
    <s v="17100"/>
    <s v="Accum Depr-Furniture"/>
    <m/>
    <m/>
    <m/>
    <m/>
    <m/>
    <m/>
    <n v="0"/>
    <x v="6"/>
    <n v="0"/>
  </r>
  <r>
    <s v="17200"/>
    <s v="Accum Depr-Micro Network"/>
    <m/>
    <m/>
    <m/>
    <m/>
    <m/>
    <m/>
    <n v="0"/>
    <x v="6"/>
    <n v="0"/>
  </r>
  <r>
    <s v="17200.01"/>
    <s v="Network Infrastructure Labor"/>
    <m/>
    <m/>
    <m/>
    <m/>
    <m/>
    <m/>
    <n v="0"/>
    <x v="6"/>
    <n v="0"/>
  </r>
  <r>
    <m/>
    <s v="Accum Depr - Heliocopter"/>
    <m/>
    <m/>
    <m/>
    <m/>
    <m/>
    <m/>
    <n v="0"/>
    <x v="6"/>
    <n v="0"/>
  </r>
  <r>
    <s v="17200.07"/>
    <s v="Accum Depr - Gen 7 Network"/>
    <m/>
    <m/>
    <m/>
    <m/>
    <m/>
    <m/>
    <n v="0"/>
    <x v="6"/>
    <n v="0"/>
  </r>
  <r>
    <s v="17300"/>
    <s v="Accum Depr-CPE Modems"/>
    <m/>
    <m/>
    <m/>
    <m/>
    <m/>
    <m/>
    <n v="0"/>
    <x v="6"/>
    <n v="0"/>
  </r>
  <r>
    <s v="17310"/>
    <s v="Accum Depr - Phones"/>
    <m/>
    <m/>
    <m/>
    <m/>
    <m/>
    <m/>
    <n v="0"/>
    <x v="6"/>
    <n v="0"/>
  </r>
  <r>
    <s v="17400"/>
    <s v="Accum Depr-Repeater"/>
    <m/>
    <m/>
    <m/>
    <m/>
    <m/>
    <m/>
    <n v="0"/>
    <x v="6"/>
    <n v="0"/>
  </r>
  <r>
    <s v="17402"/>
    <s v="Accum Depr - Equipment"/>
    <m/>
    <m/>
    <m/>
    <m/>
    <m/>
    <m/>
    <n v="0"/>
    <x v="6"/>
    <n v="0"/>
  </r>
  <r>
    <s v="17407"/>
    <s v="Accum Depre - Equip Gen 7"/>
    <m/>
    <m/>
    <m/>
    <m/>
    <m/>
    <m/>
    <n v="0"/>
    <x v="6"/>
    <n v="0"/>
  </r>
  <r>
    <s v="17410"/>
    <s v="Accum Depre - 2X Equipment"/>
    <m/>
    <m/>
    <m/>
    <m/>
    <m/>
    <m/>
    <n v="0"/>
    <x v="6"/>
    <n v="0"/>
  </r>
  <r>
    <s v="17500"/>
    <s v="Accum Depr-Computer"/>
    <m/>
    <m/>
    <m/>
    <m/>
    <m/>
    <m/>
    <n v="0"/>
    <x v="6"/>
    <n v="0"/>
  </r>
  <r>
    <s v="17600"/>
    <s v="Accum Depr-Gateway"/>
    <m/>
    <m/>
    <m/>
    <m/>
    <m/>
    <m/>
    <n v="0"/>
    <x v="6"/>
    <n v="0"/>
  </r>
  <r>
    <s v="17700"/>
    <s v="Accum-Depr-Software"/>
    <m/>
    <m/>
    <m/>
    <m/>
    <m/>
    <m/>
    <n v="0"/>
    <x v="6"/>
    <n v="0"/>
  </r>
  <r>
    <s v="17700.01"/>
    <s v="Accum Depr Software Labor"/>
    <m/>
    <m/>
    <m/>
    <m/>
    <m/>
    <m/>
    <n v="0"/>
    <x v="7"/>
    <n v="0"/>
  </r>
  <r>
    <s v="17710"/>
    <s v="Accum Dep - LHI"/>
    <m/>
    <m/>
    <m/>
    <m/>
    <m/>
    <m/>
    <n v="0"/>
    <x v="6"/>
    <n v="0"/>
  </r>
  <r>
    <s v="17800"/>
    <s v="Accum Depr-Vehicles"/>
    <m/>
    <m/>
    <m/>
    <m/>
    <m/>
    <m/>
    <n v="0"/>
    <x v="6"/>
    <n v="0"/>
  </r>
  <r>
    <s v="11250"/>
    <s v="Note Receiveable 2X Wireless"/>
    <m/>
    <m/>
    <m/>
    <m/>
    <n v="0"/>
    <m/>
    <n v="0"/>
    <x v="8"/>
    <n v="0"/>
  </r>
  <r>
    <s v="11275"/>
    <s v="Note Receivable DP Aviation"/>
    <m/>
    <m/>
    <m/>
    <m/>
    <n v="0"/>
    <m/>
    <n v="0"/>
    <x v="8"/>
    <n v="0"/>
  </r>
  <r>
    <s v="19000"/>
    <s v="Deposits"/>
    <m/>
    <m/>
    <m/>
    <m/>
    <m/>
    <m/>
    <n v="0"/>
    <x v="2"/>
    <n v="0"/>
  </r>
  <r>
    <s v="19030"/>
    <s v="Prepaid Property Taxes"/>
    <m/>
    <m/>
    <m/>
    <m/>
    <m/>
    <m/>
    <n v="0"/>
    <x v="5"/>
    <n v="0"/>
  </r>
  <r>
    <s v="19300"/>
    <s v="Patent"/>
    <m/>
    <m/>
    <m/>
    <m/>
    <m/>
    <m/>
    <n v="0"/>
    <x v="9"/>
    <n v="0"/>
  </r>
  <r>
    <s v="19350"/>
    <s v="Accumulated Amort - Patent"/>
    <m/>
    <m/>
    <m/>
    <m/>
    <m/>
    <m/>
    <n v="0"/>
    <x v="9"/>
    <n v="0"/>
  </r>
  <r>
    <s v="19567"/>
    <s v="Capitalized Loan costs"/>
    <m/>
    <m/>
    <m/>
    <m/>
    <m/>
    <m/>
    <n v="0"/>
    <x v="10"/>
    <n v="0"/>
  </r>
  <r>
    <s v="19570"/>
    <s v="Accumulated Amort - Loan Costs"/>
    <m/>
    <m/>
    <m/>
    <m/>
    <m/>
    <m/>
    <n v="0"/>
    <x v="10"/>
    <n v="0"/>
  </r>
  <r>
    <s v="19600"/>
    <s v="Investment in 2X Wireless"/>
    <m/>
    <m/>
    <m/>
    <n v="0"/>
    <m/>
    <m/>
    <n v="0"/>
    <x v="8"/>
    <n v="0"/>
  </r>
  <r>
    <s v="19700"/>
    <s v="Investment in DP Aviation"/>
    <m/>
    <m/>
    <m/>
    <n v="0"/>
    <m/>
    <m/>
    <n v="0"/>
    <x v="8"/>
    <n v="0"/>
  </r>
  <r>
    <s v="20000"/>
    <s v="Accounts Payable"/>
    <m/>
    <m/>
    <m/>
    <m/>
    <m/>
    <m/>
    <n v="0"/>
    <x v="11"/>
    <n v="0"/>
  </r>
  <r>
    <s v="20100"/>
    <s v="Accrued Expenses"/>
    <m/>
    <m/>
    <m/>
    <m/>
    <m/>
    <m/>
    <n v="0"/>
    <x v="12"/>
    <n v="0"/>
  </r>
  <r>
    <s v="20100.01"/>
    <s v="Accrued self insurance"/>
    <m/>
    <m/>
    <m/>
    <m/>
    <m/>
    <m/>
    <n v="0"/>
    <x v="12"/>
    <n v="0"/>
  </r>
  <r>
    <s v="21000"/>
    <s v="Payroll Payable"/>
    <m/>
    <m/>
    <m/>
    <m/>
    <m/>
    <m/>
    <n v="0"/>
    <x v="12"/>
    <n v="0"/>
  </r>
  <r>
    <s v="21050"/>
    <s v="Payroll Tax Payable"/>
    <m/>
    <m/>
    <m/>
    <m/>
    <m/>
    <m/>
    <n v="0"/>
    <x v="12"/>
    <n v="0"/>
  </r>
  <r>
    <s v="21100"/>
    <s v="PTO Payable"/>
    <m/>
    <m/>
    <m/>
    <m/>
    <m/>
    <m/>
    <n v="0"/>
    <x v="12"/>
    <n v="0"/>
  </r>
  <r>
    <s v="23100"/>
    <s v="Sales/Use Tax Payable"/>
    <m/>
    <m/>
    <m/>
    <m/>
    <m/>
    <m/>
    <n v="0"/>
    <x v="12"/>
    <n v="0"/>
  </r>
  <r>
    <s v="24948"/>
    <s v="083 N/P - 2012 Dodge Ram"/>
    <m/>
    <m/>
    <m/>
    <m/>
    <m/>
    <m/>
    <n v="0"/>
    <x v="13"/>
    <n v="0"/>
  </r>
  <r>
    <s v="24958"/>
    <s v="091 L/P - 2X  US Bank"/>
    <m/>
    <m/>
    <m/>
    <m/>
    <m/>
    <m/>
    <n v="0"/>
    <x v="13"/>
    <n v="0"/>
  </r>
  <r>
    <s v="24962"/>
    <s v="095 L/P - JB2 Funding"/>
    <m/>
    <m/>
    <m/>
    <m/>
    <m/>
    <m/>
    <n v="0"/>
    <x v="13"/>
    <n v="0"/>
  </r>
  <r>
    <s v="24965"/>
    <s v="098 L/P - Key Equipment"/>
    <m/>
    <m/>
    <m/>
    <m/>
    <m/>
    <m/>
    <n v="0"/>
    <x v="13"/>
    <n v="0"/>
  </r>
  <r>
    <s v="24966"/>
    <s v="099 L/P - Summit"/>
    <m/>
    <m/>
    <m/>
    <m/>
    <m/>
    <m/>
    <n v="0"/>
    <x v="13"/>
    <n v="0"/>
  </r>
  <r>
    <s v="24967"/>
    <s v="100 L/P - Frame 1"/>
    <m/>
    <m/>
    <m/>
    <m/>
    <m/>
    <m/>
    <n v="0"/>
    <x v="13"/>
    <n v="0"/>
  </r>
  <r>
    <s v="24968"/>
    <s v="101 L/P - CIT"/>
    <m/>
    <m/>
    <m/>
    <m/>
    <m/>
    <m/>
    <n v="0"/>
    <x v="13"/>
    <n v="0"/>
  </r>
  <r>
    <s v="24970"/>
    <s v="103 L/P - Element"/>
    <m/>
    <m/>
    <m/>
    <m/>
    <m/>
    <m/>
    <n v="0"/>
    <x v="13"/>
    <n v="0"/>
  </r>
  <r>
    <s v="24971"/>
    <s v="104 L/P - Fame 1 - Leaf"/>
    <m/>
    <m/>
    <m/>
    <m/>
    <m/>
    <m/>
    <n v="0"/>
    <x v="13"/>
    <n v="0"/>
  </r>
  <r>
    <s v="24973"/>
    <s v="106 L/P - EverBank"/>
    <m/>
    <m/>
    <m/>
    <m/>
    <m/>
    <m/>
    <n v="0"/>
    <x v="13"/>
    <n v="0"/>
  </r>
  <r>
    <s v="24977"/>
    <s v="110 L/P - Western Equipment"/>
    <m/>
    <m/>
    <m/>
    <m/>
    <m/>
    <m/>
    <n v="0"/>
    <x v="13"/>
    <n v="0"/>
  </r>
  <r>
    <s v="24979"/>
    <s v="112 L/P - Arlington"/>
    <m/>
    <m/>
    <m/>
    <m/>
    <m/>
    <m/>
    <n v="0"/>
    <x v="13"/>
    <n v="0"/>
  </r>
  <r>
    <s v="24981"/>
    <s v="114 L/P - Nec"/>
    <m/>
    <m/>
    <m/>
    <m/>
    <m/>
    <m/>
    <n v="0"/>
    <x v="13"/>
    <n v="0"/>
  </r>
  <r>
    <s v="24984"/>
    <s v="117 L/P - HP Financial"/>
    <m/>
    <m/>
    <m/>
    <m/>
    <m/>
    <m/>
    <n v="0"/>
    <x v="13"/>
    <n v="0"/>
  </r>
  <r>
    <s v="24986"/>
    <s v="119 L/P - Element"/>
    <m/>
    <m/>
    <m/>
    <m/>
    <m/>
    <m/>
    <n v="0"/>
    <x v="13"/>
    <n v="0"/>
  </r>
  <r>
    <s v="24988"/>
    <s v="121 L/P - Banc of Calif"/>
    <m/>
    <m/>
    <m/>
    <m/>
    <m/>
    <m/>
    <n v="0"/>
    <x v="13"/>
    <n v="0"/>
  </r>
  <r>
    <s v="25001"/>
    <s v="Credit Card AmEx 3000"/>
    <m/>
    <m/>
    <m/>
    <m/>
    <m/>
    <m/>
    <n v="0"/>
    <x v="11"/>
    <n v="0"/>
  </r>
  <r>
    <s v="25001.01"/>
    <s v="Credit Card AMEX 1019"/>
    <m/>
    <m/>
    <m/>
    <m/>
    <m/>
    <m/>
    <n v="0"/>
    <x v="11"/>
    <n v="0"/>
  </r>
  <r>
    <s v="25003"/>
    <s v="Credit Card Home Depot"/>
    <m/>
    <m/>
    <m/>
    <m/>
    <m/>
    <m/>
    <n v="0"/>
    <x v="11"/>
    <n v="0"/>
  </r>
  <r>
    <s v="25004"/>
    <s v="Credit Card Chase 8093 - 3079"/>
    <m/>
    <m/>
    <m/>
    <m/>
    <m/>
    <m/>
    <n v="0"/>
    <x v="11"/>
    <n v="0"/>
  </r>
  <r>
    <s v="25005"/>
    <s v="Credit Card United 6664 - 5834"/>
    <m/>
    <m/>
    <m/>
    <m/>
    <m/>
    <m/>
    <n v="0"/>
    <x v="11"/>
    <n v="0"/>
  </r>
  <r>
    <s v="25006"/>
    <s v="Credit Card Chas 5756 Employee"/>
    <m/>
    <m/>
    <m/>
    <m/>
    <m/>
    <m/>
    <n v="0"/>
    <x v="11"/>
    <n v="0"/>
  </r>
  <r>
    <s v="25007"/>
    <s v="Credit Card  AM EX CostCo 1008"/>
    <m/>
    <m/>
    <m/>
    <m/>
    <m/>
    <m/>
    <n v="0"/>
    <x v="11"/>
    <n v="0"/>
  </r>
  <r>
    <s v="25008"/>
    <s v="Credit Card Capital One"/>
    <m/>
    <m/>
    <m/>
    <m/>
    <m/>
    <m/>
    <n v="0"/>
    <x v="11"/>
    <n v="0"/>
  </r>
  <r>
    <s v="25008.01"/>
    <s v="Capital One"/>
    <m/>
    <m/>
    <m/>
    <m/>
    <m/>
    <m/>
    <n v="0"/>
    <x v="11"/>
    <n v="0"/>
  </r>
  <r>
    <s v="25012"/>
    <s v="Credit CardChase - United 9064"/>
    <m/>
    <m/>
    <m/>
    <m/>
    <m/>
    <m/>
    <n v="0"/>
    <x v="11"/>
    <n v="0"/>
  </r>
  <r>
    <s v="25015"/>
    <s v="126 L/P - Summit"/>
    <m/>
    <m/>
    <m/>
    <m/>
    <m/>
    <m/>
    <n v="0"/>
    <x v="13"/>
    <n v="0"/>
  </r>
  <r>
    <s v="25018"/>
    <s v="129 L/P - Western"/>
    <m/>
    <m/>
    <m/>
    <m/>
    <m/>
    <m/>
    <n v="0"/>
    <x v="13"/>
    <n v="0"/>
  </r>
  <r>
    <s v="25019"/>
    <s v="130 L/P - De Lage Landen"/>
    <m/>
    <m/>
    <m/>
    <m/>
    <m/>
    <m/>
    <n v="0"/>
    <x v="13"/>
    <n v="0"/>
  </r>
  <r>
    <s v="25020"/>
    <s v="131 L/P - Element"/>
    <m/>
    <m/>
    <m/>
    <m/>
    <m/>
    <m/>
    <n v="0"/>
    <x v="13"/>
    <n v="0"/>
  </r>
  <r>
    <s v="25029"/>
    <s v="139 L/P - Western"/>
    <m/>
    <m/>
    <m/>
    <m/>
    <m/>
    <m/>
    <n v="0"/>
    <x v="13"/>
    <n v="0"/>
  </r>
  <r>
    <s v="25031"/>
    <s v="142 L/P - US Bank Copier"/>
    <m/>
    <m/>
    <m/>
    <m/>
    <m/>
    <m/>
    <n v="0"/>
    <x v="13"/>
    <n v="0"/>
  </r>
  <r>
    <s v="25033"/>
    <s v="144 L/P - WISPer"/>
    <m/>
    <m/>
    <m/>
    <m/>
    <m/>
    <m/>
    <n v="0"/>
    <x v="13"/>
    <n v="0"/>
  </r>
  <r>
    <s v="25034"/>
    <s v="145 L/P - EverBank"/>
    <m/>
    <m/>
    <m/>
    <m/>
    <m/>
    <m/>
    <n v="0"/>
    <x v="13"/>
    <n v="0"/>
  </r>
  <r>
    <s v="25035"/>
    <s v="146 L/P - WISPer"/>
    <m/>
    <m/>
    <m/>
    <m/>
    <m/>
    <m/>
    <n v="0"/>
    <x v="13"/>
    <n v="0"/>
  </r>
  <r>
    <s v="25036"/>
    <s v="147 L/P - WISPer"/>
    <m/>
    <m/>
    <m/>
    <m/>
    <m/>
    <m/>
    <n v="0"/>
    <x v="13"/>
    <n v="0"/>
  </r>
  <r>
    <s v="25037"/>
    <s v="148 L/P - Axis Capital"/>
    <m/>
    <m/>
    <m/>
    <m/>
    <m/>
    <m/>
    <n v="0"/>
    <x v="13"/>
    <n v="0"/>
  </r>
  <r>
    <s v="25038"/>
    <s v="149 L/P - Axis Capital"/>
    <m/>
    <m/>
    <m/>
    <m/>
    <m/>
    <m/>
    <n v="0"/>
    <x v="13"/>
    <n v="0"/>
  </r>
  <r>
    <s v="25039"/>
    <s v="150 L/P - WISPer 4"/>
    <m/>
    <m/>
    <m/>
    <m/>
    <m/>
    <m/>
    <n v="0"/>
    <x v="13"/>
    <n v="0"/>
  </r>
  <r>
    <s v="25040"/>
    <s v="151 N/P - 2016 Ford F350"/>
    <m/>
    <m/>
    <m/>
    <m/>
    <m/>
    <m/>
    <n v="0"/>
    <x v="13"/>
    <n v="0"/>
  </r>
  <r>
    <s v="25041"/>
    <s v="152 L/P - AXIS CAPITAL"/>
    <m/>
    <m/>
    <m/>
    <m/>
    <m/>
    <m/>
    <n v="0"/>
    <x v="13"/>
    <n v="0"/>
  </r>
  <r>
    <s v="25042"/>
    <s v="153 L/p - Jules"/>
    <m/>
    <m/>
    <m/>
    <m/>
    <m/>
    <m/>
    <n v="0"/>
    <x v="13"/>
    <n v="0"/>
  </r>
  <r>
    <s v="25043"/>
    <s v="154 L/P - Jules 3"/>
    <m/>
    <m/>
    <m/>
    <m/>
    <m/>
    <m/>
    <n v="0"/>
    <x v="13"/>
    <n v="0"/>
  </r>
  <r>
    <s v="25044"/>
    <s v="155 L/P - Axis Capital 4"/>
    <m/>
    <m/>
    <m/>
    <m/>
    <m/>
    <m/>
    <n v="0"/>
    <x v="13"/>
    <n v="0"/>
  </r>
  <r>
    <s v="25045"/>
    <s v="156 L/P - Axis Capital 5"/>
    <m/>
    <m/>
    <m/>
    <m/>
    <m/>
    <m/>
    <n v="0"/>
    <x v="13"/>
    <n v="0"/>
  </r>
  <r>
    <s v="25046"/>
    <s v="157 L/P - Jules 4"/>
    <m/>
    <m/>
    <m/>
    <m/>
    <m/>
    <m/>
    <n v="0"/>
    <x v="13"/>
    <n v="0"/>
  </r>
  <r>
    <s v="25048"/>
    <s v="159 L/P - Jules 6"/>
    <m/>
    <m/>
    <m/>
    <m/>
    <m/>
    <m/>
    <n v="0"/>
    <x v="13"/>
    <n v="0"/>
  </r>
  <r>
    <s v="25049"/>
    <s v="160 L/P - Technology Finance"/>
    <m/>
    <m/>
    <m/>
    <m/>
    <m/>
    <m/>
    <n v="0"/>
    <x v="13"/>
    <n v="0"/>
  </r>
  <r>
    <s v="25050"/>
    <s v="161 L/P - Alliance Funding"/>
    <m/>
    <m/>
    <m/>
    <m/>
    <m/>
    <m/>
    <n v="0"/>
    <x v="13"/>
    <n v="0"/>
  </r>
  <r>
    <s v="25051"/>
    <s v="162 L/P - Susquehanna"/>
    <m/>
    <m/>
    <m/>
    <m/>
    <m/>
    <m/>
    <n v="0"/>
    <x v="13"/>
    <n v="0"/>
  </r>
  <r>
    <s v="25052"/>
    <s v="163 L/P - Jules 5"/>
    <m/>
    <m/>
    <m/>
    <m/>
    <m/>
    <m/>
    <n v="0"/>
    <x v="13"/>
    <n v="0"/>
  </r>
  <r>
    <s v="25053"/>
    <s v="164 L/P -  TFC 5"/>
    <m/>
    <m/>
    <m/>
    <m/>
    <m/>
    <m/>
    <n v="0"/>
    <x v="13"/>
    <n v="0"/>
  </r>
  <r>
    <s v="25054"/>
    <s v="165 L/P - TFC 6"/>
    <m/>
    <m/>
    <m/>
    <m/>
    <m/>
    <m/>
    <n v="0"/>
    <x v="13"/>
    <n v="0"/>
  </r>
  <r>
    <s v="25055"/>
    <s v="166 L/P - TFC 7"/>
    <m/>
    <m/>
    <m/>
    <m/>
    <m/>
    <m/>
    <n v="0"/>
    <x v="13"/>
    <n v="0"/>
  </r>
  <r>
    <s v="25057"/>
    <s v="168 N/P - TFC 8"/>
    <m/>
    <m/>
    <m/>
    <m/>
    <m/>
    <m/>
    <n v="0"/>
    <x v="13"/>
    <n v="0"/>
  </r>
  <r>
    <s v="25058"/>
    <s v="169 N/P - East West Bank - C"/>
    <m/>
    <m/>
    <m/>
    <m/>
    <m/>
    <m/>
    <n v="0"/>
    <x v="13"/>
    <n v="0"/>
  </r>
  <r>
    <s v="25059"/>
    <s v="170 N/P - Sheffield 4"/>
    <m/>
    <m/>
    <m/>
    <m/>
    <m/>
    <m/>
    <n v="0"/>
    <x v="13"/>
    <n v="0"/>
  </r>
  <r>
    <s v="26900"/>
    <s v="Deferred Revenue"/>
    <m/>
    <m/>
    <m/>
    <m/>
    <m/>
    <m/>
    <n v="0"/>
    <x v="14"/>
    <n v="0"/>
  </r>
  <r>
    <s v="26900.01"/>
    <s v="DR HOLDING"/>
    <m/>
    <m/>
    <m/>
    <m/>
    <m/>
    <m/>
    <n v="0"/>
    <x v="14"/>
    <n v="0"/>
  </r>
  <r>
    <s v="26910"/>
    <s v="Deferred Revenuse Wholesale"/>
    <m/>
    <m/>
    <m/>
    <m/>
    <m/>
    <m/>
    <n v="0"/>
    <x v="14"/>
    <n v="0"/>
  </r>
  <r>
    <s v="26920"/>
    <s v="Deferred Revenue Other"/>
    <m/>
    <m/>
    <m/>
    <m/>
    <m/>
    <m/>
    <n v="0"/>
    <x v="14"/>
    <n v="0"/>
  </r>
  <r>
    <s v="26940"/>
    <s v="Deferred Revenue Comm Impact"/>
    <m/>
    <m/>
    <m/>
    <m/>
    <m/>
    <m/>
    <n v="0"/>
    <x v="14"/>
    <n v="0"/>
  </r>
  <r>
    <s v="26951"/>
    <s v="Deferred Revenue Bus Services"/>
    <m/>
    <m/>
    <m/>
    <m/>
    <m/>
    <m/>
    <n v="0"/>
    <x v="14"/>
    <n v="0"/>
  </r>
  <r>
    <s v="27948"/>
    <s v="083 N/P - 2012 Dodge Ram"/>
    <m/>
    <m/>
    <m/>
    <m/>
    <m/>
    <m/>
    <n v="0"/>
    <x v="10"/>
    <n v="0"/>
  </r>
  <r>
    <s v="27968"/>
    <s v="101 L/P - CIT"/>
    <m/>
    <m/>
    <m/>
    <m/>
    <m/>
    <m/>
    <n v="0"/>
    <x v="10"/>
    <n v="0"/>
  </r>
  <r>
    <s v="27970"/>
    <s v="103 L/P - Element"/>
    <m/>
    <m/>
    <m/>
    <m/>
    <m/>
    <m/>
    <n v="0"/>
    <x v="10"/>
    <n v="0"/>
  </r>
  <r>
    <s v="27971"/>
    <s v="104 L/P - Fame 1 - Leaf"/>
    <m/>
    <m/>
    <m/>
    <m/>
    <m/>
    <m/>
    <n v="0"/>
    <x v="10"/>
    <n v="0"/>
  </r>
  <r>
    <s v="27973"/>
    <s v="106 L/P - EverBank"/>
    <m/>
    <m/>
    <m/>
    <m/>
    <m/>
    <m/>
    <n v="0"/>
    <x v="10"/>
    <n v="0"/>
  </r>
  <r>
    <s v="27977"/>
    <s v="110 L/P - Western Equipment"/>
    <m/>
    <m/>
    <m/>
    <m/>
    <m/>
    <m/>
    <n v="0"/>
    <x v="10"/>
    <n v="0"/>
  </r>
  <r>
    <s v="27979"/>
    <s v="112 L/P - Arlington"/>
    <m/>
    <m/>
    <m/>
    <m/>
    <m/>
    <m/>
    <n v="0"/>
    <x v="10"/>
    <n v="0"/>
  </r>
  <r>
    <s v="27981"/>
    <s v="114 L/P - Nec"/>
    <m/>
    <m/>
    <m/>
    <m/>
    <m/>
    <m/>
    <n v="0"/>
    <x v="10"/>
    <n v="0"/>
  </r>
  <r>
    <s v="27984"/>
    <s v="117 L/P - HP Financial"/>
    <m/>
    <m/>
    <m/>
    <m/>
    <m/>
    <m/>
    <n v="0"/>
    <x v="10"/>
    <n v="0"/>
  </r>
  <r>
    <s v="27986"/>
    <s v="119 L/P - Element"/>
    <m/>
    <m/>
    <m/>
    <m/>
    <m/>
    <m/>
    <n v="0"/>
    <x v="10"/>
    <n v="0"/>
  </r>
  <r>
    <s v="27988"/>
    <s v="121 L/P - Banc of Calif"/>
    <m/>
    <m/>
    <m/>
    <m/>
    <m/>
    <m/>
    <n v="0"/>
    <x v="10"/>
    <n v="0"/>
  </r>
  <r>
    <s v="28015"/>
    <s v="126 L/P - Summit"/>
    <m/>
    <m/>
    <m/>
    <m/>
    <m/>
    <m/>
    <n v="0"/>
    <x v="10"/>
    <n v="0"/>
  </r>
  <r>
    <s v="28018"/>
    <s v="129 L/P - Western"/>
    <m/>
    <m/>
    <m/>
    <m/>
    <m/>
    <m/>
    <n v="0"/>
    <x v="10"/>
    <n v="0"/>
  </r>
  <r>
    <s v="28019"/>
    <s v="130 L/P - De Lage Landen"/>
    <m/>
    <m/>
    <m/>
    <m/>
    <m/>
    <m/>
    <n v="0"/>
    <x v="10"/>
    <n v="0"/>
  </r>
  <r>
    <s v="28020"/>
    <s v="131 L/P -  Element"/>
    <m/>
    <m/>
    <m/>
    <m/>
    <m/>
    <m/>
    <n v="0"/>
    <x v="10"/>
    <n v="0"/>
  </r>
  <r>
    <s v="28029"/>
    <s v="139 L/P - Western"/>
    <m/>
    <m/>
    <m/>
    <m/>
    <m/>
    <m/>
    <n v="0"/>
    <x v="10"/>
    <n v="0"/>
  </r>
  <r>
    <s v="28031"/>
    <s v="142 L/P - US Bank Copier"/>
    <m/>
    <m/>
    <m/>
    <m/>
    <m/>
    <m/>
    <n v="0"/>
    <x v="10"/>
    <n v="0"/>
  </r>
  <r>
    <s v="28033"/>
    <s v="144 L/P - WISPer"/>
    <m/>
    <m/>
    <m/>
    <m/>
    <m/>
    <m/>
    <n v="0"/>
    <x v="10"/>
    <n v="0"/>
  </r>
  <r>
    <s v="28034"/>
    <s v="145 L/P - EverBank"/>
    <m/>
    <m/>
    <m/>
    <m/>
    <m/>
    <m/>
    <n v="0"/>
    <x v="10"/>
    <n v="0"/>
  </r>
  <r>
    <s v="28035"/>
    <s v="146 L/P - WISPer"/>
    <m/>
    <m/>
    <m/>
    <m/>
    <m/>
    <m/>
    <n v="0"/>
    <x v="10"/>
    <n v="0"/>
  </r>
  <r>
    <s v="28036"/>
    <s v="147 L/P - WISPer"/>
    <m/>
    <m/>
    <m/>
    <m/>
    <m/>
    <m/>
    <n v="0"/>
    <x v="10"/>
    <n v="0"/>
  </r>
  <r>
    <s v="28037"/>
    <s v="148 L/P Axis Capital"/>
    <m/>
    <m/>
    <m/>
    <m/>
    <m/>
    <m/>
    <n v="0"/>
    <x v="10"/>
    <n v="0"/>
  </r>
  <r>
    <s v="28038"/>
    <s v="149 L/P - Axis Capital"/>
    <m/>
    <m/>
    <m/>
    <m/>
    <m/>
    <m/>
    <n v="0"/>
    <x v="10"/>
    <n v="0"/>
  </r>
  <r>
    <s v="28039"/>
    <s v="150 L/P - WISPer 4"/>
    <m/>
    <m/>
    <m/>
    <m/>
    <m/>
    <m/>
    <n v="0"/>
    <x v="10"/>
    <n v="0"/>
  </r>
  <r>
    <s v="28040"/>
    <s v="151 N/P - 2016 Ford F350"/>
    <m/>
    <m/>
    <m/>
    <m/>
    <m/>
    <m/>
    <n v="0"/>
    <x v="10"/>
    <n v="0"/>
  </r>
  <r>
    <s v="28041"/>
    <s v="152 L/P - AXIS CAPITAL"/>
    <m/>
    <m/>
    <m/>
    <m/>
    <m/>
    <m/>
    <n v="0"/>
    <x v="10"/>
    <n v="0"/>
  </r>
  <r>
    <s v="28042"/>
    <s v="153 L/p - Jules"/>
    <m/>
    <m/>
    <m/>
    <m/>
    <m/>
    <m/>
    <n v="0"/>
    <x v="10"/>
    <n v="0"/>
  </r>
  <r>
    <s v="28043"/>
    <s v="154 L/P - Jules 3"/>
    <m/>
    <m/>
    <m/>
    <m/>
    <m/>
    <m/>
    <n v="0"/>
    <x v="10"/>
    <n v="0"/>
  </r>
  <r>
    <s v="28044"/>
    <s v="155 L/P - Axis Capital 4"/>
    <m/>
    <m/>
    <m/>
    <m/>
    <m/>
    <m/>
    <n v="0"/>
    <x v="10"/>
    <n v="0"/>
  </r>
  <r>
    <s v="28045"/>
    <s v="156 L/P - Axis Capital 5"/>
    <m/>
    <m/>
    <m/>
    <m/>
    <m/>
    <m/>
    <n v="0"/>
    <x v="10"/>
    <n v="0"/>
  </r>
  <r>
    <s v="28046"/>
    <s v="157 L/P - Jules 4"/>
    <m/>
    <m/>
    <m/>
    <m/>
    <m/>
    <m/>
    <n v="0"/>
    <x v="10"/>
    <n v="0"/>
  </r>
  <r>
    <s v="28048"/>
    <s v="159 L/P - Jules 6"/>
    <m/>
    <m/>
    <m/>
    <m/>
    <m/>
    <m/>
    <n v="0"/>
    <x v="10"/>
    <n v="0"/>
  </r>
  <r>
    <s v="28049"/>
    <s v="160 L/P - Technology Finance"/>
    <m/>
    <m/>
    <m/>
    <m/>
    <m/>
    <m/>
    <n v="0"/>
    <x v="10"/>
    <n v="0"/>
  </r>
  <r>
    <s v="28050"/>
    <s v="161 L/P - Alliance Funding"/>
    <m/>
    <m/>
    <m/>
    <m/>
    <m/>
    <m/>
    <n v="0"/>
    <x v="10"/>
    <n v="0"/>
  </r>
  <r>
    <s v="28051"/>
    <s v="162 L/P - Susquehanna"/>
    <m/>
    <m/>
    <m/>
    <m/>
    <m/>
    <m/>
    <n v="0"/>
    <x v="10"/>
    <n v="0"/>
  </r>
  <r>
    <s v="28052"/>
    <s v="163 L/P - Jules 5"/>
    <m/>
    <m/>
    <m/>
    <m/>
    <m/>
    <m/>
    <n v="0"/>
    <x v="10"/>
    <n v="0"/>
  </r>
  <r>
    <s v="28053"/>
    <s v="164 L/P -  TFC 5"/>
    <m/>
    <m/>
    <m/>
    <m/>
    <m/>
    <m/>
    <n v="0"/>
    <x v="10"/>
    <n v="0"/>
  </r>
  <r>
    <s v="28054"/>
    <s v="165 L/P - TFC 6"/>
    <m/>
    <m/>
    <m/>
    <m/>
    <m/>
    <m/>
    <n v="0"/>
    <x v="10"/>
    <n v="0"/>
  </r>
  <r>
    <s v="28055"/>
    <s v="166 L/P - TFC 7"/>
    <m/>
    <m/>
    <m/>
    <m/>
    <m/>
    <m/>
    <n v="0"/>
    <x v="10"/>
    <n v="0"/>
  </r>
  <r>
    <s v="28057"/>
    <s v="168 N/P - TFC 8"/>
    <m/>
    <m/>
    <m/>
    <m/>
    <m/>
    <m/>
    <n v="0"/>
    <x v="10"/>
    <n v="0"/>
  </r>
  <r>
    <s v="28058"/>
    <s v="169 N/P - East West Bank - C"/>
    <m/>
    <m/>
    <m/>
    <m/>
    <m/>
    <m/>
    <n v="0"/>
    <x v="10"/>
    <n v="0"/>
  </r>
  <r>
    <s v="28059"/>
    <s v="170 N/P - Sheffield 4"/>
    <m/>
    <m/>
    <m/>
    <m/>
    <m/>
    <m/>
    <n v="0"/>
    <x v="10"/>
    <n v="0"/>
  </r>
  <r>
    <n v="27250"/>
    <s v="2x NP DPI - Intercompany"/>
    <m/>
    <m/>
    <m/>
    <m/>
    <n v="0"/>
    <m/>
    <n v="0"/>
    <x v="8"/>
    <n v="0"/>
  </r>
  <r>
    <s v="20275"/>
    <s v="DPA NP DPI - Intercompany"/>
    <m/>
    <m/>
    <m/>
    <m/>
    <n v="0"/>
    <m/>
    <n v="0"/>
    <x v="8"/>
    <n v="0"/>
  </r>
  <r>
    <s v="29000"/>
    <s v="Warrant Liability"/>
    <m/>
    <m/>
    <m/>
    <m/>
    <m/>
    <m/>
    <n v="0"/>
    <x v="15"/>
    <n v="0"/>
  </r>
  <r>
    <s v="38400"/>
    <s v="Contra Account - Sales Leaseback"/>
    <m/>
    <m/>
    <m/>
    <m/>
    <m/>
    <m/>
    <n v="0"/>
    <x v="16"/>
    <n v="0"/>
  </r>
  <r>
    <s v="38500"/>
    <s v="Contra Account - Interco Sales"/>
    <m/>
    <m/>
    <m/>
    <m/>
    <m/>
    <n v="0"/>
    <n v="0"/>
    <x v="16"/>
    <n v="0"/>
  </r>
  <r>
    <s v="39005"/>
    <s v="Retained Earnings"/>
    <m/>
    <m/>
    <m/>
    <m/>
    <m/>
    <m/>
    <n v="0"/>
    <x v="16"/>
    <n v="0"/>
  </r>
  <r>
    <s v="39907"/>
    <s v="Stock"/>
    <m/>
    <m/>
    <m/>
    <n v="0"/>
    <m/>
    <m/>
    <n v="0"/>
    <x v="17"/>
    <n v="0"/>
  </r>
  <r>
    <s v="39908"/>
    <s v="Preferred Stock"/>
    <m/>
    <m/>
    <m/>
    <m/>
    <m/>
    <m/>
    <n v="0"/>
    <x v="18"/>
    <n v="0"/>
  </r>
  <r>
    <s v="39910"/>
    <s v="APIC - add. paid in Capital"/>
    <m/>
    <m/>
    <m/>
    <m/>
    <m/>
    <m/>
    <n v="0"/>
    <x v="19"/>
    <n v="0"/>
  </r>
  <r>
    <s v=""/>
    <s v="Net Income"/>
    <m/>
    <m/>
    <m/>
    <m/>
    <m/>
    <m/>
    <n v="0"/>
    <x v="16"/>
    <n v="0"/>
  </r>
</pivotCacheRecords>
</file>

<file path=xl/pivotCache/pivotCacheRecords27.xml><?xml version="1.0" encoding="utf-8"?>
<pivotCacheRecords xmlns="http://schemas.openxmlformats.org/spreadsheetml/2006/main" xmlns:r="http://schemas.openxmlformats.org/officeDocument/2006/relationships" count="99">
  <r>
    <s v="4000"/>
    <s v="Rental - Income"/>
    <n v="123500"/>
    <m/>
    <m/>
    <m/>
    <n v="123500"/>
    <x v="0"/>
    <n v="123500"/>
  </r>
  <r>
    <s v="4010"/>
    <s v="Labor Revenue"/>
    <n v="25277.88"/>
    <m/>
    <m/>
    <m/>
    <n v="25277.88"/>
    <x v="0"/>
    <n v="25277.88"/>
  </r>
  <r>
    <s v="4020"/>
    <s v="Discounts Earned"/>
    <n v="0"/>
    <m/>
    <m/>
    <m/>
    <n v="0"/>
    <x v="0"/>
    <n v="0"/>
  </r>
  <r>
    <s v="4030"/>
    <s v="Hauling Revenue"/>
    <n v="53437.120000000003"/>
    <m/>
    <m/>
    <m/>
    <n v="53437.120000000003"/>
    <x v="0"/>
    <n v="53437.120000000003"/>
  </r>
  <r>
    <s v="4050"/>
    <s v="Consignment Sales - Joint Venture"/>
    <n v="0"/>
    <m/>
    <m/>
    <n v="0"/>
    <n v="0"/>
    <x v="0"/>
    <n v="0"/>
  </r>
  <r>
    <s v="4060"/>
    <s v="Sales of Equipment"/>
    <n v="296350"/>
    <m/>
    <m/>
    <m/>
    <n v="296350"/>
    <x v="0"/>
    <n v="296350"/>
  </r>
  <r>
    <s v="4070"/>
    <s v="Attachment Sales"/>
    <n v="3000"/>
    <m/>
    <m/>
    <m/>
    <n v="3000"/>
    <x v="0"/>
    <n v="3000"/>
  </r>
  <r>
    <s v="4080"/>
    <s v="Scrap Sales"/>
    <n v="563.52"/>
    <m/>
    <m/>
    <m/>
    <n v="563.52"/>
    <x v="0"/>
    <n v="563.52"/>
  </r>
  <r>
    <s v="4100"/>
    <s v="Parts Sales"/>
    <n v="42013.75"/>
    <m/>
    <m/>
    <m/>
    <n v="42013.75"/>
    <x v="0"/>
    <n v="42013.75"/>
  </r>
  <r>
    <s v="4110"/>
    <s v="Parts Department Special Orders"/>
    <n v="0"/>
    <m/>
    <m/>
    <m/>
    <n v="0"/>
    <x v="0"/>
    <n v="0"/>
  </r>
  <r>
    <s v="4120"/>
    <s v="Parts Department Freight"/>
    <n v="5095.95"/>
    <m/>
    <m/>
    <m/>
    <n v="5095.95"/>
    <x v="0"/>
    <n v="5095.95"/>
  </r>
  <r>
    <s v="4150"/>
    <s v="Finance Charge Income"/>
    <n v="0"/>
    <m/>
    <m/>
    <m/>
    <n v="0"/>
    <x v="0"/>
    <n v="0"/>
  </r>
  <r>
    <s v="4160"/>
    <s v="Outside Services Billed to Customer"/>
    <n v="1283.8"/>
    <m/>
    <m/>
    <m/>
    <n v="1283.8"/>
    <x v="0"/>
    <n v="1283.8"/>
  </r>
  <r>
    <s v="4180"/>
    <s v="Credit Card Fees"/>
    <n v="15.47"/>
    <m/>
    <m/>
    <m/>
    <n v="15.47"/>
    <x v="0"/>
    <n v="15.47"/>
  </r>
  <r>
    <s v="5000"/>
    <s v="COGS Equipment"/>
    <n v="-265436.38"/>
    <m/>
    <m/>
    <m/>
    <n v="-265436.38"/>
    <x v="1"/>
    <n v="-265436.38"/>
  </r>
  <r>
    <s v="50000"/>
    <s v="Cost of Goods Sold"/>
    <n v="0"/>
    <m/>
    <m/>
    <m/>
    <n v="0"/>
    <x v="1"/>
    <n v="0"/>
  </r>
  <r>
    <s v="5010"/>
    <s v="COGS Attachments"/>
    <n v="0"/>
    <m/>
    <m/>
    <m/>
    <n v="0"/>
    <x v="1"/>
    <n v="0"/>
  </r>
  <r>
    <s v="5020"/>
    <s v="COGS Parts"/>
    <n v="-13810.92"/>
    <m/>
    <m/>
    <m/>
    <n v="-13810.92"/>
    <x v="1"/>
    <n v="-13810.92"/>
  </r>
  <r>
    <s v="5030"/>
    <s v="COGS Joint Venture"/>
    <n v="0"/>
    <m/>
    <m/>
    <m/>
    <n v="0"/>
    <x v="1"/>
    <n v="0"/>
  </r>
  <r>
    <s v="5050"/>
    <s v="COGS Special Order Parts"/>
    <n v="51.31"/>
    <m/>
    <m/>
    <m/>
    <n v="51.31"/>
    <x v="1"/>
    <n v="51.31"/>
  </r>
  <r>
    <s v="5060"/>
    <s v="COGS Haulting"/>
    <n v="0"/>
    <m/>
    <m/>
    <m/>
    <n v="0"/>
    <x v="1"/>
    <n v="0"/>
  </r>
  <r>
    <s v="5070"/>
    <s v="COGS Frieght"/>
    <n v="-6343.16"/>
    <m/>
    <m/>
    <m/>
    <n v="-6343.16"/>
    <x v="1"/>
    <n v="-6343.16"/>
  </r>
  <r>
    <s v="5090"/>
    <s v="COGS Paint"/>
    <n v="-1042.1300000000001"/>
    <m/>
    <m/>
    <m/>
    <n v="-1042.1300000000001"/>
    <x v="1"/>
    <n v="-1042.1300000000001"/>
  </r>
  <r>
    <s v="5100"/>
    <s v="Pilot Cars"/>
    <n v="0"/>
    <m/>
    <m/>
    <m/>
    <n v="0"/>
    <x v="1"/>
    <n v="0"/>
  </r>
  <r>
    <s v="5110"/>
    <s v="Commission"/>
    <n v="-9520"/>
    <m/>
    <m/>
    <m/>
    <n v="-9520"/>
    <x v="1"/>
    <n v="-9520"/>
  </r>
  <r>
    <s v="5120"/>
    <s v="COGS Outside Service"/>
    <n v="-242.95"/>
    <m/>
    <m/>
    <m/>
    <n v="-242.95"/>
    <x v="1"/>
    <n v="-242.95"/>
  </r>
  <r>
    <s v="5210"/>
    <s v="COGS Depreciation"/>
    <n v="0"/>
    <m/>
    <m/>
    <m/>
    <n v="0"/>
    <x v="1"/>
    <n v="0"/>
  </r>
  <r>
    <s v="6010"/>
    <s v="Payroll - Adminsitration"/>
    <n v="-19023.25"/>
    <m/>
    <m/>
    <m/>
    <n v="-19023.25"/>
    <x v="2"/>
    <n v="-19023.25"/>
  </r>
  <r>
    <s v="6011"/>
    <s v="Payroll - Sales"/>
    <n v="-20034.12"/>
    <m/>
    <m/>
    <m/>
    <n v="-20034.12"/>
    <x v="2"/>
    <n v="-20034.12"/>
  </r>
  <r>
    <s v="6012"/>
    <s v="Payroll - Parts"/>
    <n v="-5820.33"/>
    <m/>
    <m/>
    <m/>
    <n v="-5820.33"/>
    <x v="2"/>
    <n v="-5820.33"/>
  </r>
  <r>
    <s v="6013"/>
    <s v="Payroll - Trucking"/>
    <n v="-13960.37"/>
    <m/>
    <m/>
    <m/>
    <n v="-13960.37"/>
    <x v="2"/>
    <n v="-13960.37"/>
  </r>
  <r>
    <s v="6014"/>
    <s v="Payroll - Service Department"/>
    <n v="-27929.3"/>
    <m/>
    <m/>
    <m/>
    <n v="-27929.3"/>
    <x v="2"/>
    <n v="-27929.3"/>
  </r>
  <r>
    <s v="6015"/>
    <s v="Board Compensation"/>
    <n v="0"/>
    <m/>
    <m/>
    <m/>
    <n v="0"/>
    <x v="2"/>
    <n v="0"/>
  </r>
  <r>
    <s v="6016"/>
    <s v="Employee Incentives/Bonus"/>
    <n v="0"/>
    <m/>
    <m/>
    <m/>
    <n v="0"/>
    <x v="2"/>
    <n v="0"/>
  </r>
  <r>
    <s v="6017"/>
    <s v="Safety Bonus"/>
    <n v="0"/>
    <m/>
    <m/>
    <m/>
    <n v="0"/>
    <x v="2"/>
    <n v="0"/>
  </r>
  <r>
    <s v="6020"/>
    <s v="Marketing Advertising "/>
    <n v="-10321"/>
    <m/>
    <m/>
    <m/>
    <n v="-10321"/>
    <x v="3"/>
    <n v="-10321"/>
  </r>
  <r>
    <s v="6025"/>
    <s v="Promotions"/>
    <n v="-3236.05"/>
    <m/>
    <m/>
    <m/>
    <n v="-3236.05"/>
    <x v="3"/>
    <n v="-3236.05"/>
  </r>
  <r>
    <s v="6030"/>
    <s v="Cargo Insurance"/>
    <n v="0"/>
    <m/>
    <m/>
    <m/>
    <n v="0"/>
    <x v="2"/>
    <n v="0"/>
  </r>
  <r>
    <s v="6035"/>
    <s v="General Liability Insurance"/>
    <n v="0"/>
    <m/>
    <m/>
    <m/>
    <n v="0"/>
    <x v="2"/>
    <n v="0"/>
  </r>
  <r>
    <s v="6040"/>
    <s v="Medical-First Aid"/>
    <n v="0"/>
    <m/>
    <m/>
    <m/>
    <n v="0"/>
    <x v="2"/>
    <n v="0"/>
  </r>
  <r>
    <s v="6045"/>
    <s v="Health Insurance"/>
    <n v="-6054.22"/>
    <m/>
    <m/>
    <m/>
    <n v="-6054.22"/>
    <x v="2"/>
    <n v="-6054.22"/>
  </r>
  <r>
    <s v="6050"/>
    <s v="Officers Life Insurance"/>
    <n v="-3280.2"/>
    <m/>
    <m/>
    <m/>
    <n v="-3280.2"/>
    <x v="2"/>
    <n v="-3280.2"/>
  </r>
  <r>
    <s v="6055"/>
    <s v="Computer Technology Expenses"/>
    <n v="-886.5"/>
    <m/>
    <m/>
    <m/>
    <n v="-886.5"/>
    <x v="2"/>
    <n v="-886.5"/>
  </r>
  <r>
    <s v="6060"/>
    <s v="Dues &amp; Subscriptions"/>
    <n v="0"/>
    <m/>
    <m/>
    <m/>
    <n v="0"/>
    <x v="2"/>
    <n v="0"/>
  </r>
  <r>
    <s v="6065"/>
    <s v="Office Equipment Lease"/>
    <n v="-1289.21"/>
    <m/>
    <m/>
    <m/>
    <n v="-1289.21"/>
    <x v="2"/>
    <n v="-1289.21"/>
  </r>
  <r>
    <s v="6070"/>
    <s v="Professional Fees"/>
    <n v="-169"/>
    <m/>
    <m/>
    <m/>
    <n v="-169"/>
    <x v="2"/>
    <n v="-169"/>
  </r>
  <r>
    <s v="6075"/>
    <s v="Mileage Reimbursement"/>
    <n v="223.26"/>
    <m/>
    <m/>
    <m/>
    <n v="223.26"/>
    <x v="2"/>
    <n v="223.26"/>
  </r>
  <r>
    <s v="6080"/>
    <s v="Charitable Contributions"/>
    <n v="0"/>
    <m/>
    <m/>
    <m/>
    <n v="0"/>
    <x v="2"/>
    <n v="0"/>
  </r>
  <r>
    <s v="6090"/>
    <s v="Commisison Paid"/>
    <n v="-2500"/>
    <m/>
    <m/>
    <m/>
    <n v="-2500"/>
    <x v="2"/>
    <n v="-2500"/>
  </r>
  <r>
    <s v="6100"/>
    <s v="Bank Service Charges"/>
    <n v="-1535.14"/>
    <m/>
    <m/>
    <m/>
    <n v="-1535.14"/>
    <x v="2"/>
    <n v="-1535.14"/>
  </r>
  <r>
    <s v="6120"/>
    <s v="Interest Expense"/>
    <n v="-19637.830000000002"/>
    <m/>
    <m/>
    <m/>
    <n v="-19637.830000000002"/>
    <x v="4"/>
    <n v="-19637.830000000002"/>
  </r>
  <r>
    <s v="6130"/>
    <s v="Late Fees/Finance Charges"/>
    <n v="-934.12"/>
    <m/>
    <m/>
    <m/>
    <n v="-934.12"/>
    <x v="2"/>
    <n v="-934.12"/>
  </r>
  <r>
    <s v="6140"/>
    <s v="Loan Fees"/>
    <n v="-1347.28"/>
    <m/>
    <m/>
    <m/>
    <n v="-1347.28"/>
    <x v="2"/>
    <n v="-1347.28"/>
  </r>
  <r>
    <s v="6145"/>
    <s v="Office Supplies"/>
    <n v="-74.569999999999993"/>
    <m/>
    <m/>
    <m/>
    <n v="-74.569999999999993"/>
    <x v="5"/>
    <n v="-74.569999999999993"/>
  </r>
  <r>
    <s v="6150"/>
    <s v="Accounting Outside Services"/>
    <n v="-393.75"/>
    <m/>
    <m/>
    <m/>
    <n v="-393.75"/>
    <x v="2"/>
    <n v="-393.75"/>
  </r>
  <r>
    <s v="6160"/>
    <s v="Legal"/>
    <n v="0"/>
    <m/>
    <m/>
    <m/>
    <n v="0"/>
    <x v="2"/>
    <n v="0"/>
  </r>
  <r>
    <s v="6165"/>
    <s v="Postage"/>
    <n v="0"/>
    <m/>
    <m/>
    <m/>
    <n v="0"/>
    <x v="2"/>
    <n v="0"/>
  </r>
  <r>
    <s v="6170"/>
    <s v="Continuting Education"/>
    <n v="0"/>
    <m/>
    <m/>
    <m/>
    <n v="0"/>
    <x v="2"/>
    <n v="0"/>
  </r>
  <r>
    <s v="6180"/>
    <s v="Admin Misc. Expenses"/>
    <n v="0"/>
    <m/>
    <m/>
    <m/>
    <n v="0"/>
    <x v="2"/>
    <n v="0"/>
  </r>
  <r>
    <s v="6190"/>
    <s v="Bad Debt"/>
    <n v="0"/>
    <m/>
    <m/>
    <m/>
    <n v="0"/>
    <x v="2"/>
    <n v="0"/>
  </r>
  <r>
    <s v="6200"/>
    <s v="Meals &amp; Entertainment"/>
    <n v="-2747.58"/>
    <m/>
    <m/>
    <m/>
    <n v="-2747.58"/>
    <x v="2"/>
    <n v="-2747.58"/>
  </r>
  <r>
    <s v="6210"/>
    <s v="Rental (vehicle) Exp"/>
    <n v="-558.71"/>
    <m/>
    <m/>
    <m/>
    <n v="-558.71"/>
    <x v="2"/>
    <n v="-558.71"/>
  </r>
  <r>
    <s v="6220"/>
    <s v="Per Diem"/>
    <n v="-1092"/>
    <m/>
    <m/>
    <m/>
    <n v="-1092"/>
    <x v="2"/>
    <n v="-1092"/>
  </r>
  <r>
    <s v="6230"/>
    <s v="Airfare"/>
    <n v="-3824.9"/>
    <m/>
    <m/>
    <m/>
    <n v="-3824.9"/>
    <x v="2"/>
    <n v="-3824.9"/>
  </r>
  <r>
    <s v="6240"/>
    <s v="Lodging"/>
    <n v="-5211.63"/>
    <m/>
    <m/>
    <m/>
    <n v="-5211.63"/>
    <x v="2"/>
    <n v="-5211.63"/>
  </r>
  <r>
    <s v="6250"/>
    <s v="Other Travel Expenses"/>
    <n v="-234"/>
    <m/>
    <m/>
    <m/>
    <n v="-234"/>
    <x v="2"/>
    <n v="-234"/>
  </r>
  <r>
    <s v="6300"/>
    <s v="Fees &amp; Permits"/>
    <n v="-35"/>
    <m/>
    <m/>
    <m/>
    <n v="-35"/>
    <x v="2"/>
    <n v="-35"/>
  </r>
  <r>
    <s v="6310"/>
    <s v="Shop Supplies"/>
    <n v="-3378.27"/>
    <m/>
    <m/>
    <m/>
    <n v="-3378.27"/>
    <x v="2"/>
    <n v="-3378.27"/>
  </r>
  <r>
    <s v="6320"/>
    <s v="Cylinder Rental "/>
    <n v="0"/>
    <m/>
    <m/>
    <m/>
    <n v="0"/>
    <x v="2"/>
    <n v="0"/>
  </r>
  <r>
    <s v="6330"/>
    <s v="Equipment Rental/Lease"/>
    <n v="0"/>
    <m/>
    <m/>
    <m/>
    <n v="0"/>
    <x v="2"/>
    <n v="0"/>
  </r>
  <r>
    <s v="6335"/>
    <s v="Trade Show Expenses"/>
    <n v="-80.180000000000007"/>
    <m/>
    <m/>
    <m/>
    <n v="-80.180000000000007"/>
    <x v="2"/>
    <n v="-80.180000000000007"/>
  </r>
  <r>
    <s v="6340"/>
    <s v="Outside Contractor"/>
    <n v="0"/>
    <m/>
    <m/>
    <m/>
    <n v="0"/>
    <x v="2"/>
    <n v="0"/>
  </r>
  <r>
    <s v="6400"/>
    <s v="Building Rental Expenses"/>
    <n v="0"/>
    <m/>
    <m/>
    <m/>
    <n v="0"/>
    <x v="2"/>
    <n v="0"/>
  </r>
  <r>
    <s v="6410"/>
    <s v="Property Taxes"/>
    <n v="0"/>
    <m/>
    <m/>
    <m/>
    <n v="0"/>
    <x v="5"/>
    <n v="0"/>
  </r>
  <r>
    <s v="6420"/>
    <s v="Utilities"/>
    <n v="-1441"/>
    <m/>
    <m/>
    <m/>
    <n v="-1441"/>
    <x v="2"/>
    <n v="-1441"/>
  </r>
  <r>
    <s v="6440"/>
    <s v="Building &amp; Grounds Maintenance"/>
    <n v="-1069.6600000000001"/>
    <m/>
    <m/>
    <m/>
    <n v="-1069.6600000000001"/>
    <x v="2"/>
    <n v="-1069.6600000000001"/>
  </r>
  <r>
    <s v="6450"/>
    <s v="Security"/>
    <n v="-91.56"/>
    <m/>
    <m/>
    <m/>
    <n v="-91.56"/>
    <x v="2"/>
    <n v="-91.56"/>
  </r>
  <r>
    <s v="6460"/>
    <s v="Pest Control"/>
    <n v="-951"/>
    <m/>
    <m/>
    <m/>
    <n v="-951"/>
    <x v="2"/>
    <n v="-951"/>
  </r>
  <r>
    <s v="6470"/>
    <s v="Janitorial Expense"/>
    <n v="-663.52"/>
    <m/>
    <m/>
    <m/>
    <n v="-663.52"/>
    <x v="2"/>
    <n v="-663.52"/>
  </r>
  <r>
    <s v="6510"/>
    <s v="Fuel Expense"/>
    <n v="-16401.13"/>
    <m/>
    <m/>
    <m/>
    <n v="-16401.13"/>
    <x v="2"/>
    <n v="-16401.13"/>
  </r>
  <r>
    <s v="6520"/>
    <s v="Vehicle Maint &amp; Repair"/>
    <n v="-1143.44"/>
    <m/>
    <m/>
    <m/>
    <n v="-1143.44"/>
    <x v="2"/>
    <n v="-1143.44"/>
  </r>
  <r>
    <s v="6521"/>
    <s v="Equipment Maintanence &amp; Repair"/>
    <n v="-97.95"/>
    <m/>
    <m/>
    <m/>
    <n v="-97.95"/>
    <x v="2"/>
    <n v="-97.95"/>
  </r>
  <r>
    <s v="6530"/>
    <s v="DMV Fees"/>
    <n v="-1065"/>
    <m/>
    <m/>
    <m/>
    <n v="-1065"/>
    <x v="2"/>
    <n v="-1065"/>
  </r>
  <r>
    <s v="6540"/>
    <s v="Trucking Fees &amp; Permits"/>
    <n v="-1739.01"/>
    <m/>
    <m/>
    <m/>
    <n v="-1739.01"/>
    <x v="2"/>
    <n v="-1739.01"/>
  </r>
  <r>
    <s v="6550"/>
    <s v="Outside Services  "/>
    <n v="-2630"/>
    <m/>
    <m/>
    <m/>
    <n v="-2630"/>
    <x v="2"/>
    <n v="-2630"/>
  </r>
  <r>
    <s v="6560"/>
    <s v="Trucking Department - Other Expenses"/>
    <n v="-842.22"/>
    <m/>
    <m/>
    <m/>
    <n v="-842.22"/>
    <x v="2"/>
    <n v="-842.22"/>
  </r>
  <r>
    <s v="6570"/>
    <s v="Outside Hauling"/>
    <n v="-2555"/>
    <m/>
    <m/>
    <m/>
    <n v="-2555"/>
    <x v="2"/>
    <n v="-2555"/>
  </r>
  <r>
    <s v="7000"/>
    <s v="Gain on Sale of Assets"/>
    <n v="0"/>
    <m/>
    <m/>
    <m/>
    <n v="0"/>
    <x v="6"/>
    <n v="0"/>
  </r>
  <r>
    <s v="7100"/>
    <s v="Other Income"/>
    <n v="0"/>
    <m/>
    <m/>
    <m/>
    <n v="0"/>
    <x v="0"/>
    <n v="0"/>
  </r>
  <r>
    <s v="7200"/>
    <s v="Interest Income"/>
    <n v="0"/>
    <m/>
    <m/>
    <m/>
    <n v="0"/>
    <x v="0"/>
    <n v="0"/>
  </r>
  <r>
    <s v="8000"/>
    <s v="Loss on Sales of Assets"/>
    <n v="0"/>
    <m/>
    <m/>
    <m/>
    <n v="0"/>
    <x v="6"/>
    <n v="0"/>
  </r>
  <r>
    <s v="8001"/>
    <s v="Loss on Stock to Debt Reduction"/>
    <n v="0"/>
    <m/>
    <m/>
    <m/>
    <n v="0"/>
    <x v="6"/>
    <n v="0"/>
  </r>
  <r>
    <s v="8010"/>
    <s v="Discount Taken"/>
    <n v="9680.69"/>
    <m/>
    <m/>
    <m/>
    <n v="9680.69"/>
    <x v="2"/>
    <n v="9680.69"/>
  </r>
  <r>
    <s v="8020"/>
    <s v="Legal Settlement"/>
    <n v="0"/>
    <m/>
    <m/>
    <m/>
    <n v="0"/>
    <x v="2"/>
    <n v="0"/>
  </r>
  <r>
    <s v="8100"/>
    <s v="Depreciation Expense"/>
    <n v="-78583.839999999997"/>
    <m/>
    <m/>
    <m/>
    <n v="-78583.839999999997"/>
    <x v="7"/>
    <n v="-78583.839999999997"/>
  </r>
  <r>
    <s v="8200"/>
    <s v="Non-Deductible Expenses"/>
    <n v="0"/>
    <m/>
    <m/>
    <m/>
    <n v="0"/>
    <x v="2"/>
    <n v="0"/>
  </r>
  <r>
    <s v="8300"/>
    <s v="State Income Tax Expense"/>
    <n v="-7250"/>
    <m/>
    <m/>
    <m/>
    <n v="-7250"/>
    <x v="5"/>
    <n v="-7250"/>
  </r>
  <r>
    <s v="8400"/>
    <s v="Federal Income Tax Expense"/>
    <n v="0"/>
    <m/>
    <m/>
    <m/>
    <n v="0"/>
    <x v="5"/>
    <n v="0"/>
  </r>
  <r>
    <s v="8500"/>
    <s v="Heavy Haul Vehicle Tax (IRS)"/>
    <n v="0"/>
    <m/>
    <m/>
    <m/>
    <n v="0"/>
    <x v="5"/>
    <n v="0"/>
  </r>
</pivotCacheRecords>
</file>

<file path=xl/pivotCache/pivotCacheRecords28.xml><?xml version="1.0" encoding="utf-8"?>
<pivotCacheRecords xmlns="http://schemas.openxmlformats.org/spreadsheetml/2006/main" xmlns:r="http://schemas.openxmlformats.org/officeDocument/2006/relationships" count="106">
  <r>
    <s v="4000"/>
    <s v="Rental - Income"/>
    <n v="1823219"/>
    <x v="0"/>
  </r>
  <r>
    <s v="4010"/>
    <s v="Labor Revenue"/>
    <n v="315001"/>
    <x v="1"/>
  </r>
  <r>
    <s v="4020"/>
    <s v="Discounts Earned"/>
    <n v="-357"/>
    <x v="1"/>
  </r>
  <r>
    <s v="4030"/>
    <s v="Hauling Revenue"/>
    <n v="454559"/>
    <x v="1"/>
  </r>
  <r>
    <s v="4050"/>
    <s v="Consignment Sales - Joint Venture"/>
    <n v="249890"/>
    <x v="1"/>
  </r>
  <r>
    <s v="4060"/>
    <s v="Sales of Equipment"/>
    <n v="7624205"/>
    <x v="1"/>
  </r>
  <r>
    <s v="4070"/>
    <s v="Attachment Sales"/>
    <n v="173119"/>
    <x v="1"/>
  </r>
  <r>
    <s v="4080"/>
    <s v="Scrap Sales"/>
    <n v="14644"/>
    <x v="1"/>
  </r>
  <r>
    <s v="4090"/>
    <s v="Service Department Revenue"/>
    <n v="0"/>
    <x v="1"/>
  </r>
  <r>
    <s v="4100"/>
    <s v="Parts Sales"/>
    <n v="559453"/>
    <x v="1"/>
  </r>
  <r>
    <s v="4110"/>
    <s v="Parts Department Special Orders"/>
    <n v="0"/>
    <x v="1"/>
  </r>
  <r>
    <s v="4120"/>
    <s v="Parts Department Freight"/>
    <n v="30871"/>
    <x v="1"/>
  </r>
  <r>
    <s v="4150"/>
    <s v="Finance Charge Income"/>
    <n v="5511"/>
    <x v="1"/>
  </r>
  <r>
    <s v="4160"/>
    <s v="Outside Services Billed to Customer"/>
    <n v="-66985"/>
    <x v="1"/>
  </r>
  <r>
    <s v="4180"/>
    <s v="Credit Card Fees"/>
    <n v="23"/>
    <x v="1"/>
  </r>
  <r>
    <s v="4181"/>
    <s v="Sales Tax Adj"/>
    <n v="9147"/>
    <x v="2"/>
  </r>
  <r>
    <s v="5000"/>
    <s v="COGS Equipment"/>
    <n v="-6213940"/>
    <x v="2"/>
  </r>
  <r>
    <s v="50000"/>
    <s v="Cost of Goods Sold"/>
    <n v="872035"/>
    <x v="2"/>
  </r>
  <r>
    <s v="5010"/>
    <s v="COGS Attachments"/>
    <n v="-237020"/>
    <x v="2"/>
  </r>
  <r>
    <s v="5020"/>
    <s v="COGS Parts"/>
    <n v="-450061"/>
    <x v="2"/>
  </r>
  <r>
    <s v="5030"/>
    <s v="COGS Joint Venture"/>
    <n v="-57000"/>
    <x v="2"/>
  </r>
  <r>
    <s v="5050"/>
    <s v="COGS Special Order Parts"/>
    <n v="-661"/>
    <x v="2"/>
  </r>
  <r>
    <s v="5060"/>
    <s v="COGS Hauling"/>
    <n v="-26115"/>
    <x v="2"/>
  </r>
  <r>
    <s v="5070"/>
    <s v="COGS Frieght"/>
    <n v="-110628"/>
    <x v="2"/>
  </r>
  <r>
    <s v="5090"/>
    <s v="COGS Paint"/>
    <n v="-29738"/>
    <x v="2"/>
  </r>
  <r>
    <s v="5100"/>
    <s v="Pilot Cars"/>
    <n v="-887"/>
    <x v="2"/>
  </r>
  <r>
    <s v="5110"/>
    <s v="Commission"/>
    <n v="-15000"/>
    <x v="3"/>
  </r>
  <r>
    <s v="5120"/>
    <s v="COGS Outside Service"/>
    <n v="-286664"/>
    <x v="2"/>
  </r>
  <r>
    <s v="5210"/>
    <s v="COGS Depreciation"/>
    <n v="-712240"/>
    <x v="4"/>
  </r>
  <r>
    <s v="6000"/>
    <s v="G&amp;A"/>
    <n v="-191180"/>
    <x v="5"/>
  </r>
  <r>
    <s v="6010"/>
    <s v="Payroll - Adminsitration"/>
    <n v="-192936"/>
    <x v="5"/>
  </r>
  <r>
    <s v="6011"/>
    <s v="Payroll - Sales"/>
    <n v="-126972"/>
    <x v="3"/>
  </r>
  <r>
    <s v="6012"/>
    <s v="Payroll - Parts"/>
    <n v="-68201"/>
    <x v="2"/>
  </r>
  <r>
    <s v="6013"/>
    <s v="Payroll - Trucking"/>
    <n v="-141641"/>
    <x v="2"/>
  </r>
  <r>
    <s v="6014"/>
    <s v="Payroll - Service Department"/>
    <n v="-370058"/>
    <x v="2"/>
  </r>
  <r>
    <s v="6015"/>
    <s v="Board Compensation"/>
    <n v="-7500"/>
    <x v="2"/>
  </r>
  <r>
    <s v="6016"/>
    <s v="Employee Incentives/Bonus"/>
    <n v="-338"/>
    <x v="2"/>
  </r>
  <r>
    <s v="6017"/>
    <s v="Safety Bonus"/>
    <n v="0"/>
    <x v="2"/>
  </r>
  <r>
    <s v="6020"/>
    <s v="Marketing Advertising "/>
    <n v="-56558"/>
    <x v="3"/>
  </r>
  <r>
    <s v="6025"/>
    <s v="Promotions"/>
    <n v="-13861"/>
    <x v="3"/>
  </r>
  <r>
    <s v="6030"/>
    <s v="Cargo Insurance"/>
    <n v="0"/>
    <x v="2"/>
  </r>
  <r>
    <s v="6035"/>
    <s v="General Liability Insurance"/>
    <n v="-39186"/>
    <x v="2"/>
  </r>
  <r>
    <s v="6040"/>
    <s v="Medical-First Aid"/>
    <n v="-499"/>
    <x v="2"/>
  </r>
  <r>
    <s v="6045"/>
    <s v="Health Insurance"/>
    <n v="-58670"/>
    <x v="2"/>
  </r>
  <r>
    <s v="6050"/>
    <s v="Officers Life Insurance"/>
    <n v="-27547"/>
    <x v="5"/>
  </r>
  <r>
    <s v="6053"/>
    <s v="D&amp;O Insurance"/>
    <n v="-21357"/>
    <x v="5"/>
  </r>
  <r>
    <s v="6055"/>
    <s v="Computer Technology Expenses"/>
    <n v="-12140"/>
    <x v="5"/>
  </r>
  <r>
    <s v="6060"/>
    <s v="Dues &amp; Subscriptions"/>
    <n v="-6579"/>
    <x v="5"/>
  </r>
  <r>
    <s v="6065"/>
    <s v="Office Equipment Lease"/>
    <n v="-6736"/>
    <x v="5"/>
  </r>
  <r>
    <s v="6070"/>
    <s v="Professional Fees"/>
    <n v="-22785"/>
    <x v="5"/>
  </r>
  <r>
    <s v="6075"/>
    <s v="Mileage Reimbursement"/>
    <n v="4197"/>
    <x v="5"/>
  </r>
  <r>
    <s v="6080"/>
    <s v="Charitable Contributions"/>
    <n v="-12368"/>
    <x v="5"/>
  </r>
  <r>
    <s v="6090"/>
    <s v="Commisison Paid"/>
    <n v="0"/>
    <x v="6"/>
  </r>
  <r>
    <s v="6100"/>
    <s v="Bank Service Charges"/>
    <n v="-8557"/>
    <x v="5"/>
  </r>
  <r>
    <s v="6120"/>
    <s v="Interest Expense"/>
    <n v="-445400"/>
    <x v="6"/>
  </r>
  <r>
    <s v="6125"/>
    <s v="Early Debt Payoff"/>
    <n v="-566838"/>
    <x v="7"/>
  </r>
  <r>
    <s v="6130"/>
    <s v="Late Fees/Finance Charges"/>
    <n v="-5114"/>
    <x v="6"/>
  </r>
  <r>
    <s v="6140"/>
    <s v="Loan Fees"/>
    <n v="-2300"/>
    <x v="6"/>
  </r>
  <r>
    <s v="6145"/>
    <s v="Office Supplies"/>
    <n v="-13289"/>
    <x v="5"/>
  </r>
  <r>
    <s v="6150"/>
    <s v="Accounting Outside Services"/>
    <n v="-160183"/>
    <x v="5"/>
  </r>
  <r>
    <s v="6160"/>
    <s v="Legal"/>
    <n v="-82022"/>
    <x v="5"/>
  </r>
  <r>
    <s v="6165"/>
    <s v="Postage"/>
    <n v="-856"/>
    <x v="5"/>
  </r>
  <r>
    <s v="6170"/>
    <s v="Continuting Education"/>
    <n v="-4627"/>
    <x v="5"/>
  </r>
  <r>
    <s v="6180"/>
    <s v="Admin Misc. Expenses"/>
    <n v="-27"/>
    <x v="5"/>
  </r>
  <r>
    <s v="6190"/>
    <s v="Bad Debt"/>
    <n v="36008"/>
    <x v="1"/>
  </r>
  <r>
    <s v="6200"/>
    <s v="Meals &amp; Entertainment"/>
    <n v="-11730"/>
    <x v="5"/>
  </r>
  <r>
    <s v="6210"/>
    <s v="Rental (vehicle) Exp"/>
    <n v="-6559"/>
    <x v="5"/>
  </r>
  <r>
    <s v="6220"/>
    <s v="Per Diem"/>
    <n v="-18913"/>
    <x v="3"/>
  </r>
  <r>
    <s v="6230"/>
    <s v="Airfare"/>
    <n v="-34000"/>
    <x v="3"/>
  </r>
  <r>
    <s v="6240"/>
    <s v="Lodging"/>
    <n v="-48863"/>
    <x v="3"/>
  </r>
  <r>
    <s v="6250"/>
    <s v="Other Travel Expenses"/>
    <n v="-1280"/>
    <x v="3"/>
  </r>
  <r>
    <s v="6300"/>
    <s v="Fees &amp; Permits"/>
    <n v="-5972"/>
    <x v="5"/>
  </r>
  <r>
    <s v="6310"/>
    <s v="Shop Supplies"/>
    <n v="-24159"/>
    <x v="2"/>
  </r>
  <r>
    <s v="6320"/>
    <s v="Cylinder Rental "/>
    <n v="-570"/>
    <x v="5"/>
  </r>
  <r>
    <s v="6330"/>
    <s v="Equipment Rental/Lease"/>
    <n v="-1458"/>
    <x v="4"/>
  </r>
  <r>
    <s v="6335"/>
    <s v="Trade Show Expenses"/>
    <n v="0"/>
    <x v="5"/>
  </r>
  <r>
    <s v="6340"/>
    <s v="Outside Contractor"/>
    <n v="-830"/>
    <x v="2"/>
  </r>
  <r>
    <s v="6400"/>
    <s v="Building Rental Expenses"/>
    <n v="-88200"/>
    <x v="2"/>
  </r>
  <r>
    <s v="6410"/>
    <s v="Property Taxes"/>
    <n v="-7749"/>
    <x v="5"/>
  </r>
  <r>
    <s v="6420"/>
    <s v="Utilities"/>
    <n v="-27583"/>
    <x v="2"/>
  </r>
  <r>
    <s v="6440"/>
    <s v="Building &amp; Grounds Maintenance"/>
    <n v="-5563"/>
    <x v="5"/>
  </r>
  <r>
    <s v="6450"/>
    <s v="Security"/>
    <n v="-1959"/>
    <x v="5"/>
  </r>
  <r>
    <s v="6460"/>
    <s v="Pest Control"/>
    <n v="-357"/>
    <x v="5"/>
  </r>
  <r>
    <s v="6470"/>
    <s v="Janitorial Expense"/>
    <n v="-9676"/>
    <x v="2"/>
  </r>
  <r>
    <s v="6510"/>
    <s v="Fuel Expense"/>
    <n v="-131218"/>
    <x v="2"/>
  </r>
  <r>
    <s v="6520"/>
    <s v="Vehicle Maint &amp; Repair"/>
    <n v="-13995"/>
    <x v="2"/>
  </r>
  <r>
    <s v="6521"/>
    <s v="Equipment Maintanence &amp; Repair"/>
    <n v="-15021"/>
    <x v="2"/>
  </r>
  <r>
    <s v="6530"/>
    <s v="DMV Fees"/>
    <n v="-4355"/>
    <x v="2"/>
  </r>
  <r>
    <s v="6540"/>
    <s v="Trucking Fees &amp; Permits"/>
    <n v="-26360"/>
    <x v="2"/>
  </r>
  <r>
    <s v="6550"/>
    <s v="Outside Services  "/>
    <n v="-13584"/>
    <x v="2"/>
  </r>
  <r>
    <s v="6560"/>
    <s v="Trucking Department - Other Expenses"/>
    <n v="-25651"/>
    <x v="2"/>
  </r>
  <r>
    <s v="6570"/>
    <s v="Outside Hauling"/>
    <n v="-295256"/>
    <x v="2"/>
  </r>
  <r>
    <s v="6571"/>
    <s v="Sales Tax Adj"/>
    <n v="-260"/>
    <x v="2"/>
  </r>
  <r>
    <s v="7000"/>
    <s v="Gain on Sale of Assets"/>
    <n v="1762"/>
    <x v="8"/>
  </r>
  <r>
    <s v="7100"/>
    <s v="Other Income"/>
    <n v="51534"/>
    <x v="9"/>
  </r>
  <r>
    <s v="7200"/>
    <s v="Interest Income"/>
    <n v="617"/>
    <x v="9"/>
  </r>
  <r>
    <s v="8000"/>
    <s v="Loss on Sales of Assets"/>
    <n v="0"/>
    <x v="8"/>
  </r>
  <r>
    <s v="8001"/>
    <s v="Loss on Stock to Debt Reduction"/>
    <n v="0"/>
    <x v="8"/>
  </r>
  <r>
    <s v="8010"/>
    <s v="Discount Taken"/>
    <n v="-80495"/>
    <x v="5"/>
  </r>
  <r>
    <s v="8020"/>
    <s v="Legal Settlement"/>
    <n v="99065"/>
    <x v="5"/>
  </r>
  <r>
    <s v="8100"/>
    <s v="Depreciation Expense"/>
    <n v="-146737"/>
    <x v="2"/>
  </r>
  <r>
    <s v="8150"/>
    <s v="Amortization Expense"/>
    <n v="-34531"/>
    <x v="6"/>
  </r>
  <r>
    <s v="8200"/>
    <s v="Non-Deductible Expenses"/>
    <n v="0"/>
    <x v="5"/>
  </r>
  <r>
    <s v="8300"/>
    <s v="State Income Tax Expense"/>
    <n v="-41270"/>
    <x v="10"/>
  </r>
  <r>
    <s v="8400"/>
    <s v="Federal Income Tax Expense"/>
    <n v="-72045"/>
    <x v="10"/>
  </r>
  <r>
    <s v="8500"/>
    <s v="Heavy Haul Vehicle Tax (IRS)"/>
    <n v="0"/>
    <x v="5"/>
  </r>
</pivotCacheRecords>
</file>

<file path=xl/pivotCache/pivotCacheRecords29.xml><?xml version="1.0" encoding="utf-8"?>
<pivotCacheRecords xmlns="http://schemas.openxmlformats.org/spreadsheetml/2006/main" xmlns:r="http://schemas.openxmlformats.org/officeDocument/2006/relationships" count="106">
  <r>
    <x v="0"/>
    <n v="2003238"/>
  </r>
  <r>
    <x v="1"/>
    <n v="159539"/>
  </r>
  <r>
    <x v="1"/>
    <n v="2840"/>
  </r>
  <r>
    <x v="1"/>
    <n v="421415"/>
  </r>
  <r>
    <x v="1"/>
    <n v="127800"/>
  </r>
  <r>
    <x v="1"/>
    <n v="4278912"/>
  </r>
  <r>
    <x v="1"/>
    <n v="32875"/>
  </r>
  <r>
    <x v="1"/>
    <n v="11628"/>
  </r>
  <r>
    <x v="1"/>
    <n v="0"/>
  </r>
  <r>
    <x v="1"/>
    <n v="675671"/>
  </r>
  <r>
    <x v="1"/>
    <n v="-213"/>
  </r>
  <r>
    <x v="1"/>
    <n v="46565"/>
  </r>
  <r>
    <x v="1"/>
    <n v="13"/>
  </r>
  <r>
    <x v="1"/>
    <n v="11029"/>
  </r>
  <r>
    <x v="1"/>
    <n v="18"/>
  </r>
  <r>
    <x v="2"/>
    <n v="0"/>
  </r>
  <r>
    <x v="2"/>
    <n v="-2899640"/>
  </r>
  <r>
    <x v="2"/>
    <n v="426581"/>
  </r>
  <r>
    <x v="2"/>
    <n v="-30597"/>
  </r>
  <r>
    <x v="2"/>
    <n v="-538974"/>
  </r>
  <r>
    <x v="2"/>
    <n v="-92600"/>
  </r>
  <r>
    <x v="2"/>
    <n v="4900"/>
  </r>
  <r>
    <x v="2"/>
    <n v="-74805"/>
  </r>
  <r>
    <x v="2"/>
    <n v="-72823"/>
  </r>
  <r>
    <x v="2"/>
    <n v="-13819"/>
  </r>
  <r>
    <x v="2"/>
    <n v="-1277"/>
  </r>
  <r>
    <x v="3"/>
    <n v="-25830"/>
  </r>
  <r>
    <x v="2"/>
    <n v="-121225"/>
  </r>
  <r>
    <x v="4"/>
    <n v="-648252"/>
  </r>
  <r>
    <x v="5"/>
    <n v="-168520"/>
  </r>
  <r>
    <x v="5"/>
    <n v="-145053"/>
  </r>
  <r>
    <x v="3"/>
    <n v="-62885"/>
  </r>
  <r>
    <x v="2"/>
    <n v="-56931"/>
  </r>
  <r>
    <x v="2"/>
    <n v="-117733"/>
  </r>
  <r>
    <x v="2"/>
    <n v="-293352"/>
  </r>
  <r>
    <x v="2"/>
    <n v="0"/>
  </r>
  <r>
    <x v="2"/>
    <n v="0"/>
  </r>
  <r>
    <x v="2"/>
    <n v="0"/>
  </r>
  <r>
    <x v="3"/>
    <n v="-33631"/>
  </r>
  <r>
    <x v="3"/>
    <n v="-33012"/>
  </r>
  <r>
    <x v="2"/>
    <n v="-1551"/>
  </r>
  <r>
    <x v="2"/>
    <n v="-38316"/>
  </r>
  <r>
    <x v="2"/>
    <n v="0"/>
  </r>
  <r>
    <x v="2"/>
    <n v="-55550"/>
  </r>
  <r>
    <x v="5"/>
    <n v="-29522"/>
  </r>
  <r>
    <x v="5"/>
    <n v="0"/>
  </r>
  <r>
    <x v="5"/>
    <n v="-9645"/>
  </r>
  <r>
    <x v="5"/>
    <n v="-314"/>
  </r>
  <r>
    <x v="5"/>
    <n v="-12510"/>
  </r>
  <r>
    <x v="5"/>
    <n v="-3818"/>
  </r>
  <r>
    <x v="5"/>
    <n v="3741"/>
  </r>
  <r>
    <x v="5"/>
    <n v="-2922"/>
  </r>
  <r>
    <x v="6"/>
    <n v="0"/>
  </r>
  <r>
    <x v="5"/>
    <n v="-8222"/>
  </r>
  <r>
    <x v="6"/>
    <n v="-594831"/>
  </r>
  <r>
    <x v="7"/>
    <n v="0"/>
  </r>
  <r>
    <x v="6"/>
    <n v="-19426"/>
  </r>
  <r>
    <x v="6"/>
    <n v="0"/>
  </r>
  <r>
    <x v="5"/>
    <n v="-3988"/>
  </r>
  <r>
    <x v="5"/>
    <n v="-128916"/>
  </r>
  <r>
    <x v="5"/>
    <n v="-26321"/>
  </r>
  <r>
    <x v="5"/>
    <n v="-228"/>
  </r>
  <r>
    <x v="5"/>
    <n v="-7400"/>
  </r>
  <r>
    <x v="5"/>
    <n v="-777"/>
  </r>
  <r>
    <x v="1"/>
    <n v="-50100"/>
  </r>
  <r>
    <x v="5"/>
    <n v="-10679"/>
  </r>
  <r>
    <x v="5"/>
    <n v="-7010"/>
  </r>
  <r>
    <x v="3"/>
    <n v="-18129"/>
  </r>
  <r>
    <x v="3"/>
    <n v="-22863"/>
  </r>
  <r>
    <x v="3"/>
    <n v="-47574"/>
  </r>
  <r>
    <x v="3"/>
    <n v="-5091"/>
  </r>
  <r>
    <x v="5"/>
    <n v="-3390"/>
  </r>
  <r>
    <x v="2"/>
    <n v="-34968"/>
  </r>
  <r>
    <x v="5"/>
    <n v="-57"/>
  </r>
  <r>
    <x v="4"/>
    <n v="-6215"/>
  </r>
  <r>
    <x v="5"/>
    <n v="-3999"/>
  </r>
  <r>
    <x v="2"/>
    <n v="-20665"/>
  </r>
  <r>
    <x v="2"/>
    <n v="-78400"/>
  </r>
  <r>
    <x v="5"/>
    <n v="-7178"/>
  </r>
  <r>
    <x v="2"/>
    <n v="-14822"/>
  </r>
  <r>
    <x v="5"/>
    <n v="-16256"/>
  </r>
  <r>
    <x v="5"/>
    <n v="-1280"/>
  </r>
  <r>
    <x v="5"/>
    <n v="-1359"/>
  </r>
  <r>
    <x v="2"/>
    <n v="-7344"/>
  </r>
  <r>
    <x v="2"/>
    <n v="-124325"/>
  </r>
  <r>
    <x v="2"/>
    <n v="-10407"/>
  </r>
  <r>
    <x v="2"/>
    <n v="-12987"/>
  </r>
  <r>
    <x v="2"/>
    <n v="-9468"/>
  </r>
  <r>
    <x v="2"/>
    <n v="-16357"/>
  </r>
  <r>
    <x v="2"/>
    <n v="6027"/>
  </r>
  <r>
    <x v="2"/>
    <n v="-10813"/>
  </r>
  <r>
    <x v="2"/>
    <n v="-241646"/>
  </r>
  <r>
    <x v="2"/>
    <n v="0"/>
  </r>
  <r>
    <x v="8"/>
    <n v="15603"/>
  </r>
  <r>
    <x v="9"/>
    <n v="114397"/>
  </r>
  <r>
    <x v="9"/>
    <n v="0"/>
  </r>
  <r>
    <x v="8"/>
    <n v="0"/>
  </r>
  <r>
    <x v="8"/>
    <n v="0"/>
  </r>
  <r>
    <x v="5"/>
    <n v="-5066"/>
  </r>
  <r>
    <x v="5"/>
    <n v="-484"/>
  </r>
  <r>
    <x v="2"/>
    <n v="-131409"/>
  </r>
  <r>
    <x v="6"/>
    <n v="0"/>
  </r>
  <r>
    <x v="5"/>
    <n v="-774"/>
  </r>
  <r>
    <x v="10"/>
    <n v="-303566"/>
  </r>
  <r>
    <x v="10"/>
    <n v="0"/>
  </r>
  <r>
    <x v="5"/>
    <n v="-11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1">
  <r>
    <s v="1000"/>
    <s v="Deposit Acct - Chase 8028"/>
    <n v="61593.66"/>
    <m/>
    <m/>
    <m/>
    <n v="61593.66"/>
    <x v="0"/>
    <n v="61594"/>
  </r>
  <r>
    <s v="1030"/>
    <s v="Old Disbursement Acct - Chase 6390"/>
    <n v="-2735.2"/>
    <m/>
    <m/>
    <m/>
    <n v="-2735.2"/>
    <x v="0"/>
    <n v="-2735"/>
  </r>
  <r>
    <s v="1035"/>
    <s v="Operating - Chase 9282"/>
    <n v="102405.05"/>
    <m/>
    <m/>
    <m/>
    <n v="102405.05"/>
    <x v="0"/>
    <n v="102405"/>
  </r>
  <r>
    <s v="1045"/>
    <s v="New Wire Acct - Chase 6919"/>
    <n v="108.38"/>
    <m/>
    <m/>
    <m/>
    <n v="108.38"/>
    <x v="0"/>
    <n v="108"/>
  </r>
  <r>
    <s v="1050"/>
    <s v="Merchant Acct - Chase 6366 "/>
    <n v="36153.379999999997"/>
    <m/>
    <m/>
    <m/>
    <n v="36153.379999999997"/>
    <x v="0"/>
    <n v="36153"/>
  </r>
  <r>
    <s v="1060"/>
    <s v="SBOE Sales Tax Acct - Chase 4004"/>
    <n v="139251.39000000001"/>
    <m/>
    <m/>
    <m/>
    <n v="139251.39000000001"/>
    <x v="0"/>
    <n v="139251"/>
  </r>
  <r>
    <s v="1065"/>
    <s v="Citi Operating - Citi 4221"/>
    <n v="524"/>
    <m/>
    <m/>
    <m/>
    <n v="524"/>
    <x v="0"/>
    <n v="524"/>
  </r>
  <r>
    <s v="11000"/>
    <s v="Accounts Receivable - Other"/>
    <n v="1883849.95"/>
    <n v="0"/>
    <m/>
    <m/>
    <n v="1883849.95"/>
    <x v="1"/>
    <n v="1883850"/>
  </r>
  <r>
    <s v="11500"/>
    <s v="Allowance for doubtful accts"/>
    <n v="-120569.18"/>
    <m/>
    <m/>
    <m/>
    <n v="-120569.18"/>
    <x v="1"/>
    <n v="-120569"/>
  </r>
  <r>
    <s v="12000"/>
    <s v="Undeposited Funds"/>
    <n v="15060.24"/>
    <m/>
    <m/>
    <m/>
    <n v="15060.24"/>
    <x v="2"/>
    <n v="15060"/>
  </r>
  <r>
    <s v="1210"/>
    <s v="Deposit   "/>
    <n v="14020.28"/>
    <m/>
    <m/>
    <m/>
    <n v="14020.28"/>
    <x v="2"/>
    <n v="14020"/>
  </r>
  <r>
    <s v="1220"/>
    <s v="Parts Inventory"/>
    <n v="615503.17000000004"/>
    <n v="0"/>
    <m/>
    <m/>
    <n v="615503.17000000004"/>
    <x v="3"/>
    <n v="615503"/>
  </r>
  <r>
    <s v="1230"/>
    <s v="Equipment Inventory"/>
    <n v="5974821.0899999999"/>
    <n v="0"/>
    <m/>
    <m/>
    <n v="5974821.0899999999"/>
    <x v="3"/>
    <n v="5974821"/>
  </r>
  <r>
    <s v="1240"/>
    <s v="Consignment Inventory"/>
    <n v="6750.78"/>
    <m/>
    <m/>
    <m/>
    <n v="6750.78"/>
    <x v="3"/>
    <n v="6751"/>
  </r>
  <r>
    <s v="1250"/>
    <s v="Attachments Inventory"/>
    <n v="341493.61"/>
    <m/>
    <m/>
    <m/>
    <n v="341493.61"/>
    <x v="3"/>
    <n v="341494"/>
  </r>
  <r>
    <s v="1260"/>
    <s v="Estimated Taxes Paid"/>
    <n v="203211"/>
    <m/>
    <m/>
    <m/>
    <n v="203211"/>
    <x v="2"/>
    <n v="203211"/>
  </r>
  <r>
    <s v="1265"/>
    <s v="Deferred Tax Asset"/>
    <n v="818623"/>
    <m/>
    <m/>
    <m/>
    <n v="818623"/>
    <x v="4"/>
    <n v="818623"/>
  </r>
  <r>
    <s v="1297"/>
    <s v="Inventory Reserve"/>
    <n v="-307751.59000000003"/>
    <m/>
    <m/>
    <m/>
    <n v="-307751.59000000003"/>
    <x v="3"/>
    <n v="-307752"/>
  </r>
  <r>
    <s v="1298"/>
    <s v="Change of Inventory"/>
    <n v="0"/>
    <m/>
    <m/>
    <m/>
    <n v="0"/>
    <x v="3"/>
    <n v="0"/>
  </r>
  <r>
    <s v="1299"/>
    <s v="Suspense Account"/>
    <n v="-3314.35"/>
    <m/>
    <m/>
    <m/>
    <n v="-3314.35"/>
    <x v="5"/>
    <n v="-3314"/>
  </r>
  <r>
    <s v="1310"/>
    <s v="Leasehold Improvements"/>
    <n v="467187.54"/>
    <m/>
    <m/>
    <m/>
    <n v="467187.54"/>
    <x v="6"/>
    <n v="467188"/>
  </r>
  <r>
    <s v="1315"/>
    <s v="Accum Depr - LHI"/>
    <n v="-188701"/>
    <m/>
    <m/>
    <m/>
    <n v="-188701"/>
    <x v="6"/>
    <n v="-188701"/>
  </r>
  <r>
    <s v="1320"/>
    <s v="Furniture &amp; Equipment"/>
    <n v="24404.69"/>
    <m/>
    <m/>
    <m/>
    <n v="24404.69"/>
    <x v="6"/>
    <n v="24405"/>
  </r>
  <r>
    <s v="1325"/>
    <s v="Accum Depr - Furniture &amp; Equipment"/>
    <n v="-22864.74"/>
    <m/>
    <m/>
    <m/>
    <n v="-22864.74"/>
    <x v="6"/>
    <n v="-22865"/>
  </r>
  <r>
    <s v="1330"/>
    <s v="Computer Automation"/>
    <n v="82699.78"/>
    <m/>
    <m/>
    <m/>
    <n v="82699.78"/>
    <x v="6"/>
    <n v="82700"/>
  </r>
  <r>
    <s v="1335"/>
    <s v="Accum Depr - Computer Automation"/>
    <n v="-51207.32"/>
    <m/>
    <m/>
    <m/>
    <n v="-51207.32"/>
    <x v="6"/>
    <n v="-51207"/>
  </r>
  <r>
    <s v="1340"/>
    <s v="Equipment"/>
    <n v="1624711.02"/>
    <n v="0"/>
    <m/>
    <m/>
    <n v="1624711.02"/>
    <x v="7"/>
    <n v="1624711"/>
  </r>
  <r>
    <s v="1342"/>
    <s v="Anderson Funding Equipment"/>
    <n v="3780581.82"/>
    <m/>
    <m/>
    <m/>
    <n v="3780581.82"/>
    <x v="7"/>
    <n v="3780582"/>
  </r>
  <r>
    <s v="1345"/>
    <s v="Accum Depr - Equipment"/>
    <n v="-2290868.2000000002"/>
    <m/>
    <m/>
    <m/>
    <n v="-2290868.2000000002"/>
    <x v="7"/>
    <n v="-2290868"/>
  </r>
  <r>
    <s v="1350"/>
    <s v="Service Trucks"/>
    <n v="667211.54"/>
    <m/>
    <m/>
    <m/>
    <n v="667211.54"/>
    <x v="6"/>
    <n v="667212"/>
  </r>
  <r>
    <s v="1355"/>
    <s v="Accum Depr - Service Trucks"/>
    <n v="-329794.89"/>
    <m/>
    <m/>
    <m/>
    <n v="-329794.89"/>
    <x v="6"/>
    <n v="-329795"/>
  </r>
  <r>
    <s v="1360"/>
    <s v="Trucks &amp; Trailers"/>
    <n v="772237.36"/>
    <m/>
    <m/>
    <m/>
    <n v="772237.36"/>
    <x v="6"/>
    <n v="772237"/>
  </r>
  <r>
    <s v="1365"/>
    <s v="Accum Depr - Trucks &amp; Trailers"/>
    <n v="-568643.74"/>
    <m/>
    <m/>
    <m/>
    <n v="-568643.74"/>
    <x v="6"/>
    <n v="-568644"/>
  </r>
  <r>
    <s v="1370"/>
    <s v="Sales Vehicles"/>
    <n v="186241.56"/>
    <m/>
    <m/>
    <m/>
    <n v="186241.56"/>
    <x v="6"/>
    <n v="186242"/>
  </r>
  <r>
    <s v="1375"/>
    <s v="Accum Depr - Sales Vehicles"/>
    <n v="-69800.039999999994"/>
    <m/>
    <m/>
    <m/>
    <n v="-69800.039999999994"/>
    <x v="6"/>
    <n v="-69800"/>
  </r>
  <r>
    <s v="1400"/>
    <s v="Prepaid Asset"/>
    <n v="13481.24"/>
    <n v="0"/>
    <m/>
    <m/>
    <n v="13481.24"/>
    <x v="8"/>
    <n v="13481"/>
  </r>
  <r>
    <s v="1405"/>
    <s v="Loan Costs"/>
    <n v="245000"/>
    <m/>
    <m/>
    <m/>
    <n v="245000"/>
    <x v="8"/>
    <n v="245000"/>
  </r>
  <r>
    <s v="1407"/>
    <s v="Accu. Deprec. - Loan Costs"/>
    <n v="-169443.02"/>
    <m/>
    <m/>
    <m/>
    <n v="-169443.02"/>
    <x v="8"/>
    <n v="-169443"/>
  </r>
  <r>
    <s v="1410"/>
    <s v="Employee Advance"/>
    <n v="5786.57"/>
    <m/>
    <m/>
    <m/>
    <n v="5786.57"/>
    <x v="8"/>
    <n v="5787"/>
  </r>
  <r>
    <s v="1415"/>
    <s v="Owners/Officers Advance"/>
    <n v="0"/>
    <m/>
    <m/>
    <m/>
    <n v="0"/>
    <x v="5"/>
    <n v="0"/>
  </r>
  <r>
    <s v="1420"/>
    <s v="New York Life #45973606"/>
    <n v="61034.41"/>
    <m/>
    <m/>
    <m/>
    <n v="61034.41"/>
    <x v="8"/>
    <n v="61034"/>
  </r>
  <r>
    <s v="1430"/>
    <s v="New York Life #48271835"/>
    <n v="103071.61"/>
    <m/>
    <m/>
    <m/>
    <n v="103071.61"/>
    <x v="8"/>
    <n v="103072"/>
  </r>
  <r>
    <s v="1440"/>
    <s v="New York Life #48271882"/>
    <n v="93498.37"/>
    <m/>
    <m/>
    <m/>
    <n v="93498.37"/>
    <x v="8"/>
    <n v="93498"/>
  </r>
  <r>
    <s v="1445"/>
    <s v="New York Life #45973523"/>
    <n v="48493.16"/>
    <m/>
    <m/>
    <m/>
    <n v="48493.16"/>
    <x v="8"/>
    <n v="48493"/>
  </r>
  <r>
    <s v="1450"/>
    <s v="New York Life #62966478"/>
    <n v="34939.64"/>
    <m/>
    <m/>
    <m/>
    <n v="34939.64"/>
    <x v="8"/>
    <n v="34940"/>
  </r>
  <r>
    <s v="1460"/>
    <s v="Petty Cash"/>
    <n v="300"/>
    <m/>
    <m/>
    <m/>
    <n v="300"/>
    <x v="0"/>
    <n v="300"/>
  </r>
  <r>
    <s v="20000"/>
    <s v="Accounts Payable"/>
    <n v="-1253412.51"/>
    <n v="0"/>
    <m/>
    <m/>
    <n v="-1253412.51"/>
    <x v="9"/>
    <n v="-1253413"/>
  </r>
  <r>
    <s v="2010"/>
    <s v="American Express - 81006"/>
    <n v="-32.18"/>
    <m/>
    <m/>
    <m/>
    <n v="-32.18"/>
    <x v="5"/>
    <n v="-32"/>
  </r>
  <r>
    <s v="2030"/>
    <s v="Chase Visa - 8709"/>
    <n v="-75004.27"/>
    <n v="0"/>
    <m/>
    <m/>
    <n v="-75004.27"/>
    <x v="5"/>
    <n v="-75004"/>
  </r>
  <r>
    <s v="2050"/>
    <s v="Anderson Funding Current"/>
    <n v="0"/>
    <n v="-769551.67"/>
    <m/>
    <m/>
    <n v="-769551.67"/>
    <x v="10"/>
    <n v="-769552"/>
  </r>
  <r>
    <s v="2060"/>
    <s v="Anderson Funding Net of Current"/>
    <n v="0"/>
    <n v="769551.67"/>
    <m/>
    <m/>
    <n v="769551.67"/>
    <x v="11"/>
    <n v="769552"/>
  </r>
  <r>
    <s v="2110"/>
    <s v="Sales Tax Payable"/>
    <n v="-248122.65"/>
    <m/>
    <m/>
    <m/>
    <n v="-248122.65"/>
    <x v="5"/>
    <n v="-248123"/>
  </r>
  <r>
    <s v="2145"/>
    <s v="State Income Tax Payable"/>
    <n v="-62030.14"/>
    <m/>
    <m/>
    <m/>
    <n v="-62030.14"/>
    <x v="4"/>
    <n v="-62030"/>
  </r>
  <r>
    <s v="2150"/>
    <s v="Federal Income Tax Payable"/>
    <n v="-91845.21"/>
    <n v="0"/>
    <m/>
    <m/>
    <n v="-91845.21"/>
    <x v="4"/>
    <n v="-91845"/>
  </r>
  <r>
    <s v="2155"/>
    <s v="Deferred Tax Liability "/>
    <n v="-660498.89"/>
    <m/>
    <m/>
    <m/>
    <n v="-660498.89"/>
    <x v="4"/>
    <n v="-660499"/>
  </r>
  <r>
    <s v="2160"/>
    <s v="Accrued Vacation"/>
    <n v="-20842.55"/>
    <m/>
    <m/>
    <m/>
    <n v="-20842.55"/>
    <x v="5"/>
    <n v="-20843"/>
  </r>
  <r>
    <s v="2165"/>
    <s v="Joint Venture Liability"/>
    <n v="-594747.37"/>
    <m/>
    <m/>
    <n v="0"/>
    <n v="-594747.37"/>
    <x v="12"/>
    <n v="-594747"/>
  </r>
  <r>
    <s v="2514"/>
    <s v="N/P 057 Power Up"/>
    <n v="-194686.25"/>
    <n v="0"/>
    <m/>
    <m/>
    <n v="-194686.25"/>
    <x v="13"/>
    <n v="-194686"/>
  </r>
  <r>
    <s v="2518"/>
    <s v="N/P 061 Volvo HE 3906"/>
    <n v="-132000"/>
    <m/>
    <m/>
    <m/>
    <n v="-132000"/>
    <x v="10"/>
    <n v="-132000"/>
  </r>
  <r>
    <s v="2519"/>
    <s v="N/P 062 Global HE 3940"/>
    <n v="-125000"/>
    <m/>
    <m/>
    <m/>
    <n v="-125000"/>
    <x v="10"/>
    <n v="-125000"/>
  </r>
  <r>
    <s v="2280"/>
    <s v="N/P 005 Lee Hamre Note Payable"/>
    <n v="-239411.51"/>
    <m/>
    <m/>
    <m/>
    <n v="-239411.51"/>
    <x v="14"/>
    <n v="-239412"/>
  </r>
  <r>
    <s v="2310"/>
    <s v="Loan New York Life #48271835"/>
    <n v="-43346.97"/>
    <m/>
    <m/>
    <m/>
    <n v="-43346.97"/>
    <x v="11"/>
    <n v="-43347"/>
  </r>
  <r>
    <s v="2320"/>
    <s v="Loan New York Life #45973523"/>
    <n v="-15635.55"/>
    <m/>
    <m/>
    <m/>
    <n v="-15635.55"/>
    <x v="11"/>
    <n v="-15636"/>
  </r>
  <r>
    <s v="2330"/>
    <s v="Loan New York Life #45973606"/>
    <n v="-42548.45"/>
    <m/>
    <m/>
    <m/>
    <n v="-42548.45"/>
    <x v="11"/>
    <n v="-42548"/>
  </r>
  <r>
    <s v="2340"/>
    <s v="Loan New York Life #48271882"/>
    <n v="-57003.66"/>
    <m/>
    <m/>
    <m/>
    <n v="-57003.66"/>
    <x v="11"/>
    <n v="-57004"/>
  </r>
  <r>
    <s v="2485"/>
    <s v="LOC 002 Northpoint Finance"/>
    <n v="-110224.37"/>
    <m/>
    <m/>
    <m/>
    <n v="-110224.37"/>
    <x v="15"/>
    <n v="-110224"/>
  </r>
  <r>
    <s v="2492"/>
    <s v="LOC 003 Nations Finance"/>
    <n v="-5055336.83"/>
    <m/>
    <m/>
    <m/>
    <n v="-5055329.83"/>
    <x v="16"/>
    <n v="-5055330"/>
  </r>
  <r>
    <s v="2494"/>
    <s v="ROC 001 PNC Finance"/>
    <n v="-106544.08"/>
    <m/>
    <m/>
    <m/>
    <n v="-106544.08"/>
    <x v="11"/>
    <n v="-106544"/>
  </r>
  <r>
    <s v="2495"/>
    <s v="N/P 044 Pawnee T-135"/>
    <n v="-149473.03"/>
    <m/>
    <m/>
    <m/>
    <n v="-149473.03"/>
    <x v="11"/>
    <n v="-149473"/>
  </r>
  <r>
    <s v="2496"/>
    <s v="ROC 002 PNC Finance"/>
    <n v="-98920.69"/>
    <m/>
    <m/>
    <m/>
    <n v="-98920.69"/>
    <x v="11"/>
    <n v="-98921"/>
  </r>
  <r>
    <s v="2497"/>
    <s v="N/P 045 Verdant - Quality Fence"/>
    <n v="-33704.550000000003"/>
    <m/>
    <m/>
    <m/>
    <n v="-33704.550000000003"/>
    <x v="11"/>
    <n v="-33705"/>
  </r>
  <r>
    <s v="2498"/>
    <s v="N/P 046 Verdant - Broken Bucket"/>
    <n v="-120000"/>
    <m/>
    <m/>
    <m/>
    <n v="-120000"/>
    <x v="11"/>
    <n v="-120000"/>
  </r>
  <r>
    <s v="2499"/>
    <s v="N/P 047 Marin - Fishbowl"/>
    <n v="-10120.280000000001"/>
    <m/>
    <m/>
    <m/>
    <n v="-10120.280000000001"/>
    <x v="11"/>
    <n v="-10120"/>
  </r>
  <r>
    <s v="2502"/>
    <s v="N/P 050 Verdant - HE 3824"/>
    <n v="-302867.37"/>
    <m/>
    <m/>
    <m/>
    <n v="-302867.37"/>
    <x v="11"/>
    <n v="-302867"/>
  </r>
  <r>
    <s v="2504"/>
    <s v="ROC 003 PNC HE 3215 171313-001"/>
    <n v="-271324.13"/>
    <m/>
    <m/>
    <m/>
    <n v="-271324.13"/>
    <x v="11"/>
    <n v="-271324"/>
  </r>
  <r>
    <s v="2505"/>
    <s v="ROC 004 PNC HE 3216 171313-002"/>
    <n v="-271324.13"/>
    <m/>
    <m/>
    <m/>
    <n v="-271324.13"/>
    <x v="11"/>
    <n v="-271324"/>
  </r>
  <r>
    <s v="2506"/>
    <s v="ROC 005 PNC HE 3509 171313-003"/>
    <n v="-271324.13"/>
    <m/>
    <m/>
    <m/>
    <n v="-271324.13"/>
    <x v="11"/>
    <n v="-271324"/>
  </r>
  <r>
    <s v="2507"/>
    <s v="ROC 006 PNC HE 3510 171313-004"/>
    <n v="-271324.13"/>
    <m/>
    <m/>
    <m/>
    <n v="-271324.13"/>
    <x v="11"/>
    <n v="-271324"/>
  </r>
  <r>
    <s v="2058"/>
    <s v="ROC 007 PNC HE 3625,3792-3,3805 171313-005"/>
    <n v="-171616.5"/>
    <m/>
    <m/>
    <m/>
    <n v="-171616.5"/>
    <x v="11"/>
    <n v="-171617"/>
  </r>
  <r>
    <s v="2509"/>
    <s v="N/P 052 Alliance HE 3831 2011053"/>
    <n v="-59061.58"/>
    <m/>
    <m/>
    <m/>
    <n v="-59061.58"/>
    <x v="11"/>
    <n v="-59062"/>
  </r>
  <r>
    <s v="2510"/>
    <s v="N/P 053 SBA Loan"/>
    <n v="-413017.26"/>
    <m/>
    <m/>
    <m/>
    <n v="-413017.26"/>
    <x v="11"/>
    <n v="-413017"/>
  </r>
  <r>
    <s v="2511"/>
    <s v="N/P 054 1st Found T-139 2011236"/>
    <n v="-24183.63"/>
    <m/>
    <m/>
    <m/>
    <n v="-24183.63"/>
    <x v="11"/>
    <n v="-24184"/>
  </r>
  <r>
    <s v="2512"/>
    <s v="N/P 055 Ally T-140"/>
    <n v="-55385.83"/>
    <m/>
    <m/>
    <m/>
    <n v="-55385.83"/>
    <x v="11"/>
    <n v="-55386"/>
  </r>
  <r>
    <s v="2513"/>
    <s v="N/P 056 Ascentium HE 3782 2011371"/>
    <n v="-138124.07"/>
    <m/>
    <m/>
    <m/>
    <n v="-138124.07"/>
    <x v="11"/>
    <n v="-138124"/>
  </r>
  <r>
    <s v="2515"/>
    <s v="N/P 058 Chase Auto T-141"/>
    <n v="-37844.33"/>
    <m/>
    <m/>
    <m/>
    <n v="-37844.33"/>
    <x v="11"/>
    <n v="-37844"/>
  </r>
  <r>
    <s v="2516"/>
    <s v="N/P 059 PNC HE 3848 176890"/>
    <n v="-139286.91"/>
    <m/>
    <m/>
    <m/>
    <n v="-139286.91"/>
    <x v="11"/>
    <n v="-139287"/>
  </r>
  <r>
    <s v="2517"/>
    <s v="N/P 060 Verdant He 3866 956-004"/>
    <n v="-372827.64"/>
    <m/>
    <m/>
    <m/>
    <n v="-372827.64"/>
    <x v="11"/>
    <n v="-372828"/>
  </r>
  <r>
    <s v="32000"/>
    <s v="Retained Earnings"/>
    <n v="19967434.600000001"/>
    <m/>
    <m/>
    <m/>
    <n v="19967432.600000001"/>
    <x v="17"/>
    <n v="19967433"/>
  </r>
  <r>
    <s v="3100"/>
    <s v="Capital Stock"/>
    <n v="-14548.85"/>
    <m/>
    <m/>
    <m/>
    <n v="-14548.85"/>
    <x v="18"/>
    <n v="-14549"/>
  </r>
  <r>
    <s v="3130"/>
    <s v="AMMX - add. paid in Capital"/>
    <n v="-21545614.010000002"/>
    <m/>
    <m/>
    <m/>
    <n v="-21545614.010000002"/>
    <x v="19"/>
    <n v="-21545614"/>
  </r>
  <r>
    <s v=""/>
    <s v="Net Income"/>
    <n v="-365824.13"/>
    <m/>
    <m/>
    <n v="0"/>
    <n v="-365829.13"/>
    <x v="17"/>
    <n v="-365829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79">
  <r>
    <s v="1000"/>
    <s v="Deposit Acct - Chase 8028"/>
    <n v="84093.53"/>
    <m/>
    <m/>
    <m/>
    <n v="84093.53"/>
    <x v="0"/>
    <n v="84093.53"/>
  </r>
  <r>
    <s v="1030"/>
    <s v="Disbursement Acct - Chase 6390"/>
    <n v="14179.23"/>
    <m/>
    <m/>
    <m/>
    <n v="14179.23"/>
    <x v="0"/>
    <n v="14179.23"/>
  </r>
  <r>
    <s v="1040"/>
    <s v="New Wire Acct - Chase 6919"/>
    <n v="0"/>
    <m/>
    <m/>
    <m/>
    <n v="0"/>
    <x v="0"/>
    <n v="0"/>
  </r>
  <r>
    <s v="1050"/>
    <s v="Merchant Acct - Chase 6366 "/>
    <n v="864"/>
    <m/>
    <m/>
    <m/>
    <n v="864"/>
    <x v="0"/>
    <n v="864"/>
  </r>
  <r>
    <s v="1060"/>
    <s v="SBOE Sales Tax Acct - Chase 4004"/>
    <n v="2634.08"/>
    <m/>
    <m/>
    <m/>
    <n v="2634.08"/>
    <x v="0"/>
    <n v="2634.08"/>
  </r>
  <r>
    <s v="1080"/>
    <s v="Checking Acct - Wells Fargo 7556"/>
    <n v="0"/>
    <m/>
    <m/>
    <m/>
    <n v="0"/>
    <x v="0"/>
    <n v="0"/>
  </r>
  <r>
    <s v="1090"/>
    <s v="Bank of the West"/>
    <n v="-79.53"/>
    <m/>
    <m/>
    <m/>
    <n v="-79.53"/>
    <x v="0"/>
    <n v="-79.53"/>
  </r>
  <r>
    <s v="11000"/>
    <s v="Accounts Receivable - Other"/>
    <n v="569078.91"/>
    <m/>
    <m/>
    <m/>
    <n v="569078.91"/>
    <x v="1"/>
    <n v="569078.91"/>
  </r>
  <r>
    <s v="11500"/>
    <s v="Allowance for doubtful accts"/>
    <n v="-56725"/>
    <m/>
    <m/>
    <m/>
    <n v="-56725"/>
    <x v="1"/>
    <n v="-56725"/>
  </r>
  <r>
    <s v="12000"/>
    <s v="Undeposited Funds"/>
    <n v="0"/>
    <m/>
    <m/>
    <m/>
    <n v="0"/>
    <x v="2"/>
    <n v="0"/>
  </r>
  <r>
    <s v="1210"/>
    <s v="Deposit for Trucks"/>
    <n v="5455.58"/>
    <m/>
    <m/>
    <m/>
    <n v="5455.58"/>
    <x v="2"/>
    <n v="5455.58"/>
  </r>
  <r>
    <s v="1220"/>
    <s v="Parts Inventory"/>
    <n v="422345.93"/>
    <m/>
    <m/>
    <m/>
    <n v="422345.93"/>
    <x v="3"/>
    <n v="422345.93"/>
  </r>
  <r>
    <s v="1230"/>
    <s v="Equipment Inventory"/>
    <n v="1128980.55"/>
    <m/>
    <m/>
    <m/>
    <n v="1128980.55"/>
    <x v="3"/>
    <n v="1128980.55"/>
  </r>
  <r>
    <s v="1240"/>
    <s v="Consignment Inventory"/>
    <n v="557674"/>
    <m/>
    <m/>
    <m/>
    <n v="557674"/>
    <x v="3"/>
    <n v="557674"/>
  </r>
  <r>
    <s v="1250"/>
    <s v="Attachments Inventory"/>
    <n v="51220.9"/>
    <m/>
    <m/>
    <m/>
    <n v="51220.9"/>
    <x v="3"/>
    <n v="51220.9"/>
  </r>
  <r>
    <s v="1260"/>
    <s v="Estimated Taxes Paid"/>
    <n v="60000"/>
    <m/>
    <m/>
    <m/>
    <n v="60000"/>
    <x v="2"/>
    <n v="60000"/>
  </r>
  <r>
    <s v="1270"/>
    <s v="Escrow - Anderson Funding"/>
    <n v="-27854.86"/>
    <m/>
    <m/>
    <m/>
    <n v="-27854.86"/>
    <x v="3"/>
    <n v="-27854.86"/>
  </r>
  <r>
    <s v="1297"/>
    <s v="Inventory Reserve"/>
    <n v="-454729.95"/>
    <m/>
    <m/>
    <m/>
    <n v="-454729.95"/>
    <x v="3"/>
    <n v="-454729.95"/>
  </r>
  <r>
    <s v="1298"/>
    <s v="Change of Inventory"/>
    <n v="29979.93"/>
    <m/>
    <m/>
    <m/>
    <n v="29979.93"/>
    <x v="3"/>
    <n v="29979.93"/>
  </r>
  <r>
    <s v="1299"/>
    <s v="Suspense Account"/>
    <n v="-718.94"/>
    <m/>
    <m/>
    <m/>
    <n v="-718.94"/>
    <x v="2"/>
    <n v="-718.94"/>
  </r>
  <r>
    <s v="1310"/>
    <s v="Leasehold Improvements"/>
    <n v="356104.48"/>
    <m/>
    <m/>
    <m/>
    <n v="356104.48"/>
    <x v="4"/>
    <n v="356104.48"/>
  </r>
  <r>
    <s v="1315"/>
    <s v="Accum Depr - LHI"/>
    <n v="-153789.94"/>
    <m/>
    <m/>
    <m/>
    <n v="-153789.94"/>
    <x v="4"/>
    <n v="-153789.94"/>
  </r>
  <r>
    <s v="1320"/>
    <s v="Furniture &amp; Equipment"/>
    <n v="22222.54"/>
    <m/>
    <m/>
    <m/>
    <n v="22222.54"/>
    <x v="4"/>
    <n v="22222.54"/>
  </r>
  <r>
    <s v="1325"/>
    <s v="Accum Depr - Furniture &amp; Equipment"/>
    <n v="-20957.12"/>
    <m/>
    <m/>
    <m/>
    <n v="-20957.12"/>
    <x v="4"/>
    <n v="-20957.12"/>
  </r>
  <r>
    <s v="1330"/>
    <s v="Computer Automation"/>
    <n v="42000.76"/>
    <m/>
    <m/>
    <m/>
    <n v="42000.76"/>
    <x v="4"/>
    <n v="42000.76"/>
  </r>
  <r>
    <s v="1335"/>
    <s v="Accum Depr - Computer Automation"/>
    <n v="-30534.05"/>
    <m/>
    <m/>
    <m/>
    <n v="-30534.05"/>
    <x v="4"/>
    <n v="-30534.05"/>
  </r>
  <r>
    <s v="1340"/>
    <s v="Equipment"/>
    <n v="1751973.07"/>
    <m/>
    <m/>
    <m/>
    <n v="1751973.07"/>
    <x v="4"/>
    <n v="1751973.07"/>
  </r>
  <r>
    <s v="1342"/>
    <s v="Anderson Funding Equipment"/>
    <n v="4705788.3499999996"/>
    <m/>
    <m/>
    <m/>
    <n v="4705788.3499999996"/>
    <x v="4"/>
    <n v="4705788.3499999996"/>
  </r>
  <r>
    <s v="1345"/>
    <s v="Accum Depr - Equipment"/>
    <n v="-1491141.53"/>
    <m/>
    <m/>
    <m/>
    <n v="-1491141.53"/>
    <x v="4"/>
    <n v="-1491141.53"/>
  </r>
  <r>
    <s v="1350"/>
    <s v="Service Trucks"/>
    <n v="225185"/>
    <m/>
    <m/>
    <m/>
    <n v="225185"/>
    <x v="4"/>
    <n v="225185"/>
  </r>
  <r>
    <s v="1355"/>
    <s v="Accum Depr - Service Trucks"/>
    <n v="-131954.54"/>
    <m/>
    <m/>
    <m/>
    <n v="-131954.54"/>
    <x v="4"/>
    <n v="-131954.54"/>
  </r>
  <r>
    <s v="1360"/>
    <s v="Trucks &amp; Trailers"/>
    <n v="882006.43"/>
    <m/>
    <m/>
    <m/>
    <n v="882006.43"/>
    <x v="4"/>
    <n v="882006.43"/>
  </r>
  <r>
    <s v="1365"/>
    <s v="Accum Depr - Trucks &amp; Trailers"/>
    <n v="-316226.69"/>
    <m/>
    <m/>
    <m/>
    <n v="-316226.69"/>
    <x v="4"/>
    <n v="-316226.69"/>
  </r>
  <r>
    <s v="1370"/>
    <s v="Sales Vehicles"/>
    <n v="19737.259999999998"/>
    <m/>
    <m/>
    <m/>
    <n v="19737.259999999998"/>
    <x v="4"/>
    <n v="19737.259999999998"/>
  </r>
  <r>
    <s v="1375"/>
    <s v="Accum Depr - Sales Vehicles"/>
    <n v="-9869.1"/>
    <m/>
    <m/>
    <m/>
    <n v="-9869.1"/>
    <x v="4"/>
    <n v="-9869.1"/>
  </r>
  <r>
    <s v="1400"/>
    <s v="Prepaid Asset"/>
    <n v="20799.150000000001"/>
    <m/>
    <m/>
    <m/>
    <n v="20799.150000000001"/>
    <x v="5"/>
    <n v="20799.150000000001"/>
  </r>
  <r>
    <s v="1410"/>
    <s v="Employee Loan"/>
    <n v="4705.4799999999996"/>
    <m/>
    <m/>
    <m/>
    <n v="4705.4799999999996"/>
    <x v="2"/>
    <n v="4705.4799999999996"/>
  </r>
  <r>
    <s v="1420"/>
    <s v="New York Life #45973606"/>
    <n v="49513.04"/>
    <m/>
    <m/>
    <m/>
    <n v="49513.04"/>
    <x v="2"/>
    <n v="49513.04"/>
  </r>
  <r>
    <s v="1430"/>
    <s v="New York Life #48271835"/>
    <n v="67820.13"/>
    <m/>
    <m/>
    <m/>
    <n v="67820.13"/>
    <x v="2"/>
    <n v="67820.13"/>
  </r>
  <r>
    <s v="1440"/>
    <s v="New York Life #48271882"/>
    <n v="62701.68"/>
    <m/>
    <m/>
    <m/>
    <n v="62701.68"/>
    <x v="2"/>
    <n v="62701.68"/>
  </r>
  <r>
    <s v="1445"/>
    <s v="New York Life #45973523"/>
    <n v="41444"/>
    <m/>
    <m/>
    <m/>
    <n v="41444"/>
    <x v="2"/>
    <n v="41444"/>
  </r>
  <r>
    <s v="1450"/>
    <s v="New York Life #62966478"/>
    <n v="12595.61"/>
    <m/>
    <m/>
    <m/>
    <n v="12595.61"/>
    <x v="2"/>
    <n v="12595.61"/>
  </r>
  <r>
    <s v="1460"/>
    <s v="Petty Cash"/>
    <n v="357.49"/>
    <m/>
    <m/>
    <m/>
    <n v="357.49"/>
    <x v="0"/>
    <n v="357.49"/>
  </r>
  <r>
    <s v="20000"/>
    <s v="Accounts Payable"/>
    <n v="-876704.14"/>
    <m/>
    <m/>
    <m/>
    <n v="-876704.14"/>
    <x v="6"/>
    <n v="-876704.14"/>
  </r>
  <r>
    <s v="2030"/>
    <s v="Chase Visa - 8709"/>
    <n v="-43037.98"/>
    <m/>
    <m/>
    <m/>
    <n v="-43037.98"/>
    <x v="6"/>
    <n v="-43037.98"/>
  </r>
  <r>
    <s v="2050"/>
    <s v="Deferred Revenue"/>
    <n v="-3149212.23"/>
    <m/>
    <m/>
    <m/>
    <n v="-3149212.23"/>
    <x v="7"/>
    <n v="-3149212.23"/>
  </r>
  <r>
    <s v="2110"/>
    <s v="Sales Tax Payable"/>
    <n v="22084.95"/>
    <m/>
    <m/>
    <m/>
    <n v="22084.95"/>
    <x v="8"/>
    <n v="22084.95"/>
  </r>
  <r>
    <s v="2150"/>
    <s v="Income Tax Liability "/>
    <n v="-106760"/>
    <m/>
    <m/>
    <m/>
    <n v="-106760"/>
    <x v="8"/>
    <n v="-106760"/>
  </r>
  <r>
    <s v="2230"/>
    <s v="Hunt &amp; Son's, Inc."/>
    <n v="-112444.25"/>
    <m/>
    <m/>
    <m/>
    <n v="-112444.25"/>
    <x v="9"/>
    <n v="-112444.25"/>
  </r>
  <r>
    <s v="2260"/>
    <s v="RWL Enterprise"/>
    <n v="-112588.96"/>
    <m/>
    <m/>
    <m/>
    <n v="-112588.96"/>
    <x v="9"/>
    <n v="-112588.96"/>
  </r>
  <r>
    <s v="2280"/>
    <s v="Lee Hamre Note Payable"/>
    <n v="-380899.73"/>
    <m/>
    <m/>
    <m/>
    <n v="-380899.73"/>
    <x v="9"/>
    <n v="-380899.73"/>
  </r>
  <r>
    <s v="2310"/>
    <s v="Loan New York Life #48271835"/>
    <n v="-39316.980000000003"/>
    <m/>
    <m/>
    <m/>
    <n v="-39316.980000000003"/>
    <x v="9"/>
    <n v="-39316.980000000003"/>
  </r>
  <r>
    <s v="2320"/>
    <s v="Loan New York Life #45973523"/>
    <n v="-12071.9"/>
    <m/>
    <m/>
    <m/>
    <n v="-12071.9"/>
    <x v="9"/>
    <n v="-12071.9"/>
  </r>
  <r>
    <s v="2330"/>
    <s v="Loan New York Life #45973606"/>
    <n v="-38227.75"/>
    <m/>
    <m/>
    <m/>
    <n v="-38227.75"/>
    <x v="9"/>
    <n v="-38227.75"/>
  </r>
  <r>
    <s v="2340"/>
    <s v="Loan New York Life #48271882"/>
    <n v="-51704"/>
    <m/>
    <m/>
    <m/>
    <n v="-51704"/>
    <x v="9"/>
    <n v="-51704"/>
  </r>
  <r>
    <s v="2370"/>
    <s v="Financial Pacific 1 Omega Life"/>
    <n v="-26341.9"/>
    <m/>
    <m/>
    <m/>
    <n v="-26341.9"/>
    <x v="9"/>
    <n v="-26341.9"/>
  </r>
  <r>
    <s v="2451"/>
    <s v="Tustin Community Bank - T-123"/>
    <n v="-101733.28"/>
    <m/>
    <m/>
    <m/>
    <n v="-101733.28"/>
    <x v="9"/>
    <n v="-101733.28"/>
  </r>
  <r>
    <s v="2453"/>
    <s v="Ford Credit T-124"/>
    <n v="-31011.88"/>
    <m/>
    <m/>
    <m/>
    <n v="-31011.88"/>
    <x v="9"/>
    <n v="-31011.88"/>
  </r>
  <r>
    <s v="2460"/>
    <s v="Bank of the West LOC"/>
    <n v="-491500"/>
    <m/>
    <m/>
    <m/>
    <n v="-491500"/>
    <x v="9"/>
    <n v="-491500"/>
  </r>
  <r>
    <s v="2461"/>
    <s v="Global/Hamni #7163713"/>
    <n v="-45712.38"/>
    <m/>
    <m/>
    <m/>
    <n v="-45712.38"/>
    <x v="9"/>
    <n v="-45712.38"/>
  </r>
  <r>
    <s v="2463"/>
    <s v="Global - 2217441 (HE 3245)"/>
    <n v="-35201.99"/>
    <m/>
    <m/>
    <m/>
    <n v="-35201.99"/>
    <x v="9"/>
    <n v="-35201.99"/>
  </r>
  <r>
    <s v="2464"/>
    <s v="Global - 2173796 (Leavitt)"/>
    <n v="-200500"/>
    <m/>
    <m/>
    <m/>
    <n v="-200500"/>
    <x v="9"/>
    <n v="-200500"/>
  </r>
  <r>
    <s v="2466"/>
    <s v="GLBL/Tustin 3832 (HE 3308-APL)"/>
    <n v="-143831.59"/>
    <m/>
    <m/>
    <m/>
    <n v="-143831.59"/>
    <x v="9"/>
    <n v="-143831.59"/>
  </r>
  <r>
    <s v="2467"/>
    <s v="Global - 8173853 (HE 3306)"/>
    <n v="-53339.98"/>
    <m/>
    <m/>
    <m/>
    <n v="-53339.98"/>
    <x v="9"/>
    <n v="-53339.98"/>
  </r>
  <r>
    <s v="2468"/>
    <s v="Global - 8173852 (HE 3309)"/>
    <n v="-38508.39"/>
    <m/>
    <m/>
    <m/>
    <n v="-38508.39"/>
    <x v="9"/>
    <n v="-38508.39"/>
  </r>
  <r>
    <s v="2469"/>
    <s v="Global - 9173862 (HE 3305)"/>
    <n v="-42693.59"/>
    <m/>
    <m/>
    <m/>
    <n v="-42693.59"/>
    <x v="9"/>
    <n v="-42693.59"/>
  </r>
  <r>
    <s v="2470"/>
    <s v="Global - 9173861 (HE 3307)"/>
    <n v="-51066.1"/>
    <m/>
    <m/>
    <m/>
    <n v="-51066.1"/>
    <x v="9"/>
    <n v="-51066.1"/>
  </r>
  <r>
    <s v="2473"/>
    <s v="BMO Transportation Fin T-126"/>
    <n v="-103990.28"/>
    <m/>
    <m/>
    <m/>
    <n v="-103990.28"/>
    <x v="9"/>
    <n v="-103990.28"/>
  </r>
  <r>
    <s v="2474"/>
    <s v="Anderson Funding Equipment"/>
    <n v="-889466"/>
    <m/>
    <m/>
    <m/>
    <n v="-889466"/>
    <x v="9"/>
    <n v="-889466"/>
  </r>
  <r>
    <s v="2476"/>
    <s v="First Found New Kenworth T-127"/>
    <n v="-140508.88"/>
    <m/>
    <m/>
    <m/>
    <n v="-140508.88"/>
    <x v="9"/>
    <n v="-140508.88"/>
  </r>
  <r>
    <s v="2477"/>
    <s v="Global - 02183918 (HE 3542)"/>
    <n v="-86577.82"/>
    <m/>
    <m/>
    <m/>
    <n v="-86577.82"/>
    <x v="9"/>
    <n v="-86577.82"/>
  </r>
  <r>
    <s v="2478"/>
    <s v="KW Solar System"/>
    <n v="-72664.03"/>
    <m/>
    <m/>
    <m/>
    <n v="-72664.03"/>
    <x v="9"/>
    <n v="-72664.03"/>
  </r>
  <r>
    <s v="2479"/>
    <s v="Global 6183942 (HE 3590)"/>
    <n v="-62500"/>
    <m/>
    <m/>
    <m/>
    <n v="-62500"/>
    <x v="9"/>
    <n v="-62500"/>
  </r>
  <r>
    <s v="30000"/>
    <s v="Opening Balance Equity"/>
    <n v="141827"/>
    <m/>
    <m/>
    <m/>
    <n v="141827"/>
    <x v="10"/>
    <n v="141827"/>
  </r>
  <r>
    <s v="32000"/>
    <s v="Retained Earnings"/>
    <n v="20808269.530000001"/>
    <m/>
    <m/>
    <m/>
    <n v="20808269.530000001"/>
    <x v="10"/>
    <n v="20808269.530000001"/>
  </r>
  <r>
    <s v="3100"/>
    <s v="Stock - Capital"/>
    <n v="-754016.84"/>
    <m/>
    <m/>
    <m/>
    <n v="-754016.84"/>
    <x v="11"/>
    <n v="-754016.84"/>
  </r>
  <r>
    <s v="3115"/>
    <s v="Treasury Stock"/>
    <n v="5437.5"/>
    <m/>
    <m/>
    <m/>
    <n v="5437.5"/>
    <x v="12"/>
    <n v="5437.5"/>
  </r>
  <r>
    <s v="3130"/>
    <s v="AMMX - add. paid in Capital"/>
    <n v="-20785924.02"/>
    <m/>
    <m/>
    <m/>
    <n v="-20785924.02"/>
    <x v="13"/>
    <n v="-20785924.02"/>
  </r>
  <r>
    <s v=""/>
    <s v="Net Income"/>
    <n v="-394441.97"/>
    <m/>
    <m/>
    <m/>
    <n v="-394441.97"/>
    <x v="10"/>
    <n v="-394441.97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43">
  <r>
    <s v="40000"/>
    <s v="Retail-Monthly Subscriptions"/>
    <m/>
    <m/>
    <m/>
    <m/>
    <m/>
    <m/>
    <n v="0"/>
    <x v="0"/>
    <n v="0"/>
  </r>
  <r>
    <s v="40001"/>
    <s v="Retail - Other accounts"/>
    <m/>
    <m/>
    <m/>
    <m/>
    <m/>
    <m/>
    <n v="0"/>
    <x v="0"/>
    <n v="0"/>
  </r>
  <r>
    <s v="40200"/>
    <s v="Retail-Set-Up Fees"/>
    <m/>
    <m/>
    <m/>
    <m/>
    <m/>
    <m/>
    <n v="0"/>
    <x v="0"/>
    <n v="0"/>
  </r>
  <r>
    <s v="40400"/>
    <s v="Retail-Other Income"/>
    <m/>
    <m/>
    <m/>
    <m/>
    <m/>
    <m/>
    <n v="0"/>
    <x v="0"/>
    <n v="0"/>
  </r>
  <r>
    <s v="40600"/>
    <s v="Rural Market- Monthly Subscrip"/>
    <m/>
    <m/>
    <m/>
    <m/>
    <m/>
    <m/>
    <n v="0"/>
    <x v="0"/>
    <n v="0"/>
  </r>
  <r>
    <s v="46500"/>
    <s v="Intercompany transfer of assets (Sales)"/>
    <m/>
    <m/>
    <m/>
    <m/>
    <m/>
    <n v="0"/>
    <n v="0"/>
    <x v="0"/>
    <n v="0"/>
  </r>
  <r>
    <s v="40601"/>
    <s v="Rural Market- Equipment Sales"/>
    <m/>
    <m/>
    <m/>
    <m/>
    <m/>
    <m/>
    <n v="0"/>
    <x v="0"/>
    <n v="0"/>
  </r>
  <r>
    <s v="40602"/>
    <s v="Rural Market-Set Up Fees"/>
    <m/>
    <m/>
    <m/>
    <m/>
    <m/>
    <m/>
    <n v="0"/>
    <x v="0"/>
    <n v="0"/>
  </r>
  <r>
    <s v="40603"/>
    <s v="Rural Market-Other Income"/>
    <m/>
    <m/>
    <m/>
    <m/>
    <m/>
    <m/>
    <n v="0"/>
    <x v="0"/>
    <n v="0"/>
  </r>
  <r>
    <s v="40604"/>
    <s v="Rural Market - T-Mobile"/>
    <m/>
    <m/>
    <m/>
    <m/>
    <m/>
    <m/>
    <n v="0"/>
    <x v="0"/>
    <n v="0"/>
  </r>
  <r>
    <s v="40800"/>
    <s v="Business Sys  - Monthly Subscr"/>
    <m/>
    <m/>
    <m/>
    <m/>
    <m/>
    <m/>
    <n v="0"/>
    <x v="0"/>
    <n v="0"/>
  </r>
  <r>
    <s v="40800.01"/>
    <s v="Business Phone Services"/>
    <m/>
    <m/>
    <m/>
    <m/>
    <m/>
    <m/>
    <n v="0"/>
    <x v="0"/>
    <n v="0"/>
  </r>
  <r>
    <s v="40801"/>
    <s v="Business Services - Equipment"/>
    <m/>
    <m/>
    <m/>
    <m/>
    <m/>
    <m/>
    <n v="0"/>
    <x v="0"/>
    <n v="0"/>
  </r>
  <r>
    <s v="40802"/>
    <s v="Business Services - SetUp Fee"/>
    <m/>
    <m/>
    <m/>
    <m/>
    <m/>
    <m/>
    <n v="0"/>
    <x v="0"/>
    <n v="0"/>
  </r>
  <r>
    <s v="40803"/>
    <s v="Business Services Other Inc"/>
    <m/>
    <m/>
    <m/>
    <m/>
    <m/>
    <m/>
    <n v="0"/>
    <x v="0"/>
    <n v="0"/>
  </r>
  <r>
    <s v="40804"/>
    <s v="Bus Sys - Phone Charge"/>
    <m/>
    <m/>
    <m/>
    <m/>
    <m/>
    <m/>
    <n v="0"/>
    <x v="0"/>
    <n v="0"/>
  </r>
  <r>
    <s v="40807"/>
    <s v="Business Services - Barter"/>
    <m/>
    <m/>
    <m/>
    <m/>
    <m/>
    <m/>
    <n v="0"/>
    <x v="0"/>
    <n v="0"/>
  </r>
  <r>
    <s v="40808"/>
    <s v="Business Services One Time Fee"/>
    <m/>
    <m/>
    <m/>
    <m/>
    <m/>
    <m/>
    <n v="0"/>
    <x v="0"/>
    <n v="0"/>
  </r>
  <r>
    <s v="41000"/>
    <s v="Wholesale-Monthly Subscription"/>
    <m/>
    <m/>
    <m/>
    <m/>
    <m/>
    <m/>
    <n v="0"/>
    <x v="0"/>
    <n v="0"/>
  </r>
  <r>
    <s v="41300"/>
    <s v="Wholesale-Other Income"/>
    <m/>
    <m/>
    <m/>
    <m/>
    <m/>
    <m/>
    <n v="0"/>
    <x v="0"/>
    <n v="0"/>
  </r>
  <r>
    <s v="43000"/>
    <s v="Hot Spot - Monthly Subs"/>
    <m/>
    <m/>
    <m/>
    <m/>
    <m/>
    <m/>
    <n v="0"/>
    <x v="0"/>
    <n v="0"/>
  </r>
  <r>
    <s v="46000"/>
    <s v="Customer Refunds"/>
    <m/>
    <m/>
    <m/>
    <m/>
    <m/>
    <m/>
    <n v="0"/>
    <x v="0"/>
    <n v="0"/>
  </r>
  <r>
    <s v="46000.01"/>
    <s v="Bus Services Customer Refunds"/>
    <m/>
    <m/>
    <m/>
    <m/>
    <m/>
    <m/>
    <n v="0"/>
    <x v="0"/>
    <n v="0"/>
  </r>
  <r>
    <s v="46100"/>
    <s v="Service Credits"/>
    <m/>
    <m/>
    <m/>
    <m/>
    <m/>
    <m/>
    <n v="0"/>
    <x v="0"/>
    <n v="0"/>
  </r>
  <r>
    <s v="48200"/>
    <s v="Other Income"/>
    <m/>
    <m/>
    <m/>
    <m/>
    <m/>
    <m/>
    <n v="0"/>
    <x v="0"/>
    <n v="0"/>
  </r>
  <r>
    <s v="48202"/>
    <s v="Long Distance Income"/>
    <m/>
    <m/>
    <m/>
    <m/>
    <m/>
    <m/>
    <n v="0"/>
    <x v="0"/>
    <n v="0"/>
  </r>
  <r>
    <s v="48203"/>
    <s v="Phone Income"/>
    <m/>
    <m/>
    <m/>
    <m/>
    <m/>
    <m/>
    <n v="0"/>
    <x v="0"/>
    <n v="0"/>
  </r>
  <r>
    <s v="50000"/>
    <s v="Internet Cost"/>
    <m/>
    <m/>
    <m/>
    <m/>
    <m/>
    <m/>
    <n v="0"/>
    <x v="1"/>
    <n v="0"/>
  </r>
  <r>
    <s v="50000.01"/>
    <s v="Internet Cost - Bus Services"/>
    <m/>
    <m/>
    <m/>
    <m/>
    <m/>
    <m/>
    <n v="0"/>
    <x v="1"/>
    <n v="0"/>
  </r>
  <r>
    <s v="50201"/>
    <s v="VOIP Costs"/>
    <m/>
    <m/>
    <m/>
    <m/>
    <m/>
    <m/>
    <n v="0"/>
    <x v="1"/>
    <n v="0"/>
  </r>
  <r>
    <s v="50500"/>
    <s v="Gateway / RPOP"/>
    <m/>
    <m/>
    <m/>
    <m/>
    <m/>
    <m/>
    <n v="0"/>
    <x v="1"/>
    <n v="0"/>
  </r>
  <r>
    <s v="63500"/>
    <s v="Commissions"/>
    <m/>
    <m/>
    <m/>
    <m/>
    <m/>
    <m/>
    <n v="0"/>
    <x v="1"/>
    <n v="0"/>
  </r>
  <r>
    <s v="63800"/>
    <s v="Sub-Contractors"/>
    <m/>
    <m/>
    <m/>
    <m/>
    <m/>
    <m/>
    <n v="0"/>
    <x v="1"/>
    <n v="0"/>
  </r>
  <r>
    <s v="75000"/>
    <s v="Manufacturing Supplies"/>
    <m/>
    <m/>
    <m/>
    <m/>
    <m/>
    <m/>
    <n v="0"/>
    <x v="1"/>
    <n v="0"/>
  </r>
  <r>
    <m/>
    <s v="Hardware costs"/>
    <m/>
    <m/>
    <m/>
    <m/>
    <m/>
    <m/>
    <n v="0"/>
    <x v="1"/>
    <n v="0"/>
  </r>
  <r>
    <m/>
    <s v="COGS - Intercompany transfer of assets"/>
    <m/>
    <m/>
    <m/>
    <m/>
    <m/>
    <n v="0"/>
    <n v="0"/>
    <x v="1"/>
    <n v="0"/>
  </r>
  <r>
    <s v="60100"/>
    <s v="Advertising &amp; Promotion"/>
    <m/>
    <m/>
    <m/>
    <m/>
    <m/>
    <m/>
    <n v="0"/>
    <x v="2"/>
    <n v="0"/>
  </r>
  <r>
    <s v="60125"/>
    <s v="Advertising Barter"/>
    <m/>
    <m/>
    <m/>
    <m/>
    <m/>
    <m/>
    <n v="0"/>
    <x v="2"/>
    <n v="0"/>
  </r>
  <r>
    <s v="60200"/>
    <s v="Referral Credits"/>
    <m/>
    <m/>
    <m/>
    <m/>
    <m/>
    <m/>
    <n v="0"/>
    <x v="2"/>
    <n v="0"/>
  </r>
  <r>
    <s v="60500"/>
    <s v="Amortization"/>
    <m/>
    <m/>
    <m/>
    <m/>
    <m/>
    <m/>
    <n v="0"/>
    <x v="3"/>
    <n v="0"/>
  </r>
  <r>
    <s v="61000"/>
    <s v="Vehicle Repairs"/>
    <m/>
    <m/>
    <m/>
    <m/>
    <m/>
    <m/>
    <n v="0"/>
    <x v="4"/>
    <n v="0"/>
  </r>
  <r>
    <s v="61000.01"/>
    <s v="Vehicle - Tune up &amp; Oil Change"/>
    <m/>
    <m/>
    <m/>
    <m/>
    <m/>
    <m/>
    <n v="0"/>
    <x v="1"/>
    <n v="0"/>
  </r>
  <r>
    <s v="61000.02"/>
    <s v="Vehicle - Tires"/>
    <m/>
    <m/>
    <m/>
    <m/>
    <m/>
    <m/>
    <n v="0"/>
    <x v="1"/>
    <n v="0"/>
  </r>
  <r>
    <s v="61000.03"/>
    <s v="Vehicle Repairs - Misc"/>
    <m/>
    <m/>
    <m/>
    <m/>
    <m/>
    <m/>
    <n v="0"/>
    <x v="1"/>
    <n v="0"/>
  </r>
  <r>
    <s v="61100"/>
    <s v="Vehicle Gasoline - General"/>
    <m/>
    <m/>
    <m/>
    <m/>
    <m/>
    <m/>
    <n v="0"/>
    <x v="4"/>
    <n v="0"/>
  </r>
  <r>
    <s v="61100.01"/>
    <s v="Vehicle Gasoline - Expansion"/>
    <m/>
    <m/>
    <m/>
    <m/>
    <m/>
    <m/>
    <n v="0"/>
    <x v="4"/>
    <n v="0"/>
  </r>
  <r>
    <s v="61100.02"/>
    <s v="Vehicle Gas - Installers"/>
    <m/>
    <m/>
    <m/>
    <m/>
    <m/>
    <m/>
    <n v="0"/>
    <x v="4"/>
    <n v="0"/>
  </r>
  <r>
    <s v="61100.03"/>
    <s v="Vehicle Propane generators"/>
    <m/>
    <m/>
    <m/>
    <m/>
    <m/>
    <m/>
    <n v="0"/>
    <x v="4"/>
    <n v="0"/>
  </r>
  <r>
    <s v="61100.04"/>
    <s v="Vehicle Gasoline &amp; Oil"/>
    <m/>
    <m/>
    <m/>
    <m/>
    <m/>
    <m/>
    <n v="0"/>
    <x v="4"/>
    <n v="0"/>
  </r>
  <r>
    <s v="61200"/>
    <s v="Vehicle Registration"/>
    <m/>
    <m/>
    <m/>
    <m/>
    <m/>
    <m/>
    <n v="0"/>
    <x v="4"/>
    <n v="0"/>
  </r>
  <r>
    <s v="61500.02"/>
    <s v="Bad Debt"/>
    <m/>
    <m/>
    <m/>
    <m/>
    <m/>
    <m/>
    <n v="0"/>
    <x v="4"/>
    <n v="0"/>
  </r>
  <r>
    <s v="62000"/>
    <s v="Bank Charges"/>
    <m/>
    <m/>
    <m/>
    <m/>
    <m/>
    <m/>
    <n v="0"/>
    <x v="4"/>
    <n v="0"/>
  </r>
  <r>
    <s v="62100"/>
    <s v="Credit Card Discounts"/>
    <m/>
    <m/>
    <m/>
    <m/>
    <m/>
    <m/>
    <n v="0"/>
    <x v="4"/>
    <n v="0"/>
  </r>
  <r>
    <s v="62500"/>
    <s v="Cash (Over) Short"/>
    <m/>
    <m/>
    <m/>
    <m/>
    <m/>
    <m/>
    <n v="0"/>
    <x v="4"/>
    <n v="0"/>
  </r>
  <r>
    <s v="63700"/>
    <s v="Outside Services"/>
    <m/>
    <m/>
    <m/>
    <m/>
    <m/>
    <m/>
    <n v="0"/>
    <x v="4"/>
    <n v="0"/>
  </r>
  <r>
    <s v="64000.07"/>
    <s v="Depreciation"/>
    <m/>
    <m/>
    <m/>
    <m/>
    <m/>
    <m/>
    <n v="0"/>
    <x v="3"/>
    <n v="0"/>
  </r>
  <r>
    <s v="64500.01"/>
    <s v="Dues &amp; Subscriptions"/>
    <m/>
    <m/>
    <m/>
    <m/>
    <m/>
    <m/>
    <n v="0"/>
    <x v="4"/>
    <n v="0"/>
  </r>
  <r>
    <s v="65000"/>
    <s v="Employee Relations"/>
    <m/>
    <m/>
    <m/>
    <m/>
    <m/>
    <m/>
    <n v="0"/>
    <x v="4"/>
    <n v="0"/>
  </r>
  <r>
    <s v="65100"/>
    <s v="Employee Recruiting/Screening"/>
    <m/>
    <m/>
    <m/>
    <m/>
    <m/>
    <m/>
    <n v="0"/>
    <x v="4"/>
    <n v="0"/>
  </r>
  <r>
    <s v="65300"/>
    <s v="Employee Training"/>
    <m/>
    <m/>
    <m/>
    <m/>
    <m/>
    <m/>
    <n v="0"/>
    <x v="4"/>
    <n v="0"/>
  </r>
  <r>
    <s v="66000"/>
    <s v="Gifts"/>
    <m/>
    <m/>
    <m/>
    <m/>
    <m/>
    <m/>
    <n v="0"/>
    <x v="4"/>
    <n v="0"/>
  </r>
  <r>
    <s v="66500"/>
    <s v="Income Tax Expense"/>
    <m/>
    <m/>
    <m/>
    <m/>
    <m/>
    <m/>
    <n v="0"/>
    <x v="4"/>
    <n v="0"/>
  </r>
  <r>
    <s v="67000"/>
    <s v="Insurance - Property/Liability"/>
    <m/>
    <m/>
    <m/>
    <m/>
    <m/>
    <m/>
    <n v="0"/>
    <x v="4"/>
    <n v="0"/>
  </r>
  <r>
    <s v="67100"/>
    <s v="Insurance - Vehicle"/>
    <m/>
    <m/>
    <m/>
    <m/>
    <m/>
    <m/>
    <n v="0"/>
    <x v="4"/>
    <n v="0"/>
  </r>
  <r>
    <s v="67200"/>
    <s v="Insurance - Officers"/>
    <m/>
    <m/>
    <m/>
    <m/>
    <m/>
    <m/>
    <n v="0"/>
    <x v="4"/>
    <n v="0"/>
  </r>
  <r>
    <s v="67300"/>
    <s v="Insurance - Medical"/>
    <m/>
    <m/>
    <m/>
    <m/>
    <m/>
    <m/>
    <n v="0"/>
    <x v="4"/>
    <n v="0"/>
  </r>
  <r>
    <s v="67310"/>
    <s v="Insurance- Life"/>
    <m/>
    <m/>
    <m/>
    <m/>
    <m/>
    <m/>
    <n v="0"/>
    <x v="4"/>
    <n v="0"/>
  </r>
  <r>
    <s v="67400"/>
    <s v="Insurance - Workers Comp"/>
    <m/>
    <m/>
    <m/>
    <m/>
    <m/>
    <m/>
    <n v="0"/>
    <x v="4"/>
    <n v="0"/>
  </r>
  <r>
    <s v="67450"/>
    <s v="Insurance - self"/>
    <m/>
    <m/>
    <m/>
    <m/>
    <m/>
    <m/>
    <n v="0"/>
    <x v="4"/>
    <n v="0"/>
  </r>
  <r>
    <s v="67500"/>
    <s v="Interest"/>
    <m/>
    <m/>
    <m/>
    <m/>
    <m/>
    <m/>
    <n v="0"/>
    <x v="5"/>
    <n v="0"/>
  </r>
  <r>
    <s v="68000"/>
    <s v="Cleaning &amp; Janitorial"/>
    <m/>
    <m/>
    <m/>
    <m/>
    <m/>
    <m/>
    <n v="0"/>
    <x v="4"/>
    <n v="0"/>
  </r>
  <r>
    <s v="68500"/>
    <s v="Legal &amp; Accounting"/>
    <m/>
    <m/>
    <m/>
    <m/>
    <m/>
    <m/>
    <n v="0"/>
    <x v="4"/>
    <n v="0"/>
  </r>
  <r>
    <s v="68550"/>
    <s v="Loan/Lease Fees"/>
    <m/>
    <m/>
    <m/>
    <m/>
    <m/>
    <m/>
    <n v="0"/>
    <x v="4"/>
    <n v="0"/>
  </r>
  <r>
    <s v="68600"/>
    <s v="Consultant Fees"/>
    <m/>
    <m/>
    <m/>
    <m/>
    <m/>
    <m/>
    <n v="0"/>
    <x v="4"/>
    <n v="0"/>
  </r>
  <r>
    <s v="69000"/>
    <s v="Permits &amp; Licenses"/>
    <m/>
    <m/>
    <m/>
    <m/>
    <m/>
    <m/>
    <n v="0"/>
    <x v="4"/>
    <n v="0"/>
  </r>
  <r>
    <s v="70000"/>
    <s v="Maintenance Expense"/>
    <m/>
    <m/>
    <m/>
    <m/>
    <m/>
    <m/>
    <n v="0"/>
    <x v="4"/>
    <n v="0"/>
  </r>
  <r>
    <s v="70500"/>
    <s v="Meals &amp; Entertainment"/>
    <m/>
    <m/>
    <m/>
    <m/>
    <m/>
    <m/>
    <n v="0"/>
    <x v="4"/>
    <n v="0"/>
  </r>
  <r>
    <s v="71000"/>
    <s v="Office Supplies"/>
    <m/>
    <m/>
    <m/>
    <m/>
    <m/>
    <m/>
    <n v="0"/>
    <x v="4"/>
    <n v="0"/>
  </r>
  <r>
    <s v="72101"/>
    <s v="Payroll Tax IRS"/>
    <m/>
    <m/>
    <m/>
    <m/>
    <m/>
    <m/>
    <n v="0"/>
    <x v="4"/>
    <n v="0"/>
  </r>
  <r>
    <s v="72201"/>
    <s v="Payroll Tax EDD"/>
    <m/>
    <m/>
    <m/>
    <m/>
    <m/>
    <m/>
    <n v="0"/>
    <x v="4"/>
    <n v="0"/>
  </r>
  <r>
    <s v="72600"/>
    <s v="Late Fees"/>
    <m/>
    <m/>
    <m/>
    <m/>
    <m/>
    <m/>
    <n v="0"/>
    <x v="4"/>
    <n v="0"/>
  </r>
  <r>
    <s v="73000"/>
    <s v="Taxes Paid"/>
    <m/>
    <m/>
    <m/>
    <m/>
    <m/>
    <m/>
    <n v="0"/>
    <x v="6"/>
    <n v="0"/>
  </r>
  <r>
    <s v="73100"/>
    <s v="Sales Tax Paid"/>
    <m/>
    <m/>
    <m/>
    <m/>
    <m/>
    <m/>
    <n v="0"/>
    <x v="4"/>
    <n v="0"/>
  </r>
  <r>
    <s v="73200"/>
    <s v="Property Taxes Paid"/>
    <m/>
    <m/>
    <m/>
    <m/>
    <m/>
    <m/>
    <n v="0"/>
    <x v="4"/>
    <n v="0"/>
  </r>
  <r>
    <s v="73500"/>
    <s v="Postage"/>
    <m/>
    <m/>
    <m/>
    <m/>
    <m/>
    <m/>
    <n v="0"/>
    <x v="4"/>
    <n v="0"/>
  </r>
  <r>
    <s v="73550.01"/>
    <s v="Shipping &amp; Handling"/>
    <m/>
    <m/>
    <m/>
    <m/>
    <m/>
    <m/>
    <n v="0"/>
    <x v="4"/>
    <n v="0"/>
  </r>
  <r>
    <s v="74000"/>
    <s v="Rent / Lease"/>
    <m/>
    <m/>
    <m/>
    <m/>
    <m/>
    <m/>
    <n v="0"/>
    <x v="4"/>
    <n v="0"/>
  </r>
  <r>
    <s v="74000.01"/>
    <s v="Rent / Lease Helicopter"/>
    <m/>
    <m/>
    <m/>
    <m/>
    <m/>
    <m/>
    <n v="0"/>
    <x v="4"/>
    <n v="0"/>
  </r>
  <r>
    <s v="74100"/>
    <s v="Equipment Rental"/>
    <m/>
    <m/>
    <m/>
    <m/>
    <m/>
    <m/>
    <n v="0"/>
    <x v="4"/>
    <n v="0"/>
  </r>
  <r>
    <s v="74400"/>
    <s v="Small Tools"/>
    <m/>
    <m/>
    <m/>
    <m/>
    <m/>
    <m/>
    <n v="0"/>
    <x v="4"/>
    <n v="0"/>
  </r>
  <r>
    <s v="74500"/>
    <s v="Repairs &amp; Maintenance"/>
    <m/>
    <m/>
    <m/>
    <m/>
    <m/>
    <m/>
    <n v="0"/>
    <x v="4"/>
    <n v="0"/>
  </r>
  <r>
    <s v="74600"/>
    <s v="Research &amp; Development"/>
    <m/>
    <m/>
    <m/>
    <m/>
    <m/>
    <m/>
    <n v="0"/>
    <x v="4"/>
    <n v="0"/>
  </r>
  <r>
    <s v="75000.1"/>
    <s v="Mountain Networks"/>
    <m/>
    <m/>
    <m/>
    <m/>
    <m/>
    <m/>
    <n v="0"/>
    <x v="4"/>
    <n v="0"/>
  </r>
  <r>
    <s v="75500"/>
    <s v="Operating Supplies"/>
    <m/>
    <m/>
    <m/>
    <m/>
    <m/>
    <m/>
    <n v="0"/>
    <x v="4"/>
    <n v="0"/>
  </r>
  <r>
    <s v="75500.02"/>
    <s v="Operating Supplies- Cable"/>
    <m/>
    <m/>
    <m/>
    <m/>
    <m/>
    <m/>
    <n v="0"/>
    <x v="4"/>
    <n v="0"/>
  </r>
  <r>
    <s v="75600"/>
    <s v="Breakroom Supplies"/>
    <m/>
    <m/>
    <m/>
    <m/>
    <m/>
    <m/>
    <n v="0"/>
    <x v="4"/>
    <n v="0"/>
  </r>
  <r>
    <s v="75600.01"/>
    <s v="Cafeteria"/>
    <m/>
    <m/>
    <m/>
    <m/>
    <m/>
    <m/>
    <n v="0"/>
    <x v="4"/>
    <n v="0"/>
  </r>
  <r>
    <s v="75800"/>
    <s v="Security"/>
    <m/>
    <m/>
    <m/>
    <m/>
    <m/>
    <m/>
    <n v="0"/>
    <x v="4"/>
    <n v="0"/>
  </r>
  <r>
    <s v="76000"/>
    <s v="Telephone"/>
    <m/>
    <m/>
    <m/>
    <m/>
    <m/>
    <m/>
    <n v="0"/>
    <x v="4"/>
    <n v="0"/>
  </r>
  <r>
    <s v="76000.02"/>
    <s v="Telephone - NVW"/>
    <m/>
    <m/>
    <m/>
    <m/>
    <m/>
    <m/>
    <n v="0"/>
    <x v="4"/>
    <n v="0"/>
  </r>
  <r>
    <s v="76100"/>
    <s v="Telephones - Cellular"/>
    <m/>
    <m/>
    <m/>
    <m/>
    <m/>
    <m/>
    <n v="0"/>
    <x v="4"/>
    <n v="0"/>
  </r>
  <r>
    <s v="76500"/>
    <s v="Travel &amp; Lodging"/>
    <m/>
    <m/>
    <m/>
    <m/>
    <m/>
    <m/>
    <n v="0"/>
    <x v="4"/>
    <n v="0"/>
  </r>
  <r>
    <s v="77250"/>
    <s v="Bonus"/>
    <m/>
    <m/>
    <m/>
    <m/>
    <m/>
    <m/>
    <n v="0"/>
    <x v="4"/>
    <n v="0"/>
  </r>
  <r>
    <s v="77500.01"/>
    <s v="Wages - Network Expansion"/>
    <m/>
    <m/>
    <m/>
    <m/>
    <m/>
    <m/>
    <n v="0"/>
    <x v="4"/>
    <n v="0"/>
  </r>
  <r>
    <s v="77500.02"/>
    <s v="Wages - R&amp;D"/>
    <m/>
    <m/>
    <m/>
    <m/>
    <m/>
    <m/>
    <n v="0"/>
    <x v="4"/>
    <n v="0"/>
  </r>
  <r>
    <s v="77500.03"/>
    <s v="Wages - Sales &amp; Marketing"/>
    <m/>
    <m/>
    <m/>
    <m/>
    <m/>
    <m/>
    <n v="0"/>
    <x v="2"/>
    <n v="0"/>
  </r>
  <r>
    <s v="77500.04"/>
    <s v="Wages - Customer Service"/>
    <m/>
    <m/>
    <m/>
    <m/>
    <m/>
    <m/>
    <n v="0"/>
    <x v="4"/>
    <n v="0"/>
  </r>
  <r>
    <s v="77500.05"/>
    <s v="Wages - Tech Support"/>
    <m/>
    <m/>
    <m/>
    <m/>
    <m/>
    <m/>
    <n v="0"/>
    <x v="4"/>
    <n v="0"/>
  </r>
  <r>
    <s v="77500.06"/>
    <s v="Wages - Manufacture"/>
    <m/>
    <m/>
    <m/>
    <m/>
    <m/>
    <m/>
    <n v="0"/>
    <x v="1"/>
    <n v="0"/>
  </r>
  <r>
    <s v="77500.07"/>
    <s v="Wages - Administrative"/>
    <m/>
    <m/>
    <m/>
    <m/>
    <m/>
    <m/>
    <n v="0"/>
    <x v="4"/>
    <n v="0"/>
  </r>
  <r>
    <s v="77500.08"/>
    <s v="Wages - Acct/HR"/>
    <m/>
    <m/>
    <m/>
    <m/>
    <m/>
    <m/>
    <n v="0"/>
    <x v="4"/>
    <n v="0"/>
  </r>
  <r>
    <s v="77500.09"/>
    <s v="Wages - Installers"/>
    <m/>
    <m/>
    <m/>
    <m/>
    <m/>
    <m/>
    <n v="0"/>
    <x v="1"/>
    <n v="0"/>
  </r>
  <r>
    <s v="77500.11"/>
    <s v="Wages - Cafeteria"/>
    <m/>
    <m/>
    <m/>
    <m/>
    <m/>
    <m/>
    <n v="0"/>
    <x v="4"/>
    <n v="0"/>
  </r>
  <r>
    <s v="77500.12"/>
    <s v="Wages 2X Sales &amp; Production"/>
    <m/>
    <m/>
    <m/>
    <m/>
    <m/>
    <m/>
    <n v="0"/>
    <x v="4"/>
    <n v="0"/>
  </r>
  <r>
    <s v="77500.13"/>
    <s v="Wages - Heli pilot"/>
    <m/>
    <m/>
    <m/>
    <m/>
    <m/>
    <m/>
    <n v="0"/>
    <x v="4"/>
    <n v="0"/>
  </r>
  <r>
    <s v="77502"/>
    <s v="Wages - On Call"/>
    <m/>
    <m/>
    <m/>
    <m/>
    <m/>
    <m/>
    <n v="0"/>
    <x v="4"/>
    <n v="0"/>
  </r>
  <r>
    <s v="77550.01"/>
    <s v="Wages - Overtime Net Expansion"/>
    <m/>
    <m/>
    <m/>
    <m/>
    <m/>
    <m/>
    <n v="0"/>
    <x v="4"/>
    <n v="0"/>
  </r>
  <r>
    <s v="77550.02"/>
    <s v="Wages - Overtime R &amp; D"/>
    <m/>
    <m/>
    <m/>
    <m/>
    <m/>
    <m/>
    <n v="0"/>
    <x v="4"/>
    <n v="0"/>
  </r>
  <r>
    <s v="77550.03"/>
    <s v="Wages - OT Sales &amp; Marketing"/>
    <m/>
    <m/>
    <m/>
    <m/>
    <m/>
    <m/>
    <n v="0"/>
    <x v="2"/>
    <n v="0"/>
  </r>
  <r>
    <s v="77550.04"/>
    <s v="Wages - OT Customer Service"/>
    <m/>
    <m/>
    <m/>
    <m/>
    <m/>
    <m/>
    <n v="0"/>
    <x v="4"/>
    <n v="0"/>
  </r>
  <r>
    <s v="77550.05"/>
    <s v="Wages - Overtime Tech Support"/>
    <m/>
    <m/>
    <m/>
    <m/>
    <m/>
    <m/>
    <n v="0"/>
    <x v="4"/>
    <n v="0"/>
  </r>
  <r>
    <s v="77550.06"/>
    <s v="Wages - Overtime Manufacturing"/>
    <m/>
    <m/>
    <m/>
    <m/>
    <m/>
    <m/>
    <n v="0"/>
    <x v="1"/>
    <n v="0"/>
  </r>
  <r>
    <s v="77550.08"/>
    <s v="Wages - Overtime Acct/HR"/>
    <m/>
    <m/>
    <m/>
    <m/>
    <m/>
    <m/>
    <n v="0"/>
    <x v="4"/>
    <n v="0"/>
  </r>
  <r>
    <s v="77550.09"/>
    <s v="Wages - OT Installers"/>
    <m/>
    <m/>
    <m/>
    <m/>
    <m/>
    <m/>
    <n v="0"/>
    <x v="1"/>
    <n v="0"/>
  </r>
  <r>
    <s v="77550.12"/>
    <s v="2x Wage overtime"/>
    <m/>
    <m/>
    <m/>
    <m/>
    <m/>
    <m/>
    <n v="0"/>
    <x v="4"/>
    <n v="0"/>
  </r>
  <r>
    <s v="77550.13"/>
    <s v="Wages - OT Heli Pilot"/>
    <m/>
    <m/>
    <m/>
    <m/>
    <m/>
    <m/>
    <n v="0"/>
    <x v="4"/>
    <n v="0"/>
  </r>
  <r>
    <s v="77570"/>
    <s v="2X Labor Capitalization"/>
    <m/>
    <m/>
    <m/>
    <m/>
    <m/>
    <m/>
    <n v="0"/>
    <x v="4"/>
    <n v="0"/>
  </r>
  <r>
    <s v="77575"/>
    <s v="DPI Labor Caplitalization"/>
    <m/>
    <m/>
    <m/>
    <m/>
    <m/>
    <m/>
    <n v="0"/>
    <x v="4"/>
    <n v="0"/>
  </r>
  <r>
    <s v="77575.12"/>
    <s v="MFG Labor Capitalization"/>
    <m/>
    <m/>
    <m/>
    <m/>
    <m/>
    <m/>
    <n v="0"/>
    <x v="4"/>
    <n v="0"/>
  </r>
  <r>
    <s v="77580"/>
    <s v="2X Payroll Allocation"/>
    <m/>
    <m/>
    <m/>
    <n v="0"/>
    <n v="0"/>
    <m/>
    <n v="0"/>
    <x v="4"/>
    <n v="0"/>
  </r>
  <r>
    <s v="77590"/>
    <s v="2X Overhead Allocation"/>
    <m/>
    <m/>
    <m/>
    <s v=" "/>
    <n v="0"/>
    <m/>
    <n v="0"/>
    <x v="4"/>
    <n v="0"/>
  </r>
  <r>
    <s v="77591"/>
    <s v="DPA Overhead Allocation"/>
    <m/>
    <m/>
    <m/>
    <s v=" "/>
    <n v="0"/>
    <m/>
    <n v="0"/>
    <x v="4"/>
    <n v="0"/>
  </r>
  <r>
    <s v="63000"/>
    <s v="G&amp;A Overhead Allocation"/>
    <m/>
    <m/>
    <m/>
    <s v=" "/>
    <n v="0"/>
    <m/>
    <n v="0"/>
    <x v="4"/>
    <n v="0"/>
  </r>
  <r>
    <m/>
    <s v="G&amp;A Wages Allocation"/>
    <m/>
    <m/>
    <m/>
    <s v=" "/>
    <n v="0"/>
    <m/>
    <n v="0"/>
    <x v="4"/>
    <n v="0"/>
  </r>
  <r>
    <m/>
    <s v="G&amp;A Taxes &amp; Benefits"/>
    <m/>
    <m/>
    <m/>
    <s v=" "/>
    <n v="0"/>
    <m/>
    <n v="0"/>
    <x v="4"/>
    <n v="0"/>
  </r>
  <r>
    <s v="60550"/>
    <s v="Misc Warehouse"/>
    <m/>
    <m/>
    <m/>
    <n v="0"/>
    <m/>
    <m/>
    <n v="0"/>
    <x v="4"/>
    <n v="0"/>
  </r>
  <r>
    <s v="77600"/>
    <s v="Per Diem"/>
    <m/>
    <m/>
    <m/>
    <m/>
    <m/>
    <m/>
    <n v="0"/>
    <x v="4"/>
    <n v="0"/>
  </r>
  <r>
    <m/>
    <s v="Waste Disposal"/>
    <m/>
    <m/>
    <m/>
    <m/>
    <m/>
    <m/>
    <n v="0"/>
    <x v="4"/>
    <n v="0"/>
  </r>
  <r>
    <s v="77700"/>
    <s v="Pension &amp; Profit Sharing"/>
    <m/>
    <m/>
    <m/>
    <m/>
    <m/>
    <m/>
    <n v="0"/>
    <x v="4"/>
    <n v="0"/>
  </r>
  <r>
    <s v="78000"/>
    <s v="Utilities"/>
    <m/>
    <m/>
    <m/>
    <m/>
    <m/>
    <m/>
    <n v="0"/>
    <x v="4"/>
    <n v="0"/>
  </r>
  <r>
    <s v="89500"/>
    <s v="Other expense"/>
    <m/>
    <m/>
    <m/>
    <m/>
    <m/>
    <m/>
    <n v="0"/>
    <x v="4"/>
    <n v="0"/>
  </r>
  <r>
    <s v="90000"/>
    <s v="Gain / Loss on Sale of Assets"/>
    <m/>
    <m/>
    <m/>
    <m/>
    <m/>
    <m/>
    <n v="0"/>
    <x v="7"/>
    <n v="0"/>
  </r>
  <r>
    <s v="96500"/>
    <s v="Income Tax Expense"/>
    <m/>
    <m/>
    <m/>
    <m/>
    <m/>
    <m/>
    <n v="0"/>
    <x v="4"/>
    <n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04">
  <r>
    <s v="10000"/>
    <s v="Petty Cash Fund"/>
    <m/>
    <m/>
    <m/>
    <m/>
    <m/>
    <m/>
    <n v="0"/>
    <x v="0"/>
    <n v="0"/>
  </r>
  <r>
    <s v="10000.01"/>
    <s v="Petty Cash Emergency fund"/>
    <m/>
    <m/>
    <m/>
    <m/>
    <m/>
    <m/>
    <n v="0"/>
    <x v="0"/>
    <n v="0"/>
  </r>
  <r>
    <s v="10050"/>
    <s v="Cash Box Call Center"/>
    <m/>
    <m/>
    <m/>
    <m/>
    <m/>
    <m/>
    <n v="0"/>
    <x v="0"/>
    <n v="0"/>
  </r>
  <r>
    <s v="10051"/>
    <s v="Per Diem"/>
    <m/>
    <m/>
    <m/>
    <m/>
    <m/>
    <m/>
    <n v="0"/>
    <x v="0"/>
    <n v="0"/>
  </r>
  <r>
    <s v="10175"/>
    <s v="US Bank 4245"/>
    <m/>
    <m/>
    <m/>
    <m/>
    <m/>
    <m/>
    <n v="0"/>
    <x v="0"/>
    <n v="0"/>
  </r>
  <r>
    <s v="10200"/>
    <s v="Rabobank Operating - 7057"/>
    <m/>
    <m/>
    <m/>
    <m/>
    <m/>
    <m/>
    <n v="0"/>
    <x v="0"/>
    <n v="0"/>
  </r>
  <r>
    <m/>
    <s v="East West Bank - 5237 2X"/>
    <m/>
    <m/>
    <m/>
    <m/>
    <m/>
    <m/>
    <n v="0"/>
    <x v="0"/>
    <n v="0"/>
  </r>
  <r>
    <s v="10445"/>
    <s v="East West Bank - 5211 Self Ins"/>
    <m/>
    <m/>
    <m/>
    <m/>
    <m/>
    <m/>
    <n v="0"/>
    <x v="0"/>
    <n v="0"/>
  </r>
  <r>
    <s v="10450"/>
    <s v="East West Bank - 3521 Savings"/>
    <m/>
    <m/>
    <m/>
    <m/>
    <m/>
    <m/>
    <n v="0"/>
    <x v="0"/>
    <n v="0"/>
  </r>
  <r>
    <s v="10455"/>
    <s v="East West Bank - 5229 CC Dep"/>
    <m/>
    <m/>
    <m/>
    <m/>
    <m/>
    <m/>
    <n v="0"/>
    <x v="0"/>
    <n v="0"/>
  </r>
  <r>
    <s v="10475"/>
    <s v="East West Bank - 3349 Gen Op"/>
    <m/>
    <m/>
    <m/>
    <m/>
    <m/>
    <m/>
    <n v="0"/>
    <x v="0"/>
    <n v="0"/>
  </r>
  <r>
    <s v="10480"/>
    <s v="East West Bank - 3802 CapX"/>
    <m/>
    <m/>
    <m/>
    <m/>
    <m/>
    <m/>
    <n v="0"/>
    <x v="0"/>
    <n v="0"/>
  </r>
  <r>
    <s v="10485"/>
    <s v="East West Bank - 3828 Payroll"/>
    <m/>
    <m/>
    <m/>
    <m/>
    <m/>
    <m/>
    <n v="0"/>
    <x v="0"/>
    <n v="0"/>
  </r>
  <r>
    <s v="10700"/>
    <s v="Credit Card Receivable"/>
    <m/>
    <m/>
    <m/>
    <m/>
    <m/>
    <m/>
    <n v="0"/>
    <x v="1"/>
    <n v="0"/>
  </r>
  <r>
    <s v="11000"/>
    <s v="Accounts Receivable - Service"/>
    <m/>
    <m/>
    <m/>
    <m/>
    <m/>
    <m/>
    <n v="0"/>
    <x v="1"/>
    <n v="0"/>
  </r>
  <r>
    <s v="11001"/>
    <s v="Accounts Receivable - Relays"/>
    <m/>
    <m/>
    <m/>
    <m/>
    <m/>
    <m/>
    <n v="0"/>
    <x v="1"/>
    <n v="0"/>
  </r>
  <r>
    <s v="11002"/>
    <s v="AR - Business Phone Sys #17"/>
    <m/>
    <m/>
    <m/>
    <m/>
    <m/>
    <m/>
    <n v="0"/>
    <x v="1"/>
    <n v="0"/>
  </r>
  <r>
    <s v="11100"/>
    <s v="Accounts Receivable- Wholesale"/>
    <m/>
    <m/>
    <m/>
    <m/>
    <m/>
    <m/>
    <n v="0"/>
    <x v="1"/>
    <n v="0"/>
  </r>
  <r>
    <s v="11116"/>
    <s v="Accounts Receivable - Misc"/>
    <m/>
    <m/>
    <m/>
    <m/>
    <m/>
    <m/>
    <n v="0"/>
    <x v="1"/>
    <n v="0"/>
  </r>
  <r>
    <s v="11118"/>
    <s v="AR - Business Services # 18"/>
    <m/>
    <m/>
    <m/>
    <m/>
    <m/>
    <m/>
    <n v="0"/>
    <x v="1"/>
    <n v="0"/>
  </r>
  <r>
    <s v="11120"/>
    <s v="Allowance for doubtful accts"/>
    <m/>
    <m/>
    <m/>
    <m/>
    <m/>
    <m/>
    <n v="0"/>
    <x v="1"/>
    <n v="0"/>
  </r>
  <r>
    <s v="13000"/>
    <s v="Employee Advance"/>
    <m/>
    <m/>
    <m/>
    <m/>
    <m/>
    <m/>
    <n v="0"/>
    <x v="2"/>
    <n v="0"/>
  </r>
  <r>
    <s v="13000.02"/>
    <s v="Owner Advance"/>
    <m/>
    <m/>
    <m/>
    <m/>
    <m/>
    <m/>
    <n v="0"/>
    <x v="3"/>
    <n v="0"/>
  </r>
  <r>
    <m/>
    <s v="2X Inventory"/>
    <m/>
    <m/>
    <m/>
    <m/>
    <m/>
    <m/>
    <n v="0"/>
    <x v="4"/>
    <n v="0"/>
  </r>
  <r>
    <s v="15302"/>
    <s v="Installation Supplies"/>
    <m/>
    <m/>
    <m/>
    <m/>
    <m/>
    <m/>
    <n v="0"/>
    <x v="2"/>
    <n v="0"/>
  </r>
  <r>
    <s v="15304"/>
    <s v="Installation Supplies NPN"/>
    <m/>
    <m/>
    <m/>
    <m/>
    <m/>
    <m/>
    <n v="0"/>
    <x v="2"/>
    <n v="0"/>
  </r>
  <r>
    <s v="15305"/>
    <s v="Cable Inventory"/>
    <m/>
    <m/>
    <m/>
    <m/>
    <m/>
    <m/>
    <n v="0"/>
    <x v="4"/>
    <n v="0"/>
  </r>
  <r>
    <s v="15307"/>
    <s v="Gen 7 Inventory"/>
    <m/>
    <m/>
    <m/>
    <m/>
    <m/>
    <m/>
    <n v="0"/>
    <x v="4"/>
    <n v="0"/>
  </r>
  <r>
    <s v="15401"/>
    <s v="Misc inventory - Legacy"/>
    <m/>
    <m/>
    <m/>
    <m/>
    <m/>
    <m/>
    <n v="0"/>
    <x v="4"/>
    <n v="0"/>
  </r>
  <r>
    <s v="18000"/>
    <s v="Prepaid expenses"/>
    <m/>
    <m/>
    <m/>
    <m/>
    <m/>
    <m/>
    <n v="0"/>
    <x v="5"/>
    <n v="0"/>
  </r>
  <r>
    <s v="18100"/>
    <s v="Prepaid Corp Income Taxes"/>
    <m/>
    <m/>
    <m/>
    <m/>
    <m/>
    <m/>
    <n v="0"/>
    <x v="5"/>
    <n v="0"/>
  </r>
  <r>
    <s v="18300"/>
    <s v="PrePaid Sales Tax"/>
    <m/>
    <m/>
    <m/>
    <m/>
    <m/>
    <m/>
    <n v="0"/>
    <x v="5"/>
    <n v="0"/>
  </r>
  <r>
    <s v="18400"/>
    <s v="Non Deployed Fixed Assets - NX"/>
    <m/>
    <m/>
    <m/>
    <m/>
    <m/>
    <m/>
    <n v="0"/>
    <x v="6"/>
    <n v="0"/>
  </r>
  <r>
    <s v="18500"/>
    <s v="Inventory - Non Net Exp"/>
    <m/>
    <m/>
    <m/>
    <m/>
    <m/>
    <m/>
    <n v="0"/>
    <x v="4"/>
    <n v="0"/>
  </r>
  <r>
    <s v="18600"/>
    <s v="Non-Deployed CPE &amp; AP's"/>
    <m/>
    <m/>
    <m/>
    <m/>
    <m/>
    <m/>
    <n v="0"/>
    <x v="6"/>
    <n v="0"/>
  </r>
  <r>
    <s v="18607"/>
    <s v="Non-Deployed Gen 7"/>
    <m/>
    <m/>
    <m/>
    <m/>
    <m/>
    <m/>
    <n v="0"/>
    <x v="6"/>
    <n v="0"/>
  </r>
  <r>
    <m/>
    <s v="Contra Account - Non-Deployed CPE"/>
    <m/>
    <m/>
    <m/>
    <m/>
    <m/>
    <n v="0"/>
    <n v="0"/>
    <x v="6"/>
    <n v="0"/>
  </r>
  <r>
    <s v="15100"/>
    <s v="Furniture"/>
    <m/>
    <m/>
    <m/>
    <m/>
    <m/>
    <m/>
    <n v="0"/>
    <x v="6"/>
    <n v="0"/>
  </r>
  <r>
    <s v="15300"/>
    <s v="CPE-Modems"/>
    <m/>
    <m/>
    <m/>
    <m/>
    <m/>
    <n v="0"/>
    <n v="0"/>
    <x v="6"/>
    <n v="0"/>
  </r>
  <r>
    <s v="15310"/>
    <s v="Phones"/>
    <m/>
    <m/>
    <m/>
    <m/>
    <m/>
    <m/>
    <n v="0"/>
    <x v="6"/>
    <n v="0"/>
  </r>
  <r>
    <s v="15400"/>
    <s v="Repeaters"/>
    <m/>
    <m/>
    <m/>
    <m/>
    <m/>
    <m/>
    <n v="0"/>
    <x v="6"/>
    <n v="0"/>
  </r>
  <r>
    <s v="15402"/>
    <s v="Miscellaneous Equipment"/>
    <m/>
    <m/>
    <m/>
    <m/>
    <m/>
    <m/>
    <n v="0"/>
    <x v="6"/>
    <n v="0"/>
  </r>
  <r>
    <s v="15407"/>
    <s v="Equipment Gen 7"/>
    <m/>
    <m/>
    <m/>
    <m/>
    <m/>
    <m/>
    <n v="0"/>
    <x v="6"/>
    <n v="0"/>
  </r>
  <r>
    <s v="15410"/>
    <s v="Equipment 2X"/>
    <m/>
    <m/>
    <m/>
    <m/>
    <m/>
    <m/>
    <n v="0"/>
    <x v="6"/>
    <n v="0"/>
  </r>
  <r>
    <s v="15500"/>
    <s v="Computers &amp; Peripherial"/>
    <m/>
    <m/>
    <m/>
    <m/>
    <m/>
    <m/>
    <n v="0"/>
    <x v="6"/>
    <n v="0"/>
  </r>
  <r>
    <s v="15600"/>
    <s v="Gateway"/>
    <m/>
    <m/>
    <m/>
    <m/>
    <m/>
    <m/>
    <n v="0"/>
    <x v="6"/>
    <n v="0"/>
  </r>
  <r>
    <s v="15600.01"/>
    <s v="Microwave Network"/>
    <m/>
    <m/>
    <m/>
    <m/>
    <m/>
    <m/>
    <n v="0"/>
    <x v="6"/>
    <n v="0"/>
  </r>
  <r>
    <s v="15600.02"/>
    <s v="Network Infastructure Labor"/>
    <m/>
    <m/>
    <m/>
    <m/>
    <m/>
    <m/>
    <n v="0"/>
    <x v="6"/>
    <n v="0"/>
  </r>
  <r>
    <s v="15600.07"/>
    <s v="Gen 7 Network"/>
    <m/>
    <m/>
    <m/>
    <m/>
    <m/>
    <m/>
    <n v="0"/>
    <x v="6"/>
    <n v="0"/>
  </r>
  <r>
    <s v="15700"/>
    <s v="Software"/>
    <m/>
    <m/>
    <m/>
    <m/>
    <m/>
    <m/>
    <n v="0"/>
    <x v="6"/>
    <n v="0"/>
  </r>
  <r>
    <s v="15700.01"/>
    <s v="Software Labor"/>
    <m/>
    <m/>
    <m/>
    <m/>
    <m/>
    <m/>
    <n v="0"/>
    <x v="7"/>
    <n v="0"/>
  </r>
  <r>
    <s v="15800"/>
    <s v="Vehicles"/>
    <m/>
    <m/>
    <m/>
    <m/>
    <m/>
    <m/>
    <n v="0"/>
    <x v="6"/>
    <n v="0"/>
  </r>
  <r>
    <s v="15000"/>
    <s v="Heliocopter"/>
    <m/>
    <m/>
    <m/>
    <m/>
    <m/>
    <m/>
    <n v="0"/>
    <x v="6"/>
    <n v="0"/>
  </r>
  <r>
    <s v="15900"/>
    <s v="Leasehold Improvements"/>
    <m/>
    <m/>
    <m/>
    <m/>
    <m/>
    <m/>
    <n v="0"/>
    <x v="6"/>
    <n v="0"/>
  </r>
  <r>
    <s v="16100"/>
    <s v="Property"/>
    <m/>
    <m/>
    <m/>
    <m/>
    <m/>
    <m/>
    <n v="0"/>
    <x v="6"/>
    <n v="0"/>
  </r>
  <r>
    <s v="17100"/>
    <s v="Accum Depr-Furniture"/>
    <m/>
    <m/>
    <m/>
    <m/>
    <m/>
    <m/>
    <n v="0"/>
    <x v="6"/>
    <n v="0"/>
  </r>
  <r>
    <s v="17200"/>
    <s v="Accum Depr-Micro Network"/>
    <m/>
    <m/>
    <m/>
    <m/>
    <m/>
    <m/>
    <n v="0"/>
    <x v="6"/>
    <n v="0"/>
  </r>
  <r>
    <s v="17200.01"/>
    <s v="Network Infrastructure Labor"/>
    <m/>
    <m/>
    <m/>
    <m/>
    <m/>
    <m/>
    <n v="0"/>
    <x v="6"/>
    <n v="0"/>
  </r>
  <r>
    <m/>
    <s v="Accum Depr - Heliocopter"/>
    <m/>
    <m/>
    <m/>
    <m/>
    <m/>
    <m/>
    <n v="0"/>
    <x v="6"/>
    <n v="0"/>
  </r>
  <r>
    <s v="17200.07"/>
    <s v="Accum Depr - Gen 7 Network"/>
    <m/>
    <m/>
    <m/>
    <m/>
    <m/>
    <m/>
    <n v="0"/>
    <x v="6"/>
    <n v="0"/>
  </r>
  <r>
    <s v="17300"/>
    <s v="Accum Depr-CPE Modems"/>
    <m/>
    <m/>
    <m/>
    <m/>
    <m/>
    <m/>
    <n v="0"/>
    <x v="6"/>
    <n v="0"/>
  </r>
  <r>
    <s v="17310"/>
    <s v="Accum Depr - Phones"/>
    <m/>
    <m/>
    <m/>
    <m/>
    <m/>
    <m/>
    <n v="0"/>
    <x v="6"/>
    <n v="0"/>
  </r>
  <r>
    <s v="17400"/>
    <s v="Accum Depr-Repeater"/>
    <m/>
    <m/>
    <m/>
    <m/>
    <m/>
    <m/>
    <n v="0"/>
    <x v="6"/>
    <n v="0"/>
  </r>
  <r>
    <s v="17402"/>
    <s v="Accum Depr - Equipment"/>
    <m/>
    <m/>
    <m/>
    <m/>
    <m/>
    <m/>
    <n v="0"/>
    <x v="6"/>
    <n v="0"/>
  </r>
  <r>
    <s v="17407"/>
    <s v="Accum Depre - Equip Gen 7"/>
    <m/>
    <m/>
    <m/>
    <m/>
    <m/>
    <m/>
    <n v="0"/>
    <x v="6"/>
    <n v="0"/>
  </r>
  <r>
    <s v="17410"/>
    <s v="Accum Depre - 2X Equipment"/>
    <m/>
    <m/>
    <m/>
    <m/>
    <m/>
    <m/>
    <n v="0"/>
    <x v="6"/>
    <n v="0"/>
  </r>
  <r>
    <s v="17500"/>
    <s v="Accum Depr-Computer"/>
    <m/>
    <m/>
    <m/>
    <m/>
    <m/>
    <m/>
    <n v="0"/>
    <x v="6"/>
    <n v="0"/>
  </r>
  <r>
    <s v="17600"/>
    <s v="Accum Depr-Gateway"/>
    <m/>
    <m/>
    <m/>
    <m/>
    <m/>
    <m/>
    <n v="0"/>
    <x v="6"/>
    <n v="0"/>
  </r>
  <r>
    <s v="17700"/>
    <s v="Accum-Depr-Software"/>
    <m/>
    <m/>
    <m/>
    <m/>
    <m/>
    <m/>
    <n v="0"/>
    <x v="6"/>
    <n v="0"/>
  </r>
  <r>
    <s v="17700.01"/>
    <s v="Accum Depr Software Labor"/>
    <m/>
    <m/>
    <m/>
    <m/>
    <m/>
    <m/>
    <n v="0"/>
    <x v="7"/>
    <n v="0"/>
  </r>
  <r>
    <s v="17710"/>
    <s v="Accum Dep - LHI"/>
    <m/>
    <m/>
    <m/>
    <m/>
    <m/>
    <m/>
    <n v="0"/>
    <x v="6"/>
    <n v="0"/>
  </r>
  <r>
    <s v="17800"/>
    <s v="Accum Depr-Vehicles"/>
    <m/>
    <m/>
    <m/>
    <m/>
    <m/>
    <m/>
    <n v="0"/>
    <x v="6"/>
    <n v="0"/>
  </r>
  <r>
    <s v="11250"/>
    <s v="Note Receiveable 2X Wireless"/>
    <m/>
    <m/>
    <m/>
    <m/>
    <n v="0"/>
    <m/>
    <n v="0"/>
    <x v="8"/>
    <n v="0"/>
  </r>
  <r>
    <s v="11275"/>
    <s v="Note Receivable DP Aviation"/>
    <m/>
    <m/>
    <m/>
    <m/>
    <n v="0"/>
    <m/>
    <n v="0"/>
    <x v="8"/>
    <n v="0"/>
  </r>
  <r>
    <s v="19000"/>
    <s v="Deposits"/>
    <m/>
    <m/>
    <m/>
    <m/>
    <m/>
    <m/>
    <n v="0"/>
    <x v="2"/>
    <n v="0"/>
  </r>
  <r>
    <s v="19030"/>
    <s v="Prepaid Property Taxes"/>
    <m/>
    <m/>
    <m/>
    <m/>
    <m/>
    <m/>
    <n v="0"/>
    <x v="5"/>
    <n v="0"/>
  </r>
  <r>
    <s v="19300"/>
    <s v="Patent"/>
    <m/>
    <m/>
    <m/>
    <m/>
    <m/>
    <m/>
    <n v="0"/>
    <x v="9"/>
    <n v="0"/>
  </r>
  <r>
    <s v="19350"/>
    <s v="Accumulated Amort - Patent"/>
    <m/>
    <m/>
    <m/>
    <m/>
    <m/>
    <m/>
    <n v="0"/>
    <x v="9"/>
    <n v="0"/>
  </r>
  <r>
    <s v="19567"/>
    <s v="Capitalized Loan costs"/>
    <m/>
    <m/>
    <m/>
    <m/>
    <m/>
    <m/>
    <n v="0"/>
    <x v="10"/>
    <n v="0"/>
  </r>
  <r>
    <s v="19570"/>
    <s v="Accumulated Amort - Loan Costs"/>
    <m/>
    <m/>
    <m/>
    <m/>
    <m/>
    <m/>
    <n v="0"/>
    <x v="10"/>
    <n v="0"/>
  </r>
  <r>
    <s v="19600"/>
    <s v="Investment in 2X Wireless"/>
    <m/>
    <m/>
    <m/>
    <n v="0"/>
    <m/>
    <m/>
    <n v="0"/>
    <x v="8"/>
    <n v="0"/>
  </r>
  <r>
    <s v="19700"/>
    <s v="Investment in DP Aviation"/>
    <m/>
    <m/>
    <m/>
    <n v="0"/>
    <m/>
    <m/>
    <n v="0"/>
    <x v="8"/>
    <n v="0"/>
  </r>
  <r>
    <s v="20000"/>
    <s v="Accounts Payable"/>
    <m/>
    <m/>
    <m/>
    <m/>
    <m/>
    <m/>
    <n v="0"/>
    <x v="11"/>
    <n v="0"/>
  </r>
  <r>
    <s v="20100"/>
    <s v="Accrued Expenses"/>
    <m/>
    <m/>
    <m/>
    <m/>
    <m/>
    <m/>
    <n v="0"/>
    <x v="12"/>
    <n v="0"/>
  </r>
  <r>
    <s v="20100.01"/>
    <s v="Accrued self insurance"/>
    <m/>
    <m/>
    <m/>
    <m/>
    <m/>
    <m/>
    <n v="0"/>
    <x v="12"/>
    <n v="0"/>
  </r>
  <r>
    <s v="21000"/>
    <s v="Payroll Payable"/>
    <m/>
    <m/>
    <m/>
    <m/>
    <m/>
    <m/>
    <n v="0"/>
    <x v="12"/>
    <n v="0"/>
  </r>
  <r>
    <s v="21050"/>
    <s v="Payroll Tax Payable"/>
    <m/>
    <m/>
    <m/>
    <m/>
    <m/>
    <m/>
    <n v="0"/>
    <x v="12"/>
    <n v="0"/>
  </r>
  <r>
    <s v="21100"/>
    <s v="PTO Payable"/>
    <m/>
    <m/>
    <m/>
    <m/>
    <m/>
    <m/>
    <n v="0"/>
    <x v="12"/>
    <n v="0"/>
  </r>
  <r>
    <s v="23100"/>
    <s v="Sales/Use Tax Payable"/>
    <m/>
    <m/>
    <m/>
    <m/>
    <m/>
    <m/>
    <n v="0"/>
    <x v="12"/>
    <n v="0"/>
  </r>
  <r>
    <s v="24948"/>
    <s v="083 N/P - 2012 Dodge Ram"/>
    <m/>
    <m/>
    <m/>
    <m/>
    <m/>
    <m/>
    <n v="0"/>
    <x v="13"/>
    <n v="0"/>
  </r>
  <r>
    <s v="24958"/>
    <s v="091 L/P - 2X  US Bank"/>
    <m/>
    <m/>
    <m/>
    <m/>
    <m/>
    <m/>
    <n v="0"/>
    <x v="13"/>
    <n v="0"/>
  </r>
  <r>
    <s v="24962"/>
    <s v="095 L/P - JB2 Funding"/>
    <m/>
    <m/>
    <m/>
    <m/>
    <m/>
    <m/>
    <n v="0"/>
    <x v="13"/>
    <n v="0"/>
  </r>
  <r>
    <s v="24965"/>
    <s v="098 L/P - Key Equipment"/>
    <m/>
    <m/>
    <m/>
    <m/>
    <m/>
    <m/>
    <n v="0"/>
    <x v="13"/>
    <n v="0"/>
  </r>
  <r>
    <s v="24966"/>
    <s v="099 L/P - Summit"/>
    <m/>
    <m/>
    <m/>
    <m/>
    <m/>
    <m/>
    <n v="0"/>
    <x v="13"/>
    <n v="0"/>
  </r>
  <r>
    <s v="24967"/>
    <s v="100 L/P - Frame 1"/>
    <m/>
    <m/>
    <m/>
    <m/>
    <m/>
    <m/>
    <n v="0"/>
    <x v="13"/>
    <n v="0"/>
  </r>
  <r>
    <s v="24968"/>
    <s v="101 L/P - CIT"/>
    <m/>
    <m/>
    <m/>
    <m/>
    <m/>
    <m/>
    <n v="0"/>
    <x v="13"/>
    <n v="0"/>
  </r>
  <r>
    <s v="24970"/>
    <s v="103 L/P - Element"/>
    <m/>
    <m/>
    <m/>
    <m/>
    <m/>
    <m/>
    <n v="0"/>
    <x v="13"/>
    <n v="0"/>
  </r>
  <r>
    <s v="24971"/>
    <s v="104 L/P - Fame 1 - Leaf"/>
    <m/>
    <m/>
    <m/>
    <m/>
    <m/>
    <m/>
    <n v="0"/>
    <x v="13"/>
    <n v="0"/>
  </r>
  <r>
    <s v="24973"/>
    <s v="106 L/P - EverBank"/>
    <m/>
    <m/>
    <m/>
    <m/>
    <m/>
    <m/>
    <n v="0"/>
    <x v="13"/>
    <n v="0"/>
  </r>
  <r>
    <s v="24977"/>
    <s v="110 L/P - Western Equipment"/>
    <m/>
    <m/>
    <m/>
    <m/>
    <m/>
    <m/>
    <n v="0"/>
    <x v="13"/>
    <n v="0"/>
  </r>
  <r>
    <s v="24979"/>
    <s v="112 L/P - Arlington"/>
    <m/>
    <m/>
    <m/>
    <m/>
    <m/>
    <m/>
    <n v="0"/>
    <x v="13"/>
    <n v="0"/>
  </r>
  <r>
    <s v="24981"/>
    <s v="114 L/P - Nec"/>
    <m/>
    <m/>
    <m/>
    <m/>
    <m/>
    <m/>
    <n v="0"/>
    <x v="13"/>
    <n v="0"/>
  </r>
  <r>
    <s v="24984"/>
    <s v="117 L/P - HP Financial"/>
    <m/>
    <m/>
    <m/>
    <m/>
    <m/>
    <m/>
    <n v="0"/>
    <x v="13"/>
    <n v="0"/>
  </r>
  <r>
    <s v="24986"/>
    <s v="119 L/P - Element"/>
    <m/>
    <m/>
    <m/>
    <m/>
    <m/>
    <m/>
    <n v="0"/>
    <x v="13"/>
    <n v="0"/>
  </r>
  <r>
    <s v="24988"/>
    <s v="121 L/P - Banc of Calif"/>
    <m/>
    <m/>
    <m/>
    <m/>
    <m/>
    <m/>
    <n v="0"/>
    <x v="13"/>
    <n v="0"/>
  </r>
  <r>
    <s v="25001"/>
    <s v="Credit Card AmEx 3000"/>
    <m/>
    <m/>
    <m/>
    <m/>
    <m/>
    <m/>
    <n v="0"/>
    <x v="11"/>
    <n v="0"/>
  </r>
  <r>
    <s v="25001.01"/>
    <s v="Credit Card AMEX 1019"/>
    <m/>
    <m/>
    <m/>
    <m/>
    <m/>
    <m/>
    <n v="0"/>
    <x v="11"/>
    <n v="0"/>
  </r>
  <r>
    <s v="25003"/>
    <s v="Credit Card Home Depot"/>
    <m/>
    <m/>
    <m/>
    <m/>
    <m/>
    <m/>
    <n v="0"/>
    <x v="11"/>
    <n v="0"/>
  </r>
  <r>
    <s v="25004"/>
    <s v="Credit Card Chase 8093 - 3079"/>
    <m/>
    <m/>
    <m/>
    <m/>
    <m/>
    <m/>
    <n v="0"/>
    <x v="11"/>
    <n v="0"/>
  </r>
  <r>
    <s v="25005"/>
    <s v="Credit Card United 6664 - 5834"/>
    <m/>
    <m/>
    <m/>
    <m/>
    <m/>
    <m/>
    <n v="0"/>
    <x v="11"/>
    <n v="0"/>
  </r>
  <r>
    <s v="25006"/>
    <s v="Credit Card Chas 5756 Employee"/>
    <m/>
    <m/>
    <m/>
    <m/>
    <m/>
    <m/>
    <n v="0"/>
    <x v="11"/>
    <n v="0"/>
  </r>
  <r>
    <s v="25007"/>
    <s v="Credit Card  AM EX CostCo 1008"/>
    <m/>
    <m/>
    <m/>
    <m/>
    <m/>
    <m/>
    <n v="0"/>
    <x v="11"/>
    <n v="0"/>
  </r>
  <r>
    <s v="25008"/>
    <s v="Credit Card Capital One"/>
    <m/>
    <m/>
    <m/>
    <m/>
    <m/>
    <m/>
    <n v="0"/>
    <x v="11"/>
    <n v="0"/>
  </r>
  <r>
    <s v="25008.01"/>
    <s v="Capital One"/>
    <m/>
    <m/>
    <m/>
    <m/>
    <m/>
    <m/>
    <n v="0"/>
    <x v="11"/>
    <n v="0"/>
  </r>
  <r>
    <s v="25012"/>
    <s v="Credit CardChase - United 9064"/>
    <m/>
    <m/>
    <m/>
    <m/>
    <m/>
    <m/>
    <n v="0"/>
    <x v="11"/>
    <n v="0"/>
  </r>
  <r>
    <s v="25015"/>
    <s v="126 L/P - Summit"/>
    <m/>
    <m/>
    <m/>
    <m/>
    <m/>
    <m/>
    <n v="0"/>
    <x v="13"/>
    <n v="0"/>
  </r>
  <r>
    <s v="25018"/>
    <s v="129 L/P - Western"/>
    <m/>
    <m/>
    <m/>
    <m/>
    <m/>
    <m/>
    <n v="0"/>
    <x v="13"/>
    <n v="0"/>
  </r>
  <r>
    <s v="25019"/>
    <s v="130 L/P - De Lage Landen"/>
    <m/>
    <m/>
    <m/>
    <m/>
    <m/>
    <m/>
    <n v="0"/>
    <x v="13"/>
    <n v="0"/>
  </r>
  <r>
    <s v="25020"/>
    <s v="131 L/P - Element"/>
    <m/>
    <m/>
    <m/>
    <m/>
    <m/>
    <m/>
    <n v="0"/>
    <x v="13"/>
    <n v="0"/>
  </r>
  <r>
    <s v="25029"/>
    <s v="139 L/P - Western"/>
    <m/>
    <m/>
    <m/>
    <m/>
    <m/>
    <m/>
    <n v="0"/>
    <x v="13"/>
    <n v="0"/>
  </r>
  <r>
    <s v="25031"/>
    <s v="142 L/P - US Bank Copier"/>
    <m/>
    <m/>
    <m/>
    <m/>
    <m/>
    <m/>
    <n v="0"/>
    <x v="13"/>
    <n v="0"/>
  </r>
  <r>
    <s v="25033"/>
    <s v="144 L/P - WISPer"/>
    <m/>
    <m/>
    <m/>
    <m/>
    <m/>
    <m/>
    <n v="0"/>
    <x v="13"/>
    <n v="0"/>
  </r>
  <r>
    <s v="25034"/>
    <s v="145 L/P - EverBank"/>
    <m/>
    <m/>
    <m/>
    <m/>
    <m/>
    <m/>
    <n v="0"/>
    <x v="13"/>
    <n v="0"/>
  </r>
  <r>
    <s v="25035"/>
    <s v="146 L/P - WISPer"/>
    <m/>
    <m/>
    <m/>
    <m/>
    <m/>
    <m/>
    <n v="0"/>
    <x v="13"/>
    <n v="0"/>
  </r>
  <r>
    <s v="25036"/>
    <s v="147 L/P - WISPer"/>
    <m/>
    <m/>
    <m/>
    <m/>
    <m/>
    <m/>
    <n v="0"/>
    <x v="13"/>
    <n v="0"/>
  </r>
  <r>
    <s v="25037"/>
    <s v="148 L/P - Axis Capital"/>
    <m/>
    <m/>
    <m/>
    <m/>
    <m/>
    <m/>
    <n v="0"/>
    <x v="13"/>
    <n v="0"/>
  </r>
  <r>
    <s v="25038"/>
    <s v="149 L/P - Axis Capital"/>
    <m/>
    <m/>
    <m/>
    <m/>
    <m/>
    <m/>
    <n v="0"/>
    <x v="13"/>
    <n v="0"/>
  </r>
  <r>
    <s v="25039"/>
    <s v="150 L/P - WISPer 4"/>
    <m/>
    <m/>
    <m/>
    <m/>
    <m/>
    <m/>
    <n v="0"/>
    <x v="13"/>
    <n v="0"/>
  </r>
  <r>
    <s v="25040"/>
    <s v="151 N/P - 2016 Ford F350"/>
    <m/>
    <m/>
    <m/>
    <m/>
    <m/>
    <m/>
    <n v="0"/>
    <x v="13"/>
    <n v="0"/>
  </r>
  <r>
    <s v="25041"/>
    <s v="152 L/P - AXIS CAPITAL"/>
    <m/>
    <m/>
    <m/>
    <m/>
    <m/>
    <m/>
    <n v="0"/>
    <x v="13"/>
    <n v="0"/>
  </r>
  <r>
    <s v="25042"/>
    <s v="153 L/p - Jules"/>
    <m/>
    <m/>
    <m/>
    <m/>
    <m/>
    <m/>
    <n v="0"/>
    <x v="13"/>
    <n v="0"/>
  </r>
  <r>
    <s v="25043"/>
    <s v="154 L/P - Jules 3"/>
    <m/>
    <m/>
    <m/>
    <m/>
    <m/>
    <m/>
    <n v="0"/>
    <x v="13"/>
    <n v="0"/>
  </r>
  <r>
    <s v="25044"/>
    <s v="155 L/P - Axis Capital 4"/>
    <m/>
    <m/>
    <m/>
    <m/>
    <m/>
    <m/>
    <n v="0"/>
    <x v="13"/>
    <n v="0"/>
  </r>
  <r>
    <s v="25045"/>
    <s v="156 L/P - Axis Capital 5"/>
    <m/>
    <m/>
    <m/>
    <m/>
    <m/>
    <m/>
    <n v="0"/>
    <x v="13"/>
    <n v="0"/>
  </r>
  <r>
    <s v="25046"/>
    <s v="157 L/P - Jules 4"/>
    <m/>
    <m/>
    <m/>
    <m/>
    <m/>
    <m/>
    <n v="0"/>
    <x v="13"/>
    <n v="0"/>
  </r>
  <r>
    <s v="25048"/>
    <s v="159 L/P - Jules 6"/>
    <m/>
    <m/>
    <m/>
    <m/>
    <m/>
    <m/>
    <n v="0"/>
    <x v="13"/>
    <n v="0"/>
  </r>
  <r>
    <s v="25049"/>
    <s v="160 L/P - Technology Finance"/>
    <m/>
    <m/>
    <m/>
    <m/>
    <m/>
    <m/>
    <n v="0"/>
    <x v="13"/>
    <n v="0"/>
  </r>
  <r>
    <s v="25050"/>
    <s v="161 L/P - Alliance Funding"/>
    <m/>
    <m/>
    <m/>
    <m/>
    <m/>
    <m/>
    <n v="0"/>
    <x v="13"/>
    <n v="0"/>
  </r>
  <r>
    <s v="25051"/>
    <s v="162 L/P - Susquehanna"/>
    <m/>
    <m/>
    <m/>
    <m/>
    <m/>
    <m/>
    <n v="0"/>
    <x v="13"/>
    <n v="0"/>
  </r>
  <r>
    <s v="25052"/>
    <s v="163 L/P - Jules 5"/>
    <m/>
    <m/>
    <m/>
    <m/>
    <m/>
    <m/>
    <n v="0"/>
    <x v="13"/>
    <n v="0"/>
  </r>
  <r>
    <s v="25053"/>
    <s v="164 L/P -  TFC 5"/>
    <m/>
    <m/>
    <m/>
    <m/>
    <m/>
    <m/>
    <n v="0"/>
    <x v="13"/>
    <n v="0"/>
  </r>
  <r>
    <s v="25054"/>
    <s v="165 L/P - TFC 6"/>
    <m/>
    <m/>
    <m/>
    <m/>
    <m/>
    <m/>
    <n v="0"/>
    <x v="13"/>
    <n v="0"/>
  </r>
  <r>
    <s v="25055"/>
    <s v="166 L/P - TFC 7"/>
    <m/>
    <m/>
    <m/>
    <m/>
    <m/>
    <m/>
    <n v="0"/>
    <x v="13"/>
    <n v="0"/>
  </r>
  <r>
    <s v="25057"/>
    <s v="168 N/P - TFC 8"/>
    <m/>
    <m/>
    <m/>
    <m/>
    <m/>
    <m/>
    <n v="0"/>
    <x v="13"/>
    <n v="0"/>
  </r>
  <r>
    <s v="25058"/>
    <s v="169 N/P - East West Bank - C"/>
    <m/>
    <m/>
    <m/>
    <m/>
    <m/>
    <m/>
    <n v="0"/>
    <x v="13"/>
    <n v="0"/>
  </r>
  <r>
    <s v="25059"/>
    <s v="170 N/P - Sheffield 4"/>
    <m/>
    <m/>
    <m/>
    <m/>
    <m/>
    <m/>
    <n v="0"/>
    <x v="13"/>
    <n v="0"/>
  </r>
  <r>
    <s v="26900"/>
    <s v="Deferred Revenue"/>
    <m/>
    <m/>
    <m/>
    <m/>
    <m/>
    <m/>
    <n v="0"/>
    <x v="14"/>
    <n v="0"/>
  </r>
  <r>
    <s v="26900.01"/>
    <s v="DR HOLDING"/>
    <m/>
    <m/>
    <m/>
    <m/>
    <m/>
    <m/>
    <n v="0"/>
    <x v="14"/>
    <n v="0"/>
  </r>
  <r>
    <s v="26910"/>
    <s v="Deferred Revenuse Wholesale"/>
    <m/>
    <m/>
    <m/>
    <m/>
    <m/>
    <m/>
    <n v="0"/>
    <x v="14"/>
    <n v="0"/>
  </r>
  <r>
    <s v="26920"/>
    <s v="Deferred Revenue Other"/>
    <m/>
    <m/>
    <m/>
    <m/>
    <m/>
    <m/>
    <n v="0"/>
    <x v="14"/>
    <n v="0"/>
  </r>
  <r>
    <s v="26940"/>
    <s v="Deferred Revenue Comm Impact"/>
    <m/>
    <m/>
    <m/>
    <m/>
    <m/>
    <m/>
    <n v="0"/>
    <x v="14"/>
    <n v="0"/>
  </r>
  <r>
    <s v="26951"/>
    <s v="Deferred Revenue Bus Services"/>
    <m/>
    <m/>
    <m/>
    <m/>
    <m/>
    <m/>
    <n v="0"/>
    <x v="14"/>
    <n v="0"/>
  </r>
  <r>
    <s v="27948"/>
    <s v="083 N/P - 2012 Dodge Ram"/>
    <m/>
    <m/>
    <m/>
    <m/>
    <m/>
    <m/>
    <n v="0"/>
    <x v="10"/>
    <n v="0"/>
  </r>
  <r>
    <s v="27968"/>
    <s v="101 L/P - CIT"/>
    <m/>
    <m/>
    <m/>
    <m/>
    <m/>
    <m/>
    <n v="0"/>
    <x v="10"/>
    <n v="0"/>
  </r>
  <r>
    <s v="27970"/>
    <s v="103 L/P - Element"/>
    <m/>
    <m/>
    <m/>
    <m/>
    <m/>
    <m/>
    <n v="0"/>
    <x v="10"/>
    <n v="0"/>
  </r>
  <r>
    <s v="27971"/>
    <s v="104 L/P - Fame 1 - Leaf"/>
    <m/>
    <m/>
    <m/>
    <m/>
    <m/>
    <m/>
    <n v="0"/>
    <x v="10"/>
    <n v="0"/>
  </r>
  <r>
    <s v="27973"/>
    <s v="106 L/P - EverBank"/>
    <m/>
    <m/>
    <m/>
    <m/>
    <m/>
    <m/>
    <n v="0"/>
    <x v="10"/>
    <n v="0"/>
  </r>
  <r>
    <s v="27977"/>
    <s v="110 L/P - Western Equipment"/>
    <m/>
    <m/>
    <m/>
    <m/>
    <m/>
    <m/>
    <n v="0"/>
    <x v="10"/>
    <n v="0"/>
  </r>
  <r>
    <s v="27979"/>
    <s v="112 L/P - Arlington"/>
    <m/>
    <m/>
    <m/>
    <m/>
    <m/>
    <m/>
    <n v="0"/>
    <x v="10"/>
    <n v="0"/>
  </r>
  <r>
    <s v="27981"/>
    <s v="114 L/P - Nec"/>
    <m/>
    <m/>
    <m/>
    <m/>
    <m/>
    <m/>
    <n v="0"/>
    <x v="10"/>
    <n v="0"/>
  </r>
  <r>
    <s v="27984"/>
    <s v="117 L/P - HP Financial"/>
    <m/>
    <m/>
    <m/>
    <m/>
    <m/>
    <m/>
    <n v="0"/>
    <x v="10"/>
    <n v="0"/>
  </r>
  <r>
    <s v="27986"/>
    <s v="119 L/P - Element"/>
    <m/>
    <m/>
    <m/>
    <m/>
    <m/>
    <m/>
    <n v="0"/>
    <x v="10"/>
    <n v="0"/>
  </r>
  <r>
    <s v="27988"/>
    <s v="121 L/P - Banc of Calif"/>
    <m/>
    <m/>
    <m/>
    <m/>
    <m/>
    <m/>
    <n v="0"/>
    <x v="10"/>
    <n v="0"/>
  </r>
  <r>
    <s v="28015"/>
    <s v="126 L/P - Summit"/>
    <m/>
    <m/>
    <m/>
    <m/>
    <m/>
    <m/>
    <n v="0"/>
    <x v="10"/>
    <n v="0"/>
  </r>
  <r>
    <s v="28018"/>
    <s v="129 L/P - Western"/>
    <m/>
    <m/>
    <m/>
    <m/>
    <m/>
    <m/>
    <n v="0"/>
    <x v="10"/>
    <n v="0"/>
  </r>
  <r>
    <s v="28019"/>
    <s v="130 L/P - De Lage Landen"/>
    <m/>
    <m/>
    <m/>
    <m/>
    <m/>
    <m/>
    <n v="0"/>
    <x v="10"/>
    <n v="0"/>
  </r>
  <r>
    <s v="28020"/>
    <s v="131 L/P -  Element"/>
    <m/>
    <m/>
    <m/>
    <m/>
    <m/>
    <m/>
    <n v="0"/>
    <x v="10"/>
    <n v="0"/>
  </r>
  <r>
    <s v="28029"/>
    <s v="139 L/P - Western"/>
    <m/>
    <m/>
    <m/>
    <m/>
    <m/>
    <m/>
    <n v="0"/>
    <x v="10"/>
    <n v="0"/>
  </r>
  <r>
    <s v="28031"/>
    <s v="142 L/P - US Bank Copier"/>
    <m/>
    <m/>
    <m/>
    <m/>
    <m/>
    <m/>
    <n v="0"/>
    <x v="10"/>
    <n v="0"/>
  </r>
  <r>
    <s v="28033"/>
    <s v="144 L/P - WISPer"/>
    <m/>
    <m/>
    <m/>
    <m/>
    <m/>
    <m/>
    <n v="0"/>
    <x v="10"/>
    <n v="0"/>
  </r>
  <r>
    <s v="28034"/>
    <s v="145 L/P - EverBank"/>
    <m/>
    <m/>
    <m/>
    <m/>
    <m/>
    <m/>
    <n v="0"/>
    <x v="10"/>
    <n v="0"/>
  </r>
  <r>
    <s v="28035"/>
    <s v="146 L/P - WISPer"/>
    <m/>
    <m/>
    <m/>
    <m/>
    <m/>
    <m/>
    <n v="0"/>
    <x v="10"/>
    <n v="0"/>
  </r>
  <r>
    <s v="28036"/>
    <s v="147 L/P - WISPer"/>
    <m/>
    <m/>
    <m/>
    <m/>
    <m/>
    <m/>
    <n v="0"/>
    <x v="10"/>
    <n v="0"/>
  </r>
  <r>
    <s v="28037"/>
    <s v="148 L/P Axis Capital"/>
    <m/>
    <m/>
    <m/>
    <m/>
    <m/>
    <m/>
    <n v="0"/>
    <x v="10"/>
    <n v="0"/>
  </r>
  <r>
    <s v="28038"/>
    <s v="149 L/P - Axis Capital"/>
    <m/>
    <m/>
    <m/>
    <m/>
    <m/>
    <m/>
    <n v="0"/>
    <x v="10"/>
    <n v="0"/>
  </r>
  <r>
    <s v="28039"/>
    <s v="150 L/P - WISPer 4"/>
    <m/>
    <m/>
    <m/>
    <m/>
    <m/>
    <m/>
    <n v="0"/>
    <x v="10"/>
    <n v="0"/>
  </r>
  <r>
    <s v="28040"/>
    <s v="151 N/P - 2016 Ford F350"/>
    <m/>
    <m/>
    <m/>
    <m/>
    <m/>
    <m/>
    <n v="0"/>
    <x v="10"/>
    <n v="0"/>
  </r>
  <r>
    <s v="28041"/>
    <s v="152 L/P - AXIS CAPITAL"/>
    <m/>
    <m/>
    <m/>
    <m/>
    <m/>
    <m/>
    <n v="0"/>
    <x v="10"/>
    <n v="0"/>
  </r>
  <r>
    <s v="28042"/>
    <s v="153 L/p - Jules"/>
    <m/>
    <m/>
    <m/>
    <m/>
    <m/>
    <m/>
    <n v="0"/>
    <x v="10"/>
    <n v="0"/>
  </r>
  <r>
    <s v="28043"/>
    <s v="154 L/P - Jules 3"/>
    <m/>
    <m/>
    <m/>
    <m/>
    <m/>
    <m/>
    <n v="0"/>
    <x v="10"/>
    <n v="0"/>
  </r>
  <r>
    <s v="28044"/>
    <s v="155 L/P - Axis Capital 4"/>
    <m/>
    <m/>
    <m/>
    <m/>
    <m/>
    <m/>
    <n v="0"/>
    <x v="10"/>
    <n v="0"/>
  </r>
  <r>
    <s v="28045"/>
    <s v="156 L/P - Axis Capital 5"/>
    <m/>
    <m/>
    <m/>
    <m/>
    <m/>
    <m/>
    <n v="0"/>
    <x v="10"/>
    <n v="0"/>
  </r>
  <r>
    <s v="28046"/>
    <s v="157 L/P - Jules 4"/>
    <m/>
    <m/>
    <m/>
    <m/>
    <m/>
    <m/>
    <n v="0"/>
    <x v="10"/>
    <n v="0"/>
  </r>
  <r>
    <s v="28048"/>
    <s v="159 L/P - Jules 6"/>
    <m/>
    <m/>
    <m/>
    <m/>
    <m/>
    <m/>
    <n v="0"/>
    <x v="10"/>
    <n v="0"/>
  </r>
  <r>
    <s v="28049"/>
    <s v="160 L/P - Technology Finance"/>
    <m/>
    <m/>
    <m/>
    <m/>
    <m/>
    <m/>
    <n v="0"/>
    <x v="10"/>
    <n v="0"/>
  </r>
  <r>
    <s v="28050"/>
    <s v="161 L/P - Alliance Funding"/>
    <m/>
    <m/>
    <m/>
    <m/>
    <m/>
    <m/>
    <n v="0"/>
    <x v="10"/>
    <n v="0"/>
  </r>
  <r>
    <s v="28051"/>
    <s v="162 L/P - Susquehanna"/>
    <m/>
    <m/>
    <m/>
    <m/>
    <m/>
    <m/>
    <n v="0"/>
    <x v="10"/>
    <n v="0"/>
  </r>
  <r>
    <s v="28052"/>
    <s v="163 L/P - Jules 5"/>
    <m/>
    <m/>
    <m/>
    <m/>
    <m/>
    <m/>
    <n v="0"/>
    <x v="10"/>
    <n v="0"/>
  </r>
  <r>
    <s v="28053"/>
    <s v="164 L/P -  TFC 5"/>
    <m/>
    <m/>
    <m/>
    <m/>
    <m/>
    <m/>
    <n v="0"/>
    <x v="10"/>
    <n v="0"/>
  </r>
  <r>
    <s v="28054"/>
    <s v="165 L/P - TFC 6"/>
    <m/>
    <m/>
    <m/>
    <m/>
    <m/>
    <m/>
    <n v="0"/>
    <x v="10"/>
    <n v="0"/>
  </r>
  <r>
    <s v="28055"/>
    <s v="166 L/P - TFC 7"/>
    <m/>
    <m/>
    <m/>
    <m/>
    <m/>
    <m/>
    <n v="0"/>
    <x v="10"/>
    <n v="0"/>
  </r>
  <r>
    <s v="28057"/>
    <s v="168 N/P - TFC 8"/>
    <m/>
    <m/>
    <m/>
    <m/>
    <m/>
    <m/>
    <n v="0"/>
    <x v="10"/>
    <n v="0"/>
  </r>
  <r>
    <s v="28058"/>
    <s v="169 N/P - East West Bank - C"/>
    <m/>
    <m/>
    <m/>
    <m/>
    <m/>
    <m/>
    <n v="0"/>
    <x v="10"/>
    <n v="0"/>
  </r>
  <r>
    <s v="28059"/>
    <s v="170 N/P - Sheffield 4"/>
    <m/>
    <m/>
    <m/>
    <m/>
    <m/>
    <m/>
    <n v="0"/>
    <x v="10"/>
    <n v="0"/>
  </r>
  <r>
    <n v="27250"/>
    <s v="2x NP DPI - Intercompany"/>
    <m/>
    <m/>
    <m/>
    <m/>
    <n v="0"/>
    <m/>
    <n v="0"/>
    <x v="8"/>
    <n v="0"/>
  </r>
  <r>
    <s v="20275"/>
    <s v="DPA NP DPI - Intercompany"/>
    <m/>
    <m/>
    <m/>
    <m/>
    <n v="0"/>
    <m/>
    <n v="0"/>
    <x v="8"/>
    <n v="0"/>
  </r>
  <r>
    <s v="29000"/>
    <s v="Warrant Liability"/>
    <m/>
    <m/>
    <m/>
    <m/>
    <m/>
    <m/>
    <n v="0"/>
    <x v="15"/>
    <n v="0"/>
  </r>
  <r>
    <s v="38400"/>
    <s v="Contra Account - Sales Leaseback"/>
    <m/>
    <m/>
    <m/>
    <m/>
    <m/>
    <m/>
    <n v="0"/>
    <x v="16"/>
    <n v="0"/>
  </r>
  <r>
    <s v="38500"/>
    <s v="Contra Account - Interco Sales"/>
    <m/>
    <m/>
    <m/>
    <m/>
    <m/>
    <n v="0"/>
    <n v="0"/>
    <x v="16"/>
    <n v="0"/>
  </r>
  <r>
    <s v="39005"/>
    <s v="Retained Earnings"/>
    <m/>
    <m/>
    <m/>
    <m/>
    <m/>
    <m/>
    <n v="0"/>
    <x v="16"/>
    <n v="0"/>
  </r>
  <r>
    <s v="39907"/>
    <s v="Stock"/>
    <m/>
    <m/>
    <m/>
    <n v="0"/>
    <m/>
    <m/>
    <n v="0"/>
    <x v="17"/>
    <n v="0"/>
  </r>
  <r>
    <s v="39908"/>
    <s v="Preferred Stock"/>
    <m/>
    <m/>
    <m/>
    <m/>
    <m/>
    <m/>
    <n v="0"/>
    <x v="18"/>
    <n v="0"/>
  </r>
  <r>
    <s v="39910"/>
    <s v="APIC - add. paid in Capital"/>
    <m/>
    <m/>
    <m/>
    <m/>
    <m/>
    <m/>
    <n v="0"/>
    <x v="19"/>
    <n v="0"/>
  </r>
  <r>
    <s v=""/>
    <s v="Net Income"/>
    <m/>
    <m/>
    <m/>
    <m/>
    <m/>
    <m/>
    <n v="0"/>
    <x v="16"/>
    <n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77">
  <r>
    <s v="1000"/>
    <s v="Deposit Acct - Chase 8028"/>
    <n v="83196.509999999995"/>
    <m/>
    <m/>
    <m/>
    <n v="83196.509999999995"/>
    <x v="0"/>
    <n v="83196.509999999995"/>
  </r>
  <r>
    <s v="1030"/>
    <s v="Disbursement Acct - Chase 6390"/>
    <n v="-18111.95"/>
    <m/>
    <m/>
    <m/>
    <n v="-18111.95"/>
    <x v="0"/>
    <n v="-18111.95"/>
  </r>
  <r>
    <s v="1040"/>
    <s v="New Wire Acct - Chase 6919"/>
    <n v="18.600000000000001"/>
    <m/>
    <m/>
    <m/>
    <n v="18.600000000000001"/>
    <x v="0"/>
    <n v="18.600000000000001"/>
  </r>
  <r>
    <s v="1050"/>
    <s v="Merchant Acct - Chase 6366 "/>
    <n v="24189.81"/>
    <m/>
    <m/>
    <m/>
    <n v="24189.81"/>
    <x v="0"/>
    <n v="24189.81"/>
  </r>
  <r>
    <s v="1060"/>
    <s v="SBOE Sales Tax Acct - Chase 4004"/>
    <n v="826.38"/>
    <m/>
    <m/>
    <m/>
    <n v="826.38"/>
    <x v="0"/>
    <n v="826.38"/>
  </r>
  <r>
    <s v="1080"/>
    <s v="Checking Acct - Wells Fargo 7556"/>
    <n v="22.72"/>
    <m/>
    <m/>
    <m/>
    <n v="22.72"/>
    <x v="0"/>
    <n v="22.72"/>
  </r>
  <r>
    <s v="1090"/>
    <s v="Bank of the West"/>
    <n v="503.91"/>
    <m/>
    <m/>
    <m/>
    <n v="503.91"/>
    <x v="0"/>
    <n v="503.91"/>
  </r>
  <r>
    <s v="11000"/>
    <s v="Accounts Receivable - Other"/>
    <n v="481459.23"/>
    <m/>
    <m/>
    <m/>
    <n v="481459.23"/>
    <x v="1"/>
    <n v="481459.23"/>
  </r>
  <r>
    <s v="11500"/>
    <s v="Allowance for doubtful accts"/>
    <n v="-56725"/>
    <m/>
    <m/>
    <m/>
    <n v="-56725"/>
    <x v="1"/>
    <n v="-56725"/>
  </r>
  <r>
    <s v="12000"/>
    <s v="Undeposited Funds"/>
    <n v="12805.39"/>
    <m/>
    <m/>
    <m/>
    <n v="12805.39"/>
    <x v="2"/>
    <n v="12805.39"/>
  </r>
  <r>
    <s v="1210"/>
    <s v="Deposit for Trucks"/>
    <n v="2655.08"/>
    <m/>
    <m/>
    <m/>
    <n v="2655.08"/>
    <x v="2"/>
    <n v="2655.08"/>
  </r>
  <r>
    <s v="1220"/>
    <s v="Parts Inventory"/>
    <n v="416403.42"/>
    <m/>
    <m/>
    <m/>
    <n v="416403.42"/>
    <x v="3"/>
    <n v="416403.42"/>
  </r>
  <r>
    <s v="1230"/>
    <s v="Equipment Inventory"/>
    <n v="2881716.44"/>
    <m/>
    <m/>
    <m/>
    <n v="2881716.44"/>
    <x v="3"/>
    <n v="2881716.44"/>
  </r>
  <r>
    <s v="1240"/>
    <s v="Consignment Inventory"/>
    <n v="557674"/>
    <m/>
    <m/>
    <m/>
    <n v="557674"/>
    <x v="3"/>
    <n v="557674"/>
  </r>
  <r>
    <s v="1250"/>
    <s v="Attachments Inventory"/>
    <n v="31713.9"/>
    <m/>
    <m/>
    <m/>
    <n v="31713.9"/>
    <x v="3"/>
    <n v="31713.9"/>
  </r>
  <r>
    <s v="1260"/>
    <s v="Estimated Taxes Paid"/>
    <n v="60000"/>
    <m/>
    <m/>
    <m/>
    <n v="60000"/>
    <x v="2"/>
    <n v="60000"/>
  </r>
  <r>
    <s v="1270"/>
    <s v="Escrow - Anderson Funding"/>
    <n v="-27854.86"/>
    <m/>
    <m/>
    <m/>
    <n v="-27854.86"/>
    <x v="3"/>
    <n v="-27854.86"/>
  </r>
  <r>
    <s v="1297"/>
    <s v="Inventory Reserve"/>
    <n v="-454729.95"/>
    <m/>
    <m/>
    <m/>
    <n v="-454729.95"/>
    <x v="3"/>
    <n v="-454729.95"/>
  </r>
  <r>
    <s v="1298"/>
    <s v="Change of Inventory"/>
    <n v="19921.52"/>
    <m/>
    <m/>
    <m/>
    <n v="19921.52"/>
    <x v="3"/>
    <n v="19921.52"/>
  </r>
  <r>
    <s v="1310"/>
    <s v="Leasehold Improvements"/>
    <n v="356104.48"/>
    <m/>
    <m/>
    <m/>
    <n v="356104.48"/>
    <x v="4"/>
    <n v="356104.48"/>
  </r>
  <r>
    <s v="1315"/>
    <s v="Accum Depr - LHI"/>
    <n v="-149511.49"/>
    <m/>
    <m/>
    <m/>
    <n v="-149511.49"/>
    <x v="4"/>
    <n v="-149511.49"/>
  </r>
  <r>
    <s v="1320"/>
    <s v="Furniture &amp; Equipment"/>
    <n v="22222.54"/>
    <m/>
    <m/>
    <m/>
    <n v="22222.54"/>
    <x v="4"/>
    <n v="22222.54"/>
  </r>
  <r>
    <s v="1325"/>
    <s v="Accum Depr - Furniture &amp; Equipment"/>
    <n v="-20772.919999999998"/>
    <m/>
    <m/>
    <m/>
    <n v="-20772.919999999998"/>
    <x v="4"/>
    <n v="-20772.919999999998"/>
  </r>
  <r>
    <s v="1330"/>
    <s v="Computer Automation"/>
    <n v="42000.76"/>
    <m/>
    <m/>
    <m/>
    <n v="42000.76"/>
    <x v="4"/>
    <n v="42000.76"/>
  </r>
  <r>
    <s v="1335"/>
    <s v="Accum Depr - Computer Automation"/>
    <n v="-29005.9"/>
    <m/>
    <m/>
    <m/>
    <n v="-29005.9"/>
    <x v="4"/>
    <n v="-29005.9"/>
  </r>
  <r>
    <s v="1340"/>
    <s v="Equipment"/>
    <n v="1732446.42"/>
    <m/>
    <m/>
    <m/>
    <n v="1732446.42"/>
    <x v="4"/>
    <n v="1732446.42"/>
  </r>
  <r>
    <s v="1342"/>
    <s v="Anderson Funding Equipment"/>
    <n v="3719972.27"/>
    <m/>
    <m/>
    <m/>
    <n v="3719972.27"/>
    <x v="4"/>
    <n v="3719972.27"/>
  </r>
  <r>
    <s v="1345"/>
    <s v="Accum Depr - Equipment"/>
    <n v="-1178876.8999999999"/>
    <m/>
    <m/>
    <m/>
    <n v="-1178876.8999999999"/>
    <x v="4"/>
    <n v="-1178876.8999999999"/>
  </r>
  <r>
    <s v="1350"/>
    <s v="Service Trucks"/>
    <n v="225185"/>
    <m/>
    <m/>
    <m/>
    <n v="225185"/>
    <x v="4"/>
    <n v="225185"/>
  </r>
  <r>
    <s v="1355"/>
    <s v="Accum Depr - Service Trucks"/>
    <n v="-119069.39"/>
    <m/>
    <m/>
    <m/>
    <n v="-119069.39"/>
    <x v="4"/>
    <n v="-119069.39"/>
  </r>
  <r>
    <s v="1360"/>
    <s v="Trucks &amp; Trailers"/>
    <n v="540495.80000000005"/>
    <m/>
    <m/>
    <m/>
    <n v="540495.80000000005"/>
    <x v="4"/>
    <n v="540495.80000000005"/>
  </r>
  <r>
    <s v="1365"/>
    <s v="Accum Depr - Trucks &amp; Trailers"/>
    <n v="-269097.69"/>
    <m/>
    <m/>
    <m/>
    <n v="-269097.69"/>
    <x v="4"/>
    <n v="-269097.69"/>
  </r>
  <r>
    <s v="1370"/>
    <s v="Sales Vehicles"/>
    <n v="19737.259999999998"/>
    <m/>
    <m/>
    <m/>
    <n v="19737.259999999998"/>
    <x v="4"/>
    <n v="19737.259999999998"/>
  </r>
  <r>
    <s v="1375"/>
    <s v="Accum Depr - Sales Vehicles"/>
    <n v="-8224.35"/>
    <m/>
    <m/>
    <m/>
    <n v="-8224.35"/>
    <x v="4"/>
    <n v="-8224.35"/>
  </r>
  <r>
    <s v="1400"/>
    <s v="Prepaid Asset"/>
    <n v="17799.150000000001"/>
    <m/>
    <m/>
    <m/>
    <n v="17799.150000000001"/>
    <x v="5"/>
    <n v="17799.150000000001"/>
  </r>
  <r>
    <s v="1410"/>
    <s v="Employee Loan"/>
    <n v="2106.66"/>
    <m/>
    <m/>
    <m/>
    <n v="2106.66"/>
    <x v="2"/>
    <n v="2106.66"/>
  </r>
  <r>
    <s v="1420"/>
    <s v="New York Life #45973606"/>
    <n v="49513.04"/>
    <m/>
    <m/>
    <m/>
    <n v="49513.04"/>
    <x v="2"/>
    <n v="49513.04"/>
  </r>
  <r>
    <s v="1430"/>
    <s v="New York Life #48271835"/>
    <n v="67820.13"/>
    <m/>
    <m/>
    <m/>
    <n v="67820.13"/>
    <x v="2"/>
    <n v="67820.13"/>
  </r>
  <r>
    <s v="1440"/>
    <s v="New York Life #48271882"/>
    <n v="62701.68"/>
    <m/>
    <m/>
    <m/>
    <n v="62701.68"/>
    <x v="2"/>
    <n v="62701.68"/>
  </r>
  <r>
    <s v="1445"/>
    <s v="New York Life #45973523"/>
    <n v="41444"/>
    <m/>
    <m/>
    <m/>
    <n v="41444"/>
    <x v="2"/>
    <n v="41444"/>
  </r>
  <r>
    <s v="1450"/>
    <s v="New York Life #62966478"/>
    <n v="12595.61"/>
    <m/>
    <m/>
    <m/>
    <n v="12595.61"/>
    <x v="2"/>
    <n v="12595.61"/>
  </r>
  <r>
    <s v="1460"/>
    <s v="Petty Cash"/>
    <n v="357.49"/>
    <m/>
    <m/>
    <m/>
    <n v="357.49"/>
    <x v="0"/>
    <n v="357.49"/>
  </r>
  <r>
    <s v="20000"/>
    <s v="Accounts Payable"/>
    <n v="-1924885.55"/>
    <m/>
    <m/>
    <m/>
    <n v="-1924885.55"/>
    <x v="6"/>
    <n v="-1924885.55"/>
  </r>
  <r>
    <s v="2030"/>
    <s v="Chase Visa - 8709"/>
    <n v="-53589.93"/>
    <m/>
    <m/>
    <m/>
    <n v="-53589.93"/>
    <x v="6"/>
    <n v="-53589.93"/>
  </r>
  <r>
    <s v="2050"/>
    <s v="Deferred Revenue"/>
    <n v="-3149212.23"/>
    <m/>
    <m/>
    <m/>
    <n v="-3149212.23"/>
    <x v="7"/>
    <n v="-3149212.23"/>
  </r>
  <r>
    <s v="2110"/>
    <s v="Sales Tax Payable"/>
    <n v="-15038.21"/>
    <m/>
    <m/>
    <m/>
    <n v="-15038.21"/>
    <x v="8"/>
    <n v="-15038.21"/>
  </r>
  <r>
    <s v="2150"/>
    <s v="Income Tax Liability "/>
    <n v="-106760"/>
    <m/>
    <m/>
    <m/>
    <n v="-106760"/>
    <x v="8"/>
    <n v="-106760"/>
  </r>
  <r>
    <s v="2230"/>
    <s v="Hunt &amp; Son's, Inc."/>
    <n v="-112444.25"/>
    <m/>
    <m/>
    <m/>
    <n v="-112444.25"/>
    <x v="9"/>
    <n v="-112444.25"/>
  </r>
  <r>
    <s v="2260"/>
    <s v="RWL Enterprise"/>
    <n v="-112588.96"/>
    <m/>
    <m/>
    <m/>
    <n v="-112588.96"/>
    <x v="9"/>
    <n v="-112588.96"/>
  </r>
  <r>
    <s v="2280"/>
    <s v="Lee Hamre Note Payable"/>
    <n v="-401384.43"/>
    <m/>
    <m/>
    <m/>
    <n v="-401384.43"/>
    <x v="9"/>
    <n v="-401384.43"/>
  </r>
  <r>
    <s v="2310"/>
    <s v="Loan New York Life #48271835"/>
    <n v="-39316.980000000003"/>
    <m/>
    <m/>
    <m/>
    <n v="-39316.980000000003"/>
    <x v="9"/>
    <n v="-39316.980000000003"/>
  </r>
  <r>
    <s v="2320"/>
    <s v="Loan New York Life #45973523"/>
    <n v="-12071.9"/>
    <m/>
    <m/>
    <m/>
    <n v="-12071.9"/>
    <x v="9"/>
    <n v="-12071.9"/>
  </r>
  <r>
    <s v="2330"/>
    <s v="Loan New York Life #45973606"/>
    <n v="-38227.75"/>
    <m/>
    <m/>
    <m/>
    <n v="-38227.75"/>
    <x v="9"/>
    <n v="-38227.75"/>
  </r>
  <r>
    <s v="2340"/>
    <s v="Loan New York Life #48271882"/>
    <n v="-51704"/>
    <m/>
    <m/>
    <m/>
    <n v="-51704"/>
    <x v="9"/>
    <n v="-51704"/>
  </r>
  <r>
    <s v="2360"/>
    <s v="Global/Ascentium (2 Omega Lfts)"/>
    <n v="-11566.15"/>
    <m/>
    <m/>
    <m/>
    <n v="-11566.15"/>
    <x v="9"/>
    <n v="-11566.15"/>
  </r>
  <r>
    <s v="2370"/>
    <s v="Financial Pacific 1 Omega Life"/>
    <n v="-32549.56"/>
    <m/>
    <m/>
    <m/>
    <n v="-32549.56"/>
    <x v="9"/>
    <n v="-32549.56"/>
  </r>
  <r>
    <s v="2451"/>
    <s v="Tustin Community Bank - T-123"/>
    <n v="-113543.84"/>
    <m/>
    <m/>
    <m/>
    <n v="-113543.84"/>
    <x v="9"/>
    <n v="-113543.84"/>
  </r>
  <r>
    <s v="2452"/>
    <s v="Global - #7163706 (HE 3351)"/>
    <n v="-175000"/>
    <m/>
    <m/>
    <m/>
    <n v="-175000"/>
    <x v="9"/>
    <n v="-175000"/>
  </r>
  <r>
    <s v="2453"/>
    <s v="Ford Credit T-124"/>
    <n v="-34665.339999999997"/>
    <m/>
    <m/>
    <m/>
    <n v="-34665.339999999997"/>
    <x v="9"/>
    <n v="-34665.339999999997"/>
  </r>
  <r>
    <s v="2460"/>
    <s v="Bank of the West LOC"/>
    <n v="-318000"/>
    <m/>
    <m/>
    <m/>
    <n v="-318000"/>
    <x v="9"/>
    <n v="-318000"/>
  </r>
  <r>
    <s v="2461"/>
    <s v="Global/Hamni #7163713"/>
    <n v="-49101.64"/>
    <m/>
    <m/>
    <m/>
    <n v="-49101.64"/>
    <x v="9"/>
    <n v="-49101.64"/>
  </r>
  <r>
    <s v="2463"/>
    <s v="Global - 2217441 (HE 3245)"/>
    <n v="-60381.11"/>
    <m/>
    <m/>
    <m/>
    <n v="-60381.11"/>
    <x v="9"/>
    <n v="-60381.11"/>
  </r>
  <r>
    <s v="2464"/>
    <s v="Global - 2173796 (Leavitt)"/>
    <n v="-261500"/>
    <m/>
    <m/>
    <m/>
    <n v="-261500"/>
    <x v="9"/>
    <n v="-261500"/>
  </r>
  <r>
    <s v="2466"/>
    <s v="GLBL/Tustin 3832 (HE 3308-APL)"/>
    <n v="-177503.51"/>
    <m/>
    <m/>
    <m/>
    <n v="-177503.51"/>
    <x v="9"/>
    <n v="-177503.51"/>
  </r>
  <r>
    <s v="2467"/>
    <s v="Global - 8173853 (HE 3306)"/>
    <n v="-97828.47"/>
    <m/>
    <m/>
    <m/>
    <n v="-97828.47"/>
    <x v="9"/>
    <n v="-97828.47"/>
  </r>
  <r>
    <s v="2468"/>
    <s v="Global - 8173852 (HE 3309)"/>
    <n v="-83026.679999999993"/>
    <m/>
    <m/>
    <m/>
    <n v="-83026.679999999993"/>
    <x v="9"/>
    <n v="-83026.679999999993"/>
  </r>
  <r>
    <s v="2469"/>
    <s v="Global - 9173862 (HE 3305)"/>
    <n v="-86683.76"/>
    <m/>
    <m/>
    <m/>
    <n v="-86683.76"/>
    <x v="9"/>
    <n v="-86683.76"/>
  </r>
  <r>
    <s v="2470"/>
    <s v="Global - 9173861 (HE 3307)"/>
    <n v="-94792.35"/>
    <m/>
    <m/>
    <m/>
    <n v="-94792.35"/>
    <x v="9"/>
    <n v="-94792.35"/>
  </r>
  <r>
    <s v="2471"/>
    <s v="Global - 9173860 (HE 3481-3484)"/>
    <n v="-130000"/>
    <m/>
    <m/>
    <m/>
    <n v="-130000"/>
    <x v="9"/>
    <n v="-130000"/>
  </r>
  <r>
    <s v="2472"/>
    <s v="Global/Verdant 1004-002 (HE 3524)"/>
    <n v="-48378.79"/>
    <m/>
    <m/>
    <m/>
    <n v="-48378.79"/>
    <x v="9"/>
    <n v="-48378.79"/>
  </r>
  <r>
    <s v="2473"/>
    <s v="BMO Transportation Fin T-126"/>
    <n v="-111846.34"/>
    <m/>
    <m/>
    <m/>
    <n v="-111846.34"/>
    <x v="9"/>
    <n v="-111846.34"/>
  </r>
  <r>
    <s v="2475"/>
    <s v="Global - Total Term Seattle"/>
    <n v="-420000"/>
    <m/>
    <m/>
    <m/>
    <n v="-420000"/>
    <x v="9"/>
    <n v="-420000"/>
  </r>
  <r>
    <s v="32000"/>
    <s v="Retained Earnings"/>
    <n v="20808269.530000001"/>
    <m/>
    <m/>
    <m/>
    <n v="20808269.530000001"/>
    <x v="10"/>
    <n v="20808269.530000001"/>
  </r>
  <r>
    <s v="3100"/>
    <s v="Stock - Capital"/>
    <n v="-754016.84"/>
    <m/>
    <m/>
    <m/>
    <n v="-754016.84"/>
    <x v="11"/>
    <n v="-754016.84"/>
  </r>
  <r>
    <s v="3115"/>
    <s v="Treasury Stock"/>
    <n v="5437.5"/>
    <m/>
    <m/>
    <m/>
    <n v="5437.5"/>
    <x v="12"/>
    <n v="5437.5"/>
  </r>
  <r>
    <s v="3130"/>
    <s v="AMMX - add. paid in Capital"/>
    <n v="-20785924.02"/>
    <m/>
    <m/>
    <m/>
    <n v="-20785924.02"/>
    <x v="13"/>
    <n v="-20785924.02"/>
  </r>
  <r>
    <s v=""/>
    <s v="Net Income"/>
    <n v="-103803.24"/>
    <m/>
    <m/>
    <m/>
    <n v="-103803.24"/>
    <x v="10"/>
    <n v="-103803.24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79">
  <r>
    <s v="1000"/>
    <s v="Deposit Acct - Chase 8028"/>
    <n v="27019.53"/>
    <m/>
    <m/>
    <m/>
    <n v="27019.53"/>
    <x v="0"/>
    <n v="27019.53"/>
  </r>
  <r>
    <s v="1030"/>
    <s v="Disbursement Acct - Chase 6390"/>
    <n v="16654.03"/>
    <m/>
    <m/>
    <m/>
    <n v="16654.03"/>
    <x v="0"/>
    <n v="16654.03"/>
  </r>
  <r>
    <s v="1040"/>
    <s v="New Wire Acct - Chase 6919"/>
    <n v="0"/>
    <m/>
    <m/>
    <m/>
    <n v="0"/>
    <x v="0"/>
    <n v="0"/>
  </r>
  <r>
    <s v="1050"/>
    <s v="Merchant Acct - Chase 6366 "/>
    <n v="18.68"/>
    <m/>
    <m/>
    <m/>
    <n v="18.68"/>
    <x v="0"/>
    <n v="18.68"/>
  </r>
  <r>
    <s v="1060"/>
    <s v="SBOE Sales Tax Acct - Chase 4004"/>
    <n v="10426.379999999999"/>
    <m/>
    <m/>
    <m/>
    <n v="10426.379999999999"/>
    <x v="0"/>
    <n v="10426.379999999999"/>
  </r>
  <r>
    <s v="1080"/>
    <s v="Checking Acct - Wells Fargo 7556"/>
    <n v="0.53"/>
    <m/>
    <m/>
    <m/>
    <n v="0.53"/>
    <x v="0"/>
    <n v="0.53"/>
  </r>
  <r>
    <s v="1090"/>
    <s v="Bank of the West"/>
    <n v="645.73"/>
    <m/>
    <m/>
    <m/>
    <n v="645.73"/>
    <x v="0"/>
    <n v="645.73"/>
  </r>
  <r>
    <s v="11000"/>
    <s v="Accounts Receivable - Other"/>
    <n v="894935.08"/>
    <m/>
    <m/>
    <m/>
    <n v="894935.08"/>
    <x v="1"/>
    <n v="894935.08"/>
  </r>
  <r>
    <s v="11500"/>
    <s v="Allowance for doubtful accts"/>
    <n v="-56725"/>
    <m/>
    <m/>
    <m/>
    <n v="-56725"/>
    <x v="1"/>
    <n v="-56725"/>
  </r>
  <r>
    <s v="12000"/>
    <s v="Undeposited Funds"/>
    <n v="0"/>
    <m/>
    <m/>
    <m/>
    <n v="0"/>
    <x v="2"/>
    <n v="0"/>
  </r>
  <r>
    <s v="1210"/>
    <s v="Deposit for Trucks"/>
    <n v="5455.58"/>
    <m/>
    <m/>
    <m/>
    <n v="5455.58"/>
    <x v="2"/>
    <n v="5455.58"/>
  </r>
  <r>
    <s v="1220"/>
    <s v="Parts Inventory"/>
    <n v="406763.31"/>
    <m/>
    <m/>
    <m/>
    <n v="406763.31"/>
    <x v="3"/>
    <n v="406763.31"/>
  </r>
  <r>
    <s v="1230"/>
    <s v="Equipment Inventory"/>
    <n v="1871650.44"/>
    <m/>
    <m/>
    <m/>
    <n v="1871650.44"/>
    <x v="3"/>
    <n v="1871650.44"/>
  </r>
  <r>
    <s v="1240"/>
    <s v="Consignment Inventory"/>
    <n v="557674"/>
    <m/>
    <m/>
    <m/>
    <n v="557674"/>
    <x v="3"/>
    <n v="557674"/>
  </r>
  <r>
    <s v="1250"/>
    <s v="Attachments Inventory"/>
    <n v="31613.9"/>
    <m/>
    <m/>
    <m/>
    <n v="31613.9"/>
    <x v="3"/>
    <n v="31613.9"/>
  </r>
  <r>
    <s v="1260"/>
    <s v="Estimated Taxes Paid"/>
    <n v="60000"/>
    <m/>
    <m/>
    <m/>
    <n v="60000"/>
    <x v="2"/>
    <n v="60000"/>
  </r>
  <r>
    <s v="1270"/>
    <s v="Escrow - Anderson Funding"/>
    <n v="-27854.86"/>
    <m/>
    <m/>
    <m/>
    <n v="-27854.86"/>
    <x v="3"/>
    <n v="-27854.86"/>
  </r>
  <r>
    <s v="1297"/>
    <s v="Inventory Reserve"/>
    <n v="-454729.95"/>
    <m/>
    <m/>
    <m/>
    <n v="-454729.95"/>
    <x v="3"/>
    <n v="-454729.95"/>
  </r>
  <r>
    <s v="1298"/>
    <s v="Change of Inventory"/>
    <n v="19696.189999999999"/>
    <m/>
    <m/>
    <m/>
    <n v="19696.189999999999"/>
    <x v="3"/>
    <n v="19696.189999999999"/>
  </r>
  <r>
    <s v="1310"/>
    <s v="Leasehold Improvements"/>
    <n v="356104.48"/>
    <m/>
    <m/>
    <m/>
    <n v="356104.48"/>
    <x v="4"/>
    <n v="356104.48"/>
  </r>
  <r>
    <s v="1315"/>
    <s v="Accum Depr - LHI"/>
    <n v="-150367.18"/>
    <m/>
    <m/>
    <m/>
    <n v="-150367.18"/>
    <x v="4"/>
    <n v="-150367.18"/>
  </r>
  <r>
    <s v="1320"/>
    <s v="Furniture &amp; Equipment"/>
    <n v="22222.54"/>
    <m/>
    <m/>
    <m/>
    <n v="22222.54"/>
    <x v="4"/>
    <n v="22222.54"/>
  </r>
  <r>
    <s v="1325"/>
    <s v="Accum Depr - Furniture &amp; Equipment"/>
    <n v="-20809.759999999998"/>
    <m/>
    <m/>
    <m/>
    <n v="-20809.759999999998"/>
    <x v="4"/>
    <n v="-20809.759999999998"/>
  </r>
  <r>
    <s v="1330"/>
    <s v="Computer Automation"/>
    <n v="42000.76"/>
    <m/>
    <m/>
    <m/>
    <n v="42000.76"/>
    <x v="4"/>
    <n v="42000.76"/>
  </r>
  <r>
    <s v="1335"/>
    <s v="Accum Depr - Computer Automation"/>
    <n v="-29311.53"/>
    <m/>
    <m/>
    <m/>
    <n v="-29311.53"/>
    <x v="4"/>
    <n v="-29311.53"/>
  </r>
  <r>
    <s v="1340"/>
    <s v="Equipment"/>
    <n v="1747984.96"/>
    <m/>
    <m/>
    <m/>
    <n v="1747984.96"/>
    <x v="4"/>
    <n v="1747984.96"/>
  </r>
  <r>
    <s v="1342"/>
    <s v="Anderson Funding Equipment"/>
    <n v="4705788.3499999996"/>
    <m/>
    <m/>
    <m/>
    <n v="4705788.3499999996"/>
    <x v="4"/>
    <n v="4705788.3499999996"/>
  </r>
  <r>
    <s v="1345"/>
    <s v="Accum Depr - Equipment"/>
    <n v="-1236484.1100000001"/>
    <m/>
    <m/>
    <m/>
    <n v="-1236484.1100000001"/>
    <x v="4"/>
    <n v="-1236484.1100000001"/>
  </r>
  <r>
    <s v="1350"/>
    <s v="Service Trucks"/>
    <n v="225185"/>
    <m/>
    <m/>
    <m/>
    <n v="225185"/>
    <x v="4"/>
    <n v="225185"/>
  </r>
  <r>
    <s v="1355"/>
    <s v="Accum Depr - Service Trucks"/>
    <n v="-121646.42"/>
    <m/>
    <m/>
    <m/>
    <n v="-121646.42"/>
    <x v="4"/>
    <n v="-121646.42"/>
  </r>
  <r>
    <s v="1360"/>
    <s v="Trucks &amp; Trailers"/>
    <n v="711541.39"/>
    <m/>
    <m/>
    <m/>
    <n v="711541.39"/>
    <x v="4"/>
    <n v="711541.39"/>
  </r>
  <r>
    <s v="1365"/>
    <s v="Accum Depr - Trucks &amp; Trailers"/>
    <n v="-276800.48"/>
    <m/>
    <m/>
    <m/>
    <n v="-276800.48"/>
    <x v="4"/>
    <n v="-276800.48"/>
  </r>
  <r>
    <s v="1370"/>
    <s v="Sales Vehicles"/>
    <n v="19737.259999999998"/>
    <m/>
    <m/>
    <m/>
    <n v="19737.259999999998"/>
    <x v="4"/>
    <n v="19737.259999999998"/>
  </r>
  <r>
    <s v="1375"/>
    <s v="Accum Depr - Sales Vehicles"/>
    <n v="-8553.2999999999993"/>
    <m/>
    <m/>
    <m/>
    <n v="-8553.2999999999993"/>
    <x v="4"/>
    <n v="-8553.2999999999993"/>
  </r>
  <r>
    <s v="1400"/>
    <s v="Prepaid Asset"/>
    <n v="17799.150000000001"/>
    <m/>
    <m/>
    <m/>
    <n v="17799.150000000001"/>
    <x v="5"/>
    <n v="17799.150000000001"/>
  </r>
  <r>
    <s v="1410"/>
    <s v="Employee Loan"/>
    <n v="2123.88"/>
    <m/>
    <m/>
    <m/>
    <n v="2123.88"/>
    <x v="2"/>
    <n v="2123.88"/>
  </r>
  <r>
    <s v="1420"/>
    <s v="New York Life #45973606"/>
    <n v="49513.04"/>
    <m/>
    <m/>
    <m/>
    <n v="49513.04"/>
    <x v="2"/>
    <n v="49513.04"/>
  </r>
  <r>
    <s v="1430"/>
    <s v="New York Life #48271835"/>
    <n v="67820.13"/>
    <m/>
    <m/>
    <m/>
    <n v="67820.13"/>
    <x v="2"/>
    <n v="67820.13"/>
  </r>
  <r>
    <s v="1440"/>
    <s v="New York Life #48271882"/>
    <n v="62701.68"/>
    <m/>
    <m/>
    <m/>
    <n v="62701.68"/>
    <x v="2"/>
    <n v="62701.68"/>
  </r>
  <r>
    <s v="1445"/>
    <s v="New York Life #45973523"/>
    <n v="41444"/>
    <m/>
    <m/>
    <m/>
    <n v="41444"/>
    <x v="2"/>
    <n v="41444"/>
  </r>
  <r>
    <s v="1450"/>
    <s v="New York Life #62966478"/>
    <n v="12595.61"/>
    <m/>
    <m/>
    <m/>
    <n v="12595.61"/>
    <x v="2"/>
    <n v="12595.61"/>
  </r>
  <r>
    <s v="1460"/>
    <s v="Petty Cash"/>
    <n v="357.49"/>
    <m/>
    <m/>
    <m/>
    <n v="357.49"/>
    <x v="0"/>
    <n v="357.49"/>
  </r>
  <r>
    <s v="20000"/>
    <s v="Accounts Payable"/>
    <n v="-892526.09"/>
    <m/>
    <m/>
    <m/>
    <n v="-892526.09"/>
    <x v="6"/>
    <n v="-892526.09"/>
  </r>
  <r>
    <s v="2030"/>
    <s v="Chase Visa - 8709"/>
    <n v="-51598.03"/>
    <m/>
    <m/>
    <m/>
    <n v="-51598.03"/>
    <x v="6"/>
    <n v="-51598.03"/>
  </r>
  <r>
    <s v="2050"/>
    <s v="Deferred Revenue"/>
    <n v="-3149212.23"/>
    <m/>
    <m/>
    <m/>
    <n v="-3149212.23"/>
    <x v="7"/>
    <n v="-3149212.23"/>
  </r>
  <r>
    <s v="2110"/>
    <s v="Sales Tax Payable"/>
    <n v="-23691.200000000001"/>
    <m/>
    <m/>
    <m/>
    <n v="-23691.200000000001"/>
    <x v="8"/>
    <n v="-23691.200000000001"/>
  </r>
  <r>
    <s v="2150"/>
    <s v="Income Tax Liability "/>
    <n v="-106760"/>
    <m/>
    <m/>
    <m/>
    <n v="-106760"/>
    <x v="8"/>
    <n v="-106760"/>
  </r>
  <r>
    <s v="2230"/>
    <s v="Hunt &amp; Son's, Inc."/>
    <n v="-112444.25"/>
    <m/>
    <m/>
    <m/>
    <n v="-112444.25"/>
    <x v="9"/>
    <n v="-112444.25"/>
  </r>
  <r>
    <s v="2260"/>
    <s v="RWL Enterprise"/>
    <n v="-112588.96"/>
    <m/>
    <m/>
    <m/>
    <n v="-112588.96"/>
    <x v="9"/>
    <n v="-112588.96"/>
  </r>
  <r>
    <s v="2280"/>
    <s v="Lee Hamre Note Payable"/>
    <n v="-399694.31"/>
    <m/>
    <m/>
    <m/>
    <n v="-399694.31"/>
    <x v="9"/>
    <n v="-399694.31"/>
  </r>
  <r>
    <s v="2310"/>
    <s v="Loan New York Life #48271835"/>
    <n v="-39316.980000000003"/>
    <m/>
    <m/>
    <m/>
    <n v="-39316.980000000003"/>
    <x v="9"/>
    <n v="-39316.980000000003"/>
  </r>
  <r>
    <s v="2320"/>
    <s v="Loan New York Life #45973523"/>
    <n v="-12071.9"/>
    <m/>
    <m/>
    <m/>
    <n v="-12071.9"/>
    <x v="9"/>
    <n v="-12071.9"/>
  </r>
  <r>
    <s v="2330"/>
    <s v="Loan New York Life #45973606"/>
    <n v="-38227.75"/>
    <m/>
    <m/>
    <m/>
    <n v="-38227.75"/>
    <x v="9"/>
    <n v="-38227.75"/>
  </r>
  <r>
    <s v="2340"/>
    <s v="Loan New York Life #48271882"/>
    <n v="-51704"/>
    <m/>
    <m/>
    <m/>
    <n v="-51704"/>
    <x v="9"/>
    <n v="-51704"/>
  </r>
  <r>
    <s v="2360"/>
    <s v="Global/Ascentium (2 Omega Lfts)"/>
    <n v="-11566.15"/>
    <m/>
    <m/>
    <m/>
    <n v="-11566.15"/>
    <x v="9"/>
    <n v="-11566.15"/>
  </r>
  <r>
    <s v="2370"/>
    <s v="Financial Pacific 1 Omega Lift"/>
    <n v="-31539.57"/>
    <m/>
    <m/>
    <m/>
    <n v="-31539.57"/>
    <x v="9"/>
    <n v="-31539.57"/>
  </r>
  <r>
    <s v="2451"/>
    <s v="Tustin Community Bank - T-123"/>
    <n v="-111194.41"/>
    <m/>
    <m/>
    <m/>
    <n v="-111194.41"/>
    <x v="9"/>
    <n v="-111194.41"/>
  </r>
  <r>
    <s v="2452"/>
    <s v="Global - #7163706 (HE 3351)"/>
    <n v="-175000"/>
    <m/>
    <m/>
    <m/>
    <n v="-175000"/>
    <x v="9"/>
    <n v="-175000"/>
  </r>
  <r>
    <s v="2453"/>
    <s v="Ford Credit T-124"/>
    <n v="-33942.22"/>
    <m/>
    <m/>
    <m/>
    <n v="-33942.22"/>
    <x v="9"/>
    <n v="-33942.22"/>
  </r>
  <r>
    <s v="2460"/>
    <s v="Bank of the West LOC"/>
    <n v="-365500"/>
    <m/>
    <m/>
    <m/>
    <n v="-365500"/>
    <x v="9"/>
    <n v="-365500"/>
  </r>
  <r>
    <s v="2461"/>
    <s v="Global/Hamni #7163713"/>
    <n v="-48268.46"/>
    <m/>
    <m/>
    <m/>
    <n v="-48268.46"/>
    <x v="9"/>
    <n v="-48268.46"/>
  </r>
  <r>
    <s v="2463"/>
    <s v="Global - 2217441 (HE 3245)"/>
    <n v="-55835.54"/>
    <m/>
    <m/>
    <m/>
    <n v="-55835.54"/>
    <x v="9"/>
    <n v="-55835.54"/>
  </r>
  <r>
    <s v="2464"/>
    <s v="Global - 2173796 (Leavitt)"/>
    <n v="-261500"/>
    <m/>
    <m/>
    <m/>
    <n v="-261500"/>
    <x v="9"/>
    <n v="-261500"/>
  </r>
  <r>
    <s v="2466"/>
    <s v="GLBL/Tustin 3832 (HE 3308-APL)"/>
    <n v="-177503.51"/>
    <m/>
    <m/>
    <m/>
    <n v="-177503.51"/>
    <x v="9"/>
    <n v="-177503.51"/>
  </r>
  <r>
    <s v="2467"/>
    <s v="Global - 8173853 (HE 3306)"/>
    <n v="-89214.63"/>
    <m/>
    <m/>
    <m/>
    <n v="-89214.63"/>
    <x v="9"/>
    <n v="-89214.63"/>
  </r>
  <r>
    <s v="2468"/>
    <s v="Global - 8173852 (HE 3309)"/>
    <n v="-74416.070000000007"/>
    <m/>
    <m/>
    <m/>
    <n v="-74416.070000000007"/>
    <x v="9"/>
    <n v="-74416.070000000007"/>
  </r>
  <r>
    <s v="2469"/>
    <s v="Global - 9173862 (HE 3305)"/>
    <n v="-78185.289999999994"/>
    <m/>
    <m/>
    <m/>
    <n v="-78185.289999999994"/>
    <x v="9"/>
    <n v="-78185.289999999994"/>
  </r>
  <r>
    <s v="2470"/>
    <s v="Global - 9173861 (HE 3307)"/>
    <n v="-86427.57"/>
    <m/>
    <m/>
    <m/>
    <n v="-86427.57"/>
    <x v="9"/>
    <n v="-86427.57"/>
  </r>
  <r>
    <s v="2471"/>
    <s v="Global - 9173860 (HE 3481-3484)"/>
    <n v="-130000"/>
    <m/>
    <m/>
    <m/>
    <n v="-130000"/>
    <x v="9"/>
    <n v="-130000"/>
  </r>
  <r>
    <s v="2472"/>
    <s v="Global/Verdant 1004-002 (HE 3524)"/>
    <n v="-46757.58"/>
    <m/>
    <m/>
    <m/>
    <n v="-46757.58"/>
    <x v="9"/>
    <n v="-46757.58"/>
  </r>
  <r>
    <s v="2473"/>
    <s v="BMO Transportation Fin T-126"/>
    <n v="-110558.22"/>
    <m/>
    <m/>
    <m/>
    <n v="-110558.22"/>
    <x v="9"/>
    <n v="-110558.22"/>
  </r>
  <r>
    <s v="2474"/>
    <s v="Anderson Funding Equipment"/>
    <n v="-1001066"/>
    <m/>
    <m/>
    <m/>
    <n v="-1001066"/>
    <x v="9"/>
    <n v="-1001066"/>
  </r>
  <r>
    <s v="2475"/>
    <s v="Global - Total Term Seattle"/>
    <n v="-380000"/>
    <m/>
    <m/>
    <m/>
    <n v="-380000"/>
    <x v="9"/>
    <n v="-380000"/>
  </r>
  <r>
    <s v="2476"/>
    <s v="First Found New Kenworth T-127"/>
    <n v="-147199.5"/>
    <m/>
    <m/>
    <m/>
    <n v="-147199.5"/>
    <x v="9"/>
    <n v="-147199.5"/>
  </r>
  <r>
    <s v="32000"/>
    <s v="Retained Earnings"/>
    <n v="20808269.530000001"/>
    <m/>
    <m/>
    <m/>
    <n v="20808269.530000001"/>
    <x v="10"/>
    <n v="20808269.530000001"/>
  </r>
  <r>
    <s v="3100"/>
    <s v="Stock - Capital"/>
    <n v="-754016.84"/>
    <m/>
    <m/>
    <m/>
    <n v="-754016.84"/>
    <x v="11"/>
    <n v="-754016.84"/>
  </r>
  <r>
    <s v="3115"/>
    <s v="Treasury Stock"/>
    <n v="5437.5"/>
    <m/>
    <m/>
    <m/>
    <n v="5437.5"/>
    <x v="12"/>
    <n v="5437.5"/>
  </r>
  <r>
    <s v="3130"/>
    <s v="AMMX - add. paid in Capital"/>
    <n v="-20785924.02"/>
    <m/>
    <m/>
    <m/>
    <n v="-20785924.02"/>
    <x v="13"/>
    <n v="-20785924.02"/>
  </r>
  <r>
    <s v=""/>
    <s v="Net Income"/>
    <n v="-472446.26"/>
    <m/>
    <m/>
    <m/>
    <n v="-472446.26"/>
    <x v="10"/>
    <n v="-472446.26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79">
  <r>
    <s v="1000"/>
    <s v="Deposit Acct - Chase 8028"/>
    <n v="42111.29"/>
    <m/>
    <m/>
    <m/>
    <n v="42111.29"/>
    <x v="0"/>
    <n v="42111.29"/>
  </r>
  <r>
    <s v="1030"/>
    <s v="Disbursement Acct - Chase 6390"/>
    <n v="13443.11"/>
    <m/>
    <m/>
    <m/>
    <n v="13443.11"/>
    <x v="0"/>
    <n v="13443.11"/>
  </r>
  <r>
    <s v="1040"/>
    <s v="New Wire Acct - Chase 6919"/>
    <n v="64321.01"/>
    <m/>
    <m/>
    <m/>
    <n v="64321.01"/>
    <x v="0"/>
    <n v="64321.01"/>
  </r>
  <r>
    <s v="1050"/>
    <s v="Merchant Acct - Chase 6366 "/>
    <n v="7908.48"/>
    <m/>
    <m/>
    <m/>
    <n v="7908.48"/>
    <x v="0"/>
    <n v="7908.48"/>
  </r>
  <r>
    <s v="1060"/>
    <s v="SBOE Sales Tax Acct - Chase 4004"/>
    <n v="2247.08"/>
    <m/>
    <m/>
    <m/>
    <n v="2247.08"/>
    <x v="0"/>
    <n v="2247.08"/>
  </r>
  <r>
    <s v="1080"/>
    <s v="Checking Acct - Wells Fargo 7556"/>
    <n v="-23.07"/>
    <m/>
    <m/>
    <m/>
    <n v="-23.07"/>
    <x v="0"/>
    <n v="-23.07"/>
  </r>
  <r>
    <s v="1090"/>
    <s v="Bank of the West"/>
    <n v="634.24"/>
    <m/>
    <m/>
    <m/>
    <n v="634.24"/>
    <x v="0"/>
    <n v="634.24"/>
  </r>
  <r>
    <s v="11000"/>
    <s v="Accounts Receivable - Other"/>
    <n v="381177.93"/>
    <m/>
    <m/>
    <m/>
    <n v="381177.93"/>
    <x v="1"/>
    <n v="381177.93"/>
  </r>
  <r>
    <s v="11500"/>
    <s v="Allowance for doubtful accts"/>
    <n v="-56725"/>
    <m/>
    <m/>
    <m/>
    <n v="-56725"/>
    <x v="1"/>
    <n v="-56725"/>
  </r>
  <r>
    <s v="12000"/>
    <s v="Undeposited Funds"/>
    <n v="433.64"/>
    <m/>
    <m/>
    <m/>
    <n v="433.64"/>
    <x v="2"/>
    <n v="433.64"/>
  </r>
  <r>
    <s v="1210"/>
    <s v="Deposit for Trucks"/>
    <n v="5455.58"/>
    <m/>
    <m/>
    <m/>
    <n v="5455.58"/>
    <x v="2"/>
    <n v="5455.58"/>
  </r>
  <r>
    <s v="1220"/>
    <s v="Parts Inventory"/>
    <n v="432313.47"/>
    <m/>
    <m/>
    <m/>
    <n v="432313.47"/>
    <x v="3"/>
    <n v="432313.47"/>
  </r>
  <r>
    <s v="1230"/>
    <s v="Equipment Inventory"/>
    <n v="2231420.66"/>
    <m/>
    <m/>
    <m/>
    <n v="2231420.66"/>
    <x v="3"/>
    <n v="2231420.66"/>
  </r>
  <r>
    <s v="1240"/>
    <s v="Consignment Inventory"/>
    <n v="557674"/>
    <m/>
    <m/>
    <m/>
    <n v="557674"/>
    <x v="3"/>
    <n v="557674"/>
  </r>
  <r>
    <s v="1250"/>
    <s v="Attachments Inventory"/>
    <n v="51220.9"/>
    <m/>
    <m/>
    <m/>
    <n v="51220.9"/>
    <x v="3"/>
    <n v="51220.9"/>
  </r>
  <r>
    <s v="1260"/>
    <s v="Estimated Taxes Paid"/>
    <n v="60000"/>
    <m/>
    <m/>
    <m/>
    <n v="60000"/>
    <x v="2"/>
    <n v="60000"/>
  </r>
  <r>
    <s v="1270"/>
    <s v="Escrow - Anderson Funding"/>
    <n v="-27854.86"/>
    <m/>
    <m/>
    <m/>
    <n v="-27854.86"/>
    <x v="3"/>
    <n v="-27854.86"/>
  </r>
  <r>
    <s v="1297"/>
    <s v="Inventory Reserve"/>
    <n v="-454729.95"/>
    <m/>
    <m/>
    <m/>
    <n v="-454729.95"/>
    <x v="3"/>
    <n v="-454729.95"/>
  </r>
  <r>
    <s v="1298"/>
    <s v="Change of Inventory"/>
    <n v="21965.19"/>
    <m/>
    <m/>
    <m/>
    <n v="21965.19"/>
    <x v="3"/>
    <n v="21965.19"/>
  </r>
  <r>
    <s v="1310"/>
    <s v="Leasehold Improvements"/>
    <n v="356104.48"/>
    <m/>
    <m/>
    <m/>
    <n v="356104.48"/>
    <x v="4"/>
    <n v="356104.48"/>
  </r>
  <r>
    <s v="1315"/>
    <s v="Accum Depr - LHI"/>
    <n v="-151222.87"/>
    <m/>
    <m/>
    <m/>
    <n v="-151222.87"/>
    <x v="4"/>
    <n v="-151222.87"/>
  </r>
  <r>
    <s v="1320"/>
    <s v="Furniture &amp; Equipment"/>
    <n v="22222.54"/>
    <m/>
    <m/>
    <m/>
    <n v="22222.54"/>
    <x v="4"/>
    <n v="22222.54"/>
  </r>
  <r>
    <s v="1325"/>
    <s v="Accum Depr - Furniture &amp; Equipment"/>
    <n v="-20846.599999999999"/>
    <m/>
    <m/>
    <m/>
    <n v="-20846.599999999999"/>
    <x v="4"/>
    <n v="-20846.599999999999"/>
  </r>
  <r>
    <s v="1330"/>
    <s v="Computer Automation"/>
    <n v="42000.76"/>
    <m/>
    <m/>
    <m/>
    <n v="42000.76"/>
    <x v="4"/>
    <n v="42000.76"/>
  </r>
  <r>
    <s v="1335"/>
    <s v="Accum Depr - Computer Automation"/>
    <n v="-29617.16"/>
    <m/>
    <m/>
    <m/>
    <n v="-29617.16"/>
    <x v="4"/>
    <n v="-29617.16"/>
  </r>
  <r>
    <s v="1340"/>
    <s v="Equipment"/>
    <n v="1747984.96"/>
    <m/>
    <m/>
    <m/>
    <n v="1747984.96"/>
    <x v="4"/>
    <n v="1747984.96"/>
  </r>
  <r>
    <s v="1342"/>
    <s v="Anderson Funding Equipment"/>
    <n v="4705788.3499999996"/>
    <m/>
    <m/>
    <m/>
    <n v="4705788.3499999996"/>
    <x v="4"/>
    <n v="4705788.3499999996"/>
  </r>
  <r>
    <s v="1345"/>
    <s v="Accum Depr - Equipment"/>
    <n v="-1300142.53"/>
    <m/>
    <m/>
    <m/>
    <n v="-1300142.53"/>
    <x v="4"/>
    <n v="-1300142.53"/>
  </r>
  <r>
    <s v="1350"/>
    <s v="Service Trucks"/>
    <n v="225185"/>
    <m/>
    <m/>
    <m/>
    <n v="225185"/>
    <x v="4"/>
    <n v="225185"/>
  </r>
  <r>
    <s v="1355"/>
    <s v="Accum Depr - Service Trucks"/>
    <n v="-124223.45"/>
    <m/>
    <m/>
    <m/>
    <n v="-124223.45"/>
    <x v="4"/>
    <n v="-124223.45"/>
  </r>
  <r>
    <s v="1360"/>
    <s v="Trucks &amp; Trailers"/>
    <n v="741401.39"/>
    <m/>
    <m/>
    <m/>
    <n v="741401.39"/>
    <x v="4"/>
    <n v="741401.39"/>
  </r>
  <r>
    <s v="1365"/>
    <s v="Accum Depr - Trucks &amp; Trailers"/>
    <n v="-286177.49"/>
    <m/>
    <m/>
    <m/>
    <n v="-286177.49"/>
    <x v="4"/>
    <n v="-286177.49"/>
  </r>
  <r>
    <s v="1370"/>
    <s v="Sales Vehicles"/>
    <n v="19737.259999999998"/>
    <m/>
    <m/>
    <m/>
    <n v="19737.259999999998"/>
    <x v="4"/>
    <n v="19737.259999999998"/>
  </r>
  <r>
    <s v="1375"/>
    <s v="Accum Depr - Sales Vehicles"/>
    <n v="-8882.25"/>
    <m/>
    <m/>
    <m/>
    <n v="-8882.25"/>
    <x v="4"/>
    <n v="-8882.25"/>
  </r>
  <r>
    <s v="1400"/>
    <s v="Prepaid Asset"/>
    <n v="17799.150000000001"/>
    <m/>
    <m/>
    <m/>
    <n v="17799.150000000001"/>
    <x v="5"/>
    <n v="17799.150000000001"/>
  </r>
  <r>
    <s v="1410"/>
    <s v="Employee Loan"/>
    <n v="4241.88"/>
    <m/>
    <m/>
    <m/>
    <n v="4241.88"/>
    <x v="2"/>
    <n v="4241.88"/>
  </r>
  <r>
    <s v="1420"/>
    <s v="New York Life #45973606"/>
    <n v="49513.04"/>
    <m/>
    <m/>
    <m/>
    <n v="49513.04"/>
    <x v="2"/>
    <n v="49513.04"/>
  </r>
  <r>
    <s v="1430"/>
    <s v="New York Life #48271835"/>
    <n v="67820.13"/>
    <m/>
    <m/>
    <m/>
    <n v="67820.13"/>
    <x v="2"/>
    <n v="67820.13"/>
  </r>
  <r>
    <s v="1440"/>
    <s v="New York Life #48271882"/>
    <n v="62701.68"/>
    <m/>
    <m/>
    <m/>
    <n v="62701.68"/>
    <x v="2"/>
    <n v="62701.68"/>
  </r>
  <r>
    <s v="1445"/>
    <s v="New York Life #45973523"/>
    <n v="41444"/>
    <m/>
    <m/>
    <m/>
    <n v="41444"/>
    <x v="2"/>
    <n v="41444"/>
  </r>
  <r>
    <s v="1450"/>
    <s v="New York Life #62966478"/>
    <n v="12595.61"/>
    <m/>
    <m/>
    <m/>
    <n v="12595.61"/>
    <x v="2"/>
    <n v="12595.61"/>
  </r>
  <r>
    <s v="1460"/>
    <s v="Petty Cash"/>
    <n v="357.49"/>
    <m/>
    <m/>
    <m/>
    <n v="357.49"/>
    <x v="0"/>
    <n v="357.49"/>
  </r>
  <r>
    <s v="20000"/>
    <s v="Accounts Payable"/>
    <n v="-1228118.3600000001"/>
    <m/>
    <m/>
    <m/>
    <n v="-1228118.3600000001"/>
    <x v="6"/>
    <n v="-1228118.3600000001"/>
  </r>
  <r>
    <s v="2030"/>
    <s v="Chase Visa - 8709"/>
    <n v="-51960.17"/>
    <m/>
    <m/>
    <m/>
    <n v="-51960.17"/>
    <x v="6"/>
    <n v="-51960.17"/>
  </r>
  <r>
    <s v="2050"/>
    <s v="Deferred Revenue"/>
    <n v="-3149212.23"/>
    <m/>
    <m/>
    <m/>
    <n v="-3149212.23"/>
    <x v="7"/>
    <n v="-3149212.23"/>
  </r>
  <r>
    <s v="2110"/>
    <s v="Sales Tax Payable"/>
    <n v="-12575.82"/>
    <m/>
    <m/>
    <m/>
    <n v="-12575.82"/>
    <x v="8"/>
    <n v="-12575.82"/>
  </r>
  <r>
    <s v="2150"/>
    <s v="Income Tax Liability "/>
    <n v="-106760"/>
    <m/>
    <m/>
    <m/>
    <n v="-106760"/>
    <x v="8"/>
    <n v="-106760"/>
  </r>
  <r>
    <s v="2230"/>
    <s v="Hunt &amp; Son's, Inc."/>
    <n v="-112444.25"/>
    <m/>
    <m/>
    <m/>
    <n v="-112444.25"/>
    <x v="9"/>
    <n v="-112444.25"/>
  </r>
  <r>
    <s v="2260"/>
    <s v="RWL Enterprise"/>
    <n v="-112588.96"/>
    <m/>
    <m/>
    <m/>
    <n v="-112588.96"/>
    <x v="9"/>
    <n v="-112588.96"/>
  </r>
  <r>
    <s v="2280"/>
    <s v="Lee Hamre Note Payable"/>
    <n v="-392968.33"/>
    <m/>
    <m/>
    <m/>
    <n v="-392968.33"/>
    <x v="9"/>
    <n v="-392968.33"/>
  </r>
  <r>
    <s v="2310"/>
    <s v="Loan New York Life #48271835"/>
    <n v="-39316.980000000003"/>
    <m/>
    <m/>
    <m/>
    <n v="-39316.980000000003"/>
    <x v="9"/>
    <n v="-39316.980000000003"/>
  </r>
  <r>
    <s v="2320"/>
    <s v="Loan New York Life #45973523"/>
    <n v="-12071.9"/>
    <m/>
    <m/>
    <m/>
    <n v="-12071.9"/>
    <x v="9"/>
    <n v="-12071.9"/>
  </r>
  <r>
    <s v="2330"/>
    <s v="Loan New York Life #45973606"/>
    <n v="-38227.75"/>
    <m/>
    <m/>
    <m/>
    <n v="-38227.75"/>
    <x v="9"/>
    <n v="-38227.75"/>
  </r>
  <r>
    <s v="2340"/>
    <s v="Loan New York Life #48271882"/>
    <n v="-51704"/>
    <m/>
    <m/>
    <m/>
    <n v="-51704"/>
    <x v="9"/>
    <n v="-51704"/>
  </r>
  <r>
    <s v="2360"/>
    <s v="Global/Ascentium (2 Omega Lfts)"/>
    <n v="-7697.73"/>
    <m/>
    <m/>
    <m/>
    <n v="-7697.73"/>
    <x v="9"/>
    <n v="-7697.73"/>
  </r>
  <r>
    <s v="2370"/>
    <s v="Financial Pacific 1 Omega Life"/>
    <n v="-29488.46"/>
    <m/>
    <m/>
    <m/>
    <n v="-29488.46"/>
    <x v="9"/>
    <n v="-29488.46"/>
  </r>
  <r>
    <s v="2451"/>
    <s v="Tustin Community Bank - T-123"/>
    <n v="-108838.66"/>
    <m/>
    <m/>
    <m/>
    <n v="-108838.66"/>
    <x v="9"/>
    <n v="-108838.66"/>
  </r>
  <r>
    <s v="2453"/>
    <s v="Ford Credit T-124"/>
    <n v="-33215.33"/>
    <m/>
    <m/>
    <m/>
    <n v="-33215.33"/>
    <x v="9"/>
    <n v="-33215.33"/>
  </r>
  <r>
    <s v="2460"/>
    <s v="Bank of the West LOC"/>
    <n v="-447500"/>
    <m/>
    <m/>
    <m/>
    <n v="-447500"/>
    <x v="9"/>
    <n v="-447500"/>
  </r>
  <r>
    <s v="2461"/>
    <s v="Global/Hamni #7163713"/>
    <n v="-47425.919999999998"/>
    <m/>
    <m/>
    <m/>
    <n v="-47425.919999999998"/>
    <x v="9"/>
    <n v="-47425.919999999998"/>
  </r>
  <r>
    <s v="2463"/>
    <s v="Global - 2217441 (HE 3245)"/>
    <n v="-47453.14"/>
    <m/>
    <m/>
    <m/>
    <n v="-47453.14"/>
    <x v="9"/>
    <n v="-47453.14"/>
  </r>
  <r>
    <s v="2464"/>
    <s v="Global - 2173796 (Leavitt)"/>
    <n v="-261500"/>
    <m/>
    <m/>
    <m/>
    <n v="-261500"/>
    <x v="9"/>
    <n v="-261500"/>
  </r>
  <r>
    <s v="2466"/>
    <s v="GLBL/Tustin 3832 (HE 3308-APL)"/>
    <n v="-169134.13"/>
    <m/>
    <m/>
    <m/>
    <n v="-169134.13"/>
    <x v="9"/>
    <n v="-169134.13"/>
  </r>
  <r>
    <s v="2467"/>
    <s v="Global - 8173853 (HE 3306)"/>
    <n v="-80464.289999999994"/>
    <m/>
    <m/>
    <m/>
    <n v="-80464.289999999994"/>
    <x v="9"/>
    <n v="-80464.289999999994"/>
  </r>
  <r>
    <s v="2468"/>
    <s v="Global - 8173852 (HE 3309)"/>
    <n v="-65661.37"/>
    <m/>
    <m/>
    <m/>
    <n v="-65661.37"/>
    <x v="9"/>
    <n v="-65661.37"/>
  </r>
  <r>
    <s v="2469"/>
    <s v="Global - 9173862 (HE 3305)"/>
    <n v="-69539.61"/>
    <m/>
    <m/>
    <m/>
    <n v="-69539.61"/>
    <x v="9"/>
    <n v="-69539.61"/>
  </r>
  <r>
    <s v="2470"/>
    <s v="Global - 9173861 (HE 3307)"/>
    <n v="-77505.94"/>
    <m/>
    <m/>
    <m/>
    <n v="-77505.94"/>
    <x v="9"/>
    <n v="-77505.94"/>
  </r>
  <r>
    <s v="2471"/>
    <s v="Global - 9173860 (HE 3481-3484)"/>
    <n v="-130000"/>
    <m/>
    <m/>
    <m/>
    <n v="-130000"/>
    <x v="9"/>
    <n v="-130000"/>
  </r>
  <r>
    <s v="2472"/>
    <s v="Global/Verdant 1004-002 (HE 3524)"/>
    <n v="-45136.37"/>
    <m/>
    <m/>
    <m/>
    <n v="-45136.37"/>
    <x v="9"/>
    <n v="-45136.37"/>
  </r>
  <r>
    <s v="2473"/>
    <s v="BMO Transportation Fin T-126"/>
    <n v="-109261.69"/>
    <m/>
    <m/>
    <m/>
    <n v="-109261.69"/>
    <x v="9"/>
    <n v="-109261.69"/>
  </r>
  <r>
    <s v="2474"/>
    <s v="Anderson Funding Equipment"/>
    <n v="-973166"/>
    <m/>
    <m/>
    <m/>
    <n v="-973166"/>
    <x v="9"/>
    <n v="-973166"/>
  </r>
  <r>
    <s v="2475"/>
    <s v="Global - Total Term Seattle"/>
    <n v="-340000"/>
    <m/>
    <m/>
    <m/>
    <n v="-340000"/>
    <x v="9"/>
    <n v="-340000"/>
  </r>
  <r>
    <s v="2476"/>
    <s v="First Found New Kenworth T-127"/>
    <n v="-144978.04"/>
    <m/>
    <m/>
    <m/>
    <n v="-144978.04"/>
    <x v="9"/>
    <n v="-144978.04"/>
  </r>
  <r>
    <s v="2477"/>
    <s v="Global - 02183918 (HE 3542)"/>
    <n v="-87396.06"/>
    <m/>
    <m/>
    <m/>
    <n v="-87396.06"/>
    <x v="9"/>
    <n v="-87396.06"/>
  </r>
  <r>
    <s v="32000"/>
    <s v="Retained Earnings"/>
    <n v="20808269.530000001"/>
    <m/>
    <m/>
    <m/>
    <n v="20808269.530000001"/>
    <x v="10"/>
    <n v="20808269.530000001"/>
  </r>
  <r>
    <s v="3100"/>
    <s v="Stock - Capital"/>
    <n v="-754016.84"/>
    <m/>
    <m/>
    <m/>
    <n v="-754016.84"/>
    <x v="11"/>
    <n v="-754016.84"/>
  </r>
  <r>
    <s v="3115"/>
    <s v="Treasury Stock"/>
    <n v="5437.5"/>
    <m/>
    <m/>
    <m/>
    <n v="5437.5"/>
    <x v="12"/>
    <n v="5437.5"/>
  </r>
  <r>
    <s v="3130"/>
    <s v="AMMX - add. paid in Capital"/>
    <n v="-20785924.02"/>
    <m/>
    <m/>
    <m/>
    <n v="-20785924.02"/>
    <x v="13"/>
    <n v="-20785924.02"/>
  </r>
  <r>
    <s v=""/>
    <s v="Net Income"/>
    <n v="-219233.75"/>
    <m/>
    <m/>
    <m/>
    <n v="-219233.75"/>
    <x v="10"/>
    <n v="-219233.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7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12">
        <item x="5"/>
        <item x="6"/>
        <item x="10"/>
        <item x="8"/>
        <item x="0"/>
        <item x="1"/>
        <item x="2"/>
        <item x="4"/>
        <item x="3"/>
        <item x="9"/>
        <item x="7"/>
        <item t="default"/>
      </items>
    </pivotField>
    <pivotField dataField="1" numFmtId="43" showAll="0"/>
  </pivotFields>
  <rowFields count="1">
    <field x="7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AMT" fld="8" baseField="0" baseItem="0" numFmtId="43"/>
  </dataFields>
  <formats count="13">
    <format dxfId="204">
      <pivotArea type="all" dataOnly="0" outline="0" fieldPosition="0"/>
    </format>
    <format dxfId="203">
      <pivotArea type="all" dataOnly="0" outline="0" fieldPosition="0"/>
    </format>
    <format dxfId="202">
      <pivotArea type="all" dataOnly="0" outline="0" fieldPosition="0"/>
    </format>
    <format dxfId="201">
      <pivotArea type="all" dataOnly="0" outline="0" fieldPosition="0"/>
    </format>
    <format dxfId="200">
      <pivotArea outline="0" collapsedLevelsAreSubtotals="1" fieldPosition="0"/>
    </format>
    <format dxfId="199">
      <pivotArea dataOnly="0" labelOnly="1" fieldPosition="0">
        <references count="1">
          <reference field="7" count="0"/>
        </references>
      </pivotArea>
    </format>
    <format dxfId="198">
      <pivotArea dataOnly="0" labelOnly="1" grandRow="1" outline="0" fieldPosition="0"/>
    </format>
    <format dxfId="197">
      <pivotArea type="all" dataOnly="0" outline="0" fieldPosition="0"/>
    </format>
    <format dxfId="196">
      <pivotArea outline="0" collapsedLevelsAreSubtotals="1" fieldPosition="0"/>
    </format>
    <format dxfId="195">
      <pivotArea field="7" type="button" dataOnly="0" labelOnly="1" outline="0" axis="axisRow" fieldPosition="0"/>
    </format>
    <format dxfId="194">
      <pivotArea dataOnly="0" labelOnly="1" outline="0" axis="axisValues" fieldPosition="0"/>
    </format>
    <format dxfId="193">
      <pivotArea dataOnly="0" labelOnly="1" fieldPosition="0">
        <references count="1">
          <reference field="7" count="0"/>
        </references>
      </pivotArea>
    </format>
    <format dxfId="19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PivotTable3" cacheId="22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14" firstHeaderRow="1" firstDataRow="1" firstDataCol="1"/>
  <pivotFields count="11">
    <pivotField showAll="0"/>
    <pivotField showAll="0" defaultSubtota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axis="axisRow" showAll="0">
      <items count="9">
        <item x="0"/>
        <item x="1"/>
        <item x="4"/>
        <item x="2"/>
        <item x="3"/>
        <item x="5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10" baseField="0" baseItem="0" numFmtId="166"/>
  </dataFields>
  <formats count="6">
    <format dxfId="118">
      <pivotArea outline="0" collapsedLevelsAreSubtotals="1" fieldPosition="0"/>
    </format>
    <format dxfId="117">
      <pivotArea dataOnly="0" labelOnly="1" outline="0" axis="axisValues" fieldPosition="0"/>
    </format>
    <format dxfId="116">
      <pivotArea type="all" dataOnly="0" outline="0" fieldPosition="0"/>
    </format>
    <format dxfId="115">
      <pivotArea type="all" dataOnly="0" outline="0" fieldPosition="0"/>
    </format>
    <format dxfId="114">
      <pivotArea type="all" dataOnly="0" outline="0" fieldPosition="0"/>
    </format>
    <format dxfId="11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4" cacheId="23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M5:N26" firstHeaderRow="1" firstDataRow="1" firstDataCol="1"/>
  <pivotFields count="11"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numFmtId="43" showAll="0"/>
    <pivotField axis="axisRow" showAll="0">
      <items count="21">
        <item x="0"/>
        <item x="1"/>
        <item x="5"/>
        <item x="2"/>
        <item x="6"/>
        <item x="9"/>
        <item x="7"/>
        <item x="14"/>
        <item x="13"/>
        <item x="10"/>
        <item x="18"/>
        <item x="17"/>
        <item x="19"/>
        <item x="16"/>
        <item x="8"/>
        <item x="15"/>
        <item x="4"/>
        <item x="3"/>
        <item x="11"/>
        <item x="12"/>
        <item t="default"/>
      </items>
    </pivotField>
    <pivotField dataField="1" numFmtId="43" showAll="0"/>
  </pivotFields>
  <rowFields count="1">
    <field x="9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AMT" fld="10" baseField="0" baseItem="0"/>
  </dataFields>
  <formats count="7">
    <format dxfId="112">
      <pivotArea type="all" dataOnly="0" outline="0" fieldPosition="0"/>
    </format>
    <format dxfId="111">
      <pivotArea type="all" dataOnly="0" outline="0" fieldPosition="0"/>
    </format>
    <format dxfId="110">
      <pivotArea type="all" dataOnly="0" outline="0" fieldPosition="0"/>
    </format>
    <format dxfId="109">
      <pivotArea type="all" dataOnly="0" outline="0" fieldPosition="0"/>
    </format>
    <format dxfId="108">
      <pivotArea type="all" dataOnly="0" outline="0" fieldPosition="0"/>
    </format>
    <format dxfId="107">
      <pivotArea collapsedLevelsAreSubtotals="1" fieldPosition="0">
        <references count="1">
          <reference field="9" count="0"/>
        </references>
      </pivotArea>
    </format>
    <format dxfId="10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PivotTable3" cacheId="2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14" firstHeaderRow="1" firstDataRow="1" firstDataCol="1"/>
  <pivotFields count="11">
    <pivotField showAll="0"/>
    <pivotField showAll="0" defaultSubtota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axis="axisRow" showAll="0">
      <items count="9">
        <item x="0"/>
        <item x="1"/>
        <item x="4"/>
        <item x="2"/>
        <item x="3"/>
        <item x="5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10" baseField="0" baseItem="0" numFmtId="166"/>
  </dataFields>
  <formats count="6">
    <format dxfId="105">
      <pivotArea outline="0" collapsedLevelsAreSubtotals="1" fieldPosition="0"/>
    </format>
    <format dxfId="104">
      <pivotArea dataOnly="0" labelOnly="1" outline="0" axis="axisValues" fieldPosition="0"/>
    </format>
    <format dxfId="103">
      <pivotArea type="all" dataOnly="0" outline="0" fieldPosition="0"/>
    </format>
    <format dxfId="102">
      <pivotArea type="all" dataOnly="0" outline="0" fieldPosition="0"/>
    </format>
    <format dxfId="101">
      <pivotArea type="all" dataOnly="0" outline="0" fieldPosition="0"/>
    </format>
    <format dxfId="10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21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M5:N26" firstHeaderRow="1" firstDataRow="1" firstDataCol="1"/>
  <pivotFields count="11"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numFmtId="43" showAll="0"/>
    <pivotField axis="axisRow" showAll="0">
      <items count="22">
        <item x="0"/>
        <item x="1"/>
        <item x="5"/>
        <item x="2"/>
        <item x="6"/>
        <item x="9"/>
        <item x="7"/>
        <item x="14"/>
        <item x="13"/>
        <item x="10"/>
        <item x="18"/>
        <item x="17"/>
        <item x="19"/>
        <item x="16"/>
        <item x="8"/>
        <item x="15"/>
        <item x="4"/>
        <item x="3"/>
        <item x="11"/>
        <item x="12"/>
        <item m="1" x="20"/>
        <item t="default"/>
      </items>
    </pivotField>
    <pivotField dataField="1" numFmtId="43" showAll="0"/>
  </pivotFields>
  <rowFields count="1">
    <field x="9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AMT" fld="10" baseField="0" baseItem="0"/>
  </dataFields>
  <formats count="7">
    <format dxfId="99">
      <pivotArea type="all" dataOnly="0" outline="0" fieldPosition="0"/>
    </format>
    <format dxfId="98">
      <pivotArea type="all" dataOnly="0" outline="0" fieldPosition="0"/>
    </format>
    <format dxfId="97">
      <pivotArea type="all" dataOnly="0" outline="0" fieldPosition="0"/>
    </format>
    <format dxfId="96">
      <pivotArea type="all" dataOnly="0" outline="0" fieldPosition="0"/>
    </format>
    <format dxfId="95">
      <pivotArea type="all" dataOnly="0" outline="0" fieldPosition="0"/>
    </format>
    <format dxfId="94">
      <pivotArea collapsedLevelsAreSubtotals="1" fieldPosition="0">
        <references count="1">
          <reference field="9" count="0"/>
        </references>
      </pivotArea>
    </format>
    <format dxfId="93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2" cacheId="18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14" firstHeaderRow="1" firstDataRow="1" firstDataCol="1"/>
  <pivotFields count="11">
    <pivotField showAll="0"/>
    <pivotField showAll="0" defaultSubtota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axis="axisRow" showAll="0">
      <items count="9">
        <item x="0"/>
        <item x="1"/>
        <item x="4"/>
        <item x="2"/>
        <item x="3"/>
        <item x="5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10" baseField="0" baseItem="0" numFmtId="43"/>
  </dataFields>
  <formats count="7">
    <format dxfId="92">
      <pivotArea outline="0" collapsedLevelsAreSubtotals="1" fieldPosition="0"/>
    </format>
    <format dxfId="91">
      <pivotArea dataOnly="0" labelOnly="1" outline="0" axis="axisValues" fieldPosition="0"/>
    </format>
    <format dxfId="90">
      <pivotArea type="all" dataOnly="0" outline="0" fieldPosition="0"/>
    </format>
    <format dxfId="89">
      <pivotArea type="all" dataOnly="0" outline="0" fieldPosition="0"/>
    </format>
    <format dxfId="88">
      <pivotArea type="all" dataOnly="0" outline="0" fieldPosition="0"/>
    </format>
    <format dxfId="87">
      <pivotArea type="all" dataOnly="0" outline="0" fieldPosition="0"/>
    </format>
    <format dxfId="8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100-000000000000}" name="PivotTable1" cacheId="19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26" firstHeaderRow="1" firstDataRow="1" firstDataCol="1"/>
  <pivotFields count="11"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numFmtId="43" showAll="0"/>
    <pivotField axis="axisRow" showAll="0">
      <items count="22">
        <item x="0"/>
        <item x="1"/>
        <item x="5"/>
        <item x="2"/>
        <item x="6"/>
        <item x="9"/>
        <item x="7"/>
        <item x="14"/>
        <item x="13"/>
        <item x="10"/>
        <item x="18"/>
        <item x="17"/>
        <item x="19"/>
        <item x="16"/>
        <item x="8"/>
        <item x="15"/>
        <item x="4"/>
        <item x="3"/>
        <item x="11"/>
        <item x="12"/>
        <item m="1" x="20"/>
        <item t="default"/>
      </items>
    </pivotField>
    <pivotField dataField="1" numFmtId="43" showAll="0"/>
  </pivotFields>
  <rowFields count="1">
    <field x="9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AMT" fld="10" baseField="0" baseItem="0"/>
  </dataFields>
  <formats count="7">
    <format dxfId="85">
      <pivotArea type="all" dataOnly="0" outline="0" fieldPosition="0"/>
    </format>
    <format dxfId="84">
      <pivotArea type="all" dataOnly="0" outline="0" fieldPosition="0"/>
    </format>
    <format dxfId="83">
      <pivotArea type="all" dataOnly="0" outline="0" fieldPosition="0"/>
    </format>
    <format dxfId="82">
      <pivotArea type="all" dataOnly="0" outline="0" fieldPosition="0"/>
    </format>
    <format dxfId="81">
      <pivotArea type="all" dataOnly="0" outline="0" fieldPosition="0"/>
    </format>
    <format dxfId="80">
      <pivotArea collapsedLevelsAreSubtotals="1" fieldPosition="0">
        <references count="1">
          <reference field="9" count="0"/>
        </references>
      </pivotArea>
    </format>
    <format dxfId="79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200-000000000000}" name="PivotTable1" cacheId="16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14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axis="axisRow" showAll="0">
      <items count="9">
        <item x="0"/>
        <item x="1"/>
        <item x="4"/>
        <item x="2"/>
        <item x="3"/>
        <item x="5"/>
        <item x="6"/>
        <item x="7"/>
        <item t="default"/>
      </items>
    </pivotField>
    <pivotField dataField="1" numFmtId="43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10" baseField="0" baseItem="0" numFmtId="43"/>
  </dataFields>
  <formats count="5">
    <format dxfId="78">
      <pivotArea outline="0" collapsedLevelsAreSubtotals="1" fieldPosition="0"/>
    </format>
    <format dxfId="77">
      <pivotArea type="all" dataOnly="0" outline="0" fieldPosition="0"/>
    </format>
    <format dxfId="76">
      <pivotArea type="all" dataOnly="0" outline="0" fieldPosition="0"/>
    </format>
    <format dxfId="75">
      <pivotArea type="all" dataOnly="0" outline="0" fieldPosition="0"/>
    </format>
    <format dxfId="7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300-000000000000}" name="PivotTable2" cacheId="17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26" firstHeaderRow="1" firstDataRow="1" firstDataCol="1"/>
  <pivotFields count="11">
    <pivotField showAll="0" defaultSubtotal="0"/>
    <pivotField showAll="0"/>
    <pivotField showAll="0"/>
    <pivotField showAll="0"/>
    <pivotField showAll="0"/>
    <pivotField showAll="0"/>
    <pivotField showAll="0"/>
    <pivotField showAll="0"/>
    <pivotField numFmtId="43" showAll="0"/>
    <pivotField axis="axisRow" showAll="0">
      <items count="21">
        <item x="0"/>
        <item x="1"/>
        <item x="5"/>
        <item x="2"/>
        <item x="6"/>
        <item x="9"/>
        <item x="7"/>
        <item x="14"/>
        <item x="13"/>
        <item x="10"/>
        <item x="8"/>
        <item x="4"/>
        <item x="16"/>
        <item x="17"/>
        <item x="18"/>
        <item x="19"/>
        <item x="3"/>
        <item x="11"/>
        <item x="12"/>
        <item x="15"/>
        <item t="default"/>
      </items>
    </pivotField>
    <pivotField dataField="1" numFmtId="43" showAll="0"/>
  </pivotFields>
  <rowFields count="1">
    <field x="9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AMT" fld="10" baseField="0" baseItem="0" numFmtId="43"/>
  </dataFields>
  <formats count="6">
    <format dxfId="73">
      <pivotArea grandRow="1" outline="0" collapsedLevelsAreSubtotals="1" fieldPosition="0"/>
    </format>
    <format dxfId="72">
      <pivotArea outline="0" collapsedLevelsAreSubtotals="1" fieldPosition="0"/>
    </format>
    <format dxfId="71">
      <pivotArea type="all" dataOnly="0" outline="0" fieldPosition="0"/>
    </format>
    <format dxfId="70">
      <pivotArea type="all" dataOnly="0" outline="0" fieldPosition="0"/>
    </format>
    <format dxfId="69">
      <pivotArea type="all" dataOnly="0" outline="0" fieldPosition="0"/>
    </format>
    <format dxfId="6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400-000000000000}" name="PivotTable2" cacheId="26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4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9">
        <item x="0"/>
        <item x="1"/>
        <item x="2"/>
        <item x="3"/>
        <item x="7"/>
        <item x="4"/>
        <item x="5"/>
        <item x="6"/>
        <item t="default"/>
      </items>
    </pivotField>
    <pivotField dataField="1" numFmtId="43" showAll="0"/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8" baseField="0" baseItem="0" numFmtId="43"/>
  </dataFields>
  <formats count="5">
    <format dxfId="67">
      <pivotArea outline="0" collapsedLevelsAreSubtotals="1" fieldPosition="0"/>
    </format>
    <format dxfId="66">
      <pivotArea type="all" dataOnly="0" outline="0" fieldPosition="0"/>
    </format>
    <format dxfId="65">
      <pivotArea type="all" dataOnly="0" outline="0" fieldPosition="0"/>
    </format>
    <format dxfId="64">
      <pivotArea type="all" dataOnly="0" outline="0" fieldPosition="0"/>
    </format>
    <format dxfId="6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500-000000000000}" name="PivotTable1" cacheId="3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0" firstHeaderRow="1" firstDataRow="1" firstDataCol="1"/>
  <pivotFields count="9">
    <pivotField showAll="0" defaultSubtota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15">
        <item x="0"/>
        <item x="1"/>
        <item x="5"/>
        <item x="2"/>
        <item x="4"/>
        <item x="7"/>
        <item x="9"/>
        <item x="3"/>
        <item x="10"/>
        <item x="11"/>
        <item x="12"/>
        <item x="13"/>
        <item x="6"/>
        <item x="8"/>
        <item t="default"/>
      </items>
    </pivotField>
    <pivotField dataField="1" numFmtId="43" showAll="0"/>
  </pivotFields>
  <rowFields count="1">
    <field x="7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AMT" fld="8" baseField="0" baseItem="0" numFmtId="43"/>
  </dataFields>
  <formats count="6">
    <format dxfId="62">
      <pivotArea grandRow="1" outline="0" collapsedLevelsAreSubtotals="1" fieldPosition="0"/>
    </format>
    <format dxfId="61">
      <pivotArea outline="0" collapsedLevelsAreSubtotals="1" fieldPosition="0"/>
    </format>
    <format dxfId="60">
      <pivotArea type="all" dataOnly="0" outline="0" fieldPosition="0"/>
    </format>
    <format dxfId="59">
      <pivotArea type="all" dataOnly="0" outline="0" fieldPosition="0"/>
    </format>
    <format dxfId="58">
      <pivotArea type="all" dataOnly="0" outline="0" fieldPosition="0"/>
    </format>
    <format dxfId="57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0" cacheId="2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L6:M18" firstHeaderRow="1" firstDataRow="1" firstDataCol="1"/>
  <pivotFields count="4">
    <pivotField showAll="0"/>
    <pivotField showAll="0"/>
    <pivotField dataField="1" numFmtId="41" showAll="0" defaultSubtotal="0"/>
    <pivotField axis="axisRow" showAll="0">
      <items count="12">
        <item x="2"/>
        <item x="4"/>
        <item x="7"/>
        <item x="5"/>
        <item x="8"/>
        <item x="6"/>
        <item x="9"/>
        <item x="0"/>
        <item x="3"/>
        <item x="1"/>
        <item x="10"/>
        <item t="default"/>
      </items>
    </pivotField>
  </pivotFields>
  <rowFields count="1">
    <field x="3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SEPTEMBER '2019" fld="2" baseField="0" baseItem="0"/>
  </dataFields>
  <formats count="8">
    <format dxfId="186">
      <pivotArea outline="0" collapsedLevelsAreSubtotals="1" fieldPosition="0"/>
    </format>
    <format dxfId="185">
      <pivotArea grandRow="1" outline="0" collapsedLevelsAreSubtotals="1" fieldPosition="0"/>
    </format>
    <format dxfId="184">
      <pivotArea dataOnly="0" labelOnly="1" grandRow="1" outline="0" fieldPosition="0"/>
    </format>
    <format dxfId="183">
      <pivotArea field="3" type="button" dataOnly="0" labelOnly="1" outline="0" axis="axisRow" fieldPosition="0"/>
    </format>
    <format dxfId="182">
      <pivotArea dataOnly="0" labelOnly="1" outline="0" axis="axisValues" fieldPosition="0"/>
    </format>
    <format dxfId="181">
      <pivotArea grandRow="1" outline="0" collapsedLevelsAreSubtotals="1" fieldPosition="0"/>
    </format>
    <format dxfId="180">
      <pivotArea dataOnly="0" labelOnly="1" grandRow="1" outline="0" fieldPosition="0"/>
    </format>
    <format dxfId="179">
      <pivotArea collapsedLevelsAreSubtotals="1" fieldPosition="0">
        <references count="1">
          <reference field="3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600-000000000000}" name="PivotTable2" cacheId="15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4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9">
        <item x="0"/>
        <item x="1"/>
        <item x="2"/>
        <item x="3"/>
        <item x="7"/>
        <item x="4"/>
        <item x="5"/>
        <item x="6"/>
        <item t="default"/>
      </items>
    </pivotField>
    <pivotField dataField="1" numFmtId="43" showAll="0"/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8" baseField="0" baseItem="0" numFmtId="43"/>
  </dataFields>
  <formats count="5">
    <format dxfId="56">
      <pivotArea outline="0" collapsedLevelsAreSubtotals="1" fieldPosition="0"/>
    </format>
    <format dxfId="55">
      <pivotArea type="all" dataOnly="0" outline="0" fieldPosition="0"/>
    </format>
    <format dxfId="54">
      <pivotArea type="all" dataOnly="0" outline="0" fieldPosition="0"/>
    </format>
    <format dxfId="53">
      <pivotArea type="all" dataOnly="0" outline="0" fieldPosition="0"/>
    </format>
    <format dxfId="52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700-000000000000}" name="PivotTable1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0" firstHeaderRow="1" firstDataRow="1" firstDataCol="1"/>
  <pivotFields count="9">
    <pivotField showAll="0" defaultSubtotal="0"/>
    <pivotField showAll="0"/>
    <pivotField numFmtId="43" showAll="0" defaultSubtotal="0"/>
    <pivotField showAll="0"/>
    <pivotField showAll="0"/>
    <pivotField showAll="0"/>
    <pivotField numFmtId="43" showAll="0"/>
    <pivotField axis="axisRow" showAll="0">
      <items count="24">
        <item x="0"/>
        <item x="1"/>
        <item x="5"/>
        <item m="1" x="14"/>
        <item x="2"/>
        <item x="4"/>
        <item m="1" x="15"/>
        <item m="1" x="16"/>
        <item m="1" x="21"/>
        <item x="7"/>
        <item m="1" x="20"/>
        <item x="9"/>
        <item m="1" x="17"/>
        <item m="1" x="18"/>
        <item x="3"/>
        <item x="10"/>
        <item x="11"/>
        <item x="12"/>
        <item x="13"/>
        <item m="1" x="22"/>
        <item x="6"/>
        <item x="8"/>
        <item m="1" x="19"/>
        <item t="default"/>
      </items>
    </pivotField>
    <pivotField dataField="1" numFmtId="43" showAll="0"/>
  </pivotFields>
  <rowFields count="1">
    <field x="7"/>
  </rowFields>
  <rowItems count="15">
    <i>
      <x/>
    </i>
    <i>
      <x v="1"/>
    </i>
    <i>
      <x v="2"/>
    </i>
    <i>
      <x v="4"/>
    </i>
    <i>
      <x v="5"/>
    </i>
    <i>
      <x v="9"/>
    </i>
    <i>
      <x v="11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Items count="1">
    <i/>
  </colItems>
  <dataFields count="1">
    <dataField name="Sum of AMT" fld="8" baseField="0" baseItem="0" numFmtId="43"/>
  </dataFields>
  <formats count="6">
    <format dxfId="51">
      <pivotArea grandRow="1" outline="0" collapsedLevelsAreSubtotals="1" fieldPosition="0"/>
    </format>
    <format dxfId="50">
      <pivotArea outline="0" collapsedLevelsAreSubtotals="1" fieldPosition="0"/>
    </format>
    <format dxfId="49">
      <pivotArea type="all" dataOnly="0" outline="0" fieldPosition="0"/>
    </format>
    <format dxfId="48">
      <pivotArea type="all" dataOnly="0" outline="0" fieldPosition="0"/>
    </format>
    <format dxfId="47">
      <pivotArea type="all" dataOnly="0" outline="0" fieldPosition="0"/>
    </format>
    <format dxfId="4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800-000000000000}" name="PivotTable2" cacheId="14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4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9">
        <item x="0"/>
        <item x="1"/>
        <item x="2"/>
        <item x="3"/>
        <item x="7"/>
        <item x="4"/>
        <item x="5"/>
        <item x="6"/>
        <item t="default"/>
      </items>
    </pivotField>
    <pivotField dataField="1" numFmtId="43" showAll="0"/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8" baseField="0" baseItem="0" numFmtId="43"/>
  </dataFields>
  <formats count="5">
    <format dxfId="45">
      <pivotArea outline="0" collapsedLevelsAreSubtotals="1" fieldPosition="0"/>
    </format>
    <format dxfId="44">
      <pivotArea type="all" dataOnly="0" outline="0" fieldPosition="0"/>
    </format>
    <format dxfId="43">
      <pivotArea type="all" dataOnly="0" outline="0" fieldPosition="0"/>
    </format>
    <format dxfId="42">
      <pivotArea type="all" dataOnly="0" outline="0" fieldPosition="0"/>
    </format>
    <format dxfId="4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0000000}" name="PivotTable1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0" firstHeaderRow="1" firstDataRow="1" firstDataCol="1"/>
  <pivotFields count="9">
    <pivotField showAll="0" defaultSubtotal="0"/>
    <pivotField showAll="0"/>
    <pivotField numFmtId="43" showAll="0" defaultSubtotal="0"/>
    <pivotField showAll="0"/>
    <pivotField showAll="0"/>
    <pivotField showAll="0"/>
    <pivotField numFmtId="43" showAll="0"/>
    <pivotField axis="axisRow" showAll="0">
      <items count="24">
        <item x="0"/>
        <item x="1"/>
        <item x="5"/>
        <item m="1" x="14"/>
        <item x="2"/>
        <item x="4"/>
        <item m="1" x="15"/>
        <item m="1" x="16"/>
        <item m="1" x="21"/>
        <item x="7"/>
        <item m="1" x="20"/>
        <item x="9"/>
        <item m="1" x="17"/>
        <item m="1" x="18"/>
        <item x="3"/>
        <item x="10"/>
        <item x="11"/>
        <item x="12"/>
        <item x="13"/>
        <item m="1" x="22"/>
        <item x="6"/>
        <item x="8"/>
        <item m="1" x="19"/>
        <item t="default"/>
      </items>
    </pivotField>
    <pivotField dataField="1" numFmtId="43" showAll="0"/>
  </pivotFields>
  <rowFields count="1">
    <field x="7"/>
  </rowFields>
  <rowItems count="15">
    <i>
      <x/>
    </i>
    <i>
      <x v="1"/>
    </i>
    <i>
      <x v="2"/>
    </i>
    <i>
      <x v="4"/>
    </i>
    <i>
      <x v="5"/>
    </i>
    <i>
      <x v="9"/>
    </i>
    <i>
      <x v="11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Items count="1">
    <i/>
  </colItems>
  <dataFields count="1">
    <dataField name="Sum of AMT" fld="8" baseField="0" baseItem="0" numFmtId="43"/>
  </dataFields>
  <formats count="6">
    <format dxfId="40">
      <pivotArea grandRow="1" outline="0" collapsedLevelsAreSubtotals="1" fieldPosition="0"/>
    </format>
    <format dxfId="39">
      <pivotArea outline="0" collapsedLevelsAreSubtotals="1" fieldPosition="0"/>
    </format>
    <format dxfId="38">
      <pivotArea type="all" dataOnly="0" outline="0" fieldPosition="0"/>
    </format>
    <format dxfId="37">
      <pivotArea type="all" dataOnly="0" outline="0" fieldPosition="0"/>
    </format>
    <format dxfId="36">
      <pivotArea type="all" dataOnly="0" outline="0" fieldPosition="0"/>
    </format>
    <format dxfId="35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A00-000000000000}" name="PivotTable2" cacheId="13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4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10">
        <item x="0"/>
        <item x="1"/>
        <item x="2"/>
        <item x="3"/>
        <item x="7"/>
        <item x="4"/>
        <item x="5"/>
        <item x="6"/>
        <item m="1" x="8"/>
        <item t="default"/>
      </items>
    </pivotField>
    <pivotField dataField="1" numFmtId="43" showAll="0"/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8" baseField="0" baseItem="0" numFmtId="43"/>
  </dataFields>
  <formats count="5">
    <format dxfId="34">
      <pivotArea outline="0" collapsedLevelsAreSubtotals="1" fieldPosition="0"/>
    </format>
    <format dxfId="33">
      <pivotArea type="all" dataOnly="0" outline="0" fieldPosition="0"/>
    </format>
    <format dxfId="32">
      <pivotArea type="all" dataOnly="0" outline="0" fieldPosition="0"/>
    </format>
    <format dxfId="31">
      <pivotArea type="all" dataOnly="0" outline="0" fieldPosition="0"/>
    </format>
    <format dxfId="3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B00-000000000000}" name="PivotTable1" cacheId="8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0" firstHeaderRow="1" firstDataRow="1" firstDataCol="1"/>
  <pivotFields count="9">
    <pivotField showAll="0" defaultSubtotal="0"/>
    <pivotField showAll="0"/>
    <pivotField numFmtId="43" showAll="0" defaultSubtotal="0"/>
    <pivotField showAll="0"/>
    <pivotField showAll="0"/>
    <pivotField showAll="0"/>
    <pivotField numFmtId="43" showAll="0"/>
    <pivotField axis="axisRow" showAll="0">
      <items count="25">
        <item x="0"/>
        <item x="1"/>
        <item x="5"/>
        <item m="1" x="15"/>
        <item x="2"/>
        <item x="4"/>
        <item m="1" x="16"/>
        <item m="1" x="17"/>
        <item m="1" x="22"/>
        <item x="7"/>
        <item m="1" x="21"/>
        <item x="9"/>
        <item m="1" x="18"/>
        <item m="1" x="19"/>
        <item x="3"/>
        <item x="10"/>
        <item x="11"/>
        <item x="12"/>
        <item x="13"/>
        <item m="1" x="14"/>
        <item m="1" x="23"/>
        <item x="6"/>
        <item x="8"/>
        <item m="1" x="20"/>
        <item t="default"/>
      </items>
    </pivotField>
    <pivotField dataField="1" numFmtId="43" showAll="0"/>
  </pivotFields>
  <rowFields count="1">
    <field x="7"/>
  </rowFields>
  <rowItems count="15">
    <i>
      <x/>
    </i>
    <i>
      <x v="1"/>
    </i>
    <i>
      <x v="2"/>
    </i>
    <i>
      <x v="4"/>
    </i>
    <i>
      <x v="5"/>
    </i>
    <i>
      <x v="9"/>
    </i>
    <i>
      <x v="11"/>
    </i>
    <i>
      <x v="14"/>
    </i>
    <i>
      <x v="15"/>
    </i>
    <i>
      <x v="16"/>
    </i>
    <i>
      <x v="17"/>
    </i>
    <i>
      <x v="18"/>
    </i>
    <i>
      <x v="21"/>
    </i>
    <i>
      <x v="22"/>
    </i>
    <i t="grand">
      <x/>
    </i>
  </rowItems>
  <colItems count="1">
    <i/>
  </colItems>
  <dataFields count="1">
    <dataField name="Sum of AMT" fld="8" baseField="0" baseItem="0" numFmtId="43"/>
  </dataFields>
  <formats count="6">
    <format dxfId="29">
      <pivotArea grandRow="1" outline="0" collapsedLevelsAreSubtotals="1" fieldPosition="0"/>
    </format>
    <format dxfId="28">
      <pivotArea outline="0" collapsedLevelsAreSubtotals="1" fieldPosition="0"/>
    </format>
    <format dxfId="27">
      <pivotArea type="all" dataOnly="0" outline="0" fieldPosition="0"/>
    </format>
    <format dxfId="26">
      <pivotArea type="all" dataOnly="0" outline="0" fieldPosition="0"/>
    </format>
    <format dxfId="25">
      <pivotArea type="all" dataOnly="0" outline="0" fieldPosition="0"/>
    </format>
    <format dxfId="24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C00-000000000000}" name="PivotTable2" cacheId="11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4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9">
        <item x="0"/>
        <item x="1"/>
        <item x="2"/>
        <item x="3"/>
        <item x="7"/>
        <item x="4"/>
        <item x="5"/>
        <item x="6"/>
        <item t="default"/>
      </items>
    </pivotField>
    <pivotField dataField="1" numFmtId="43" showAll="0"/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8" baseField="0" baseItem="0" numFmtId="43"/>
  </dataFields>
  <formats count="5">
    <format dxfId="23">
      <pivotArea outline="0" collapsedLevelsAreSubtotals="1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type="all" dataOnly="0" outline="0" fieldPosition="0"/>
    </format>
    <format dxfId="1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D00-000000000000}" name="PivotTable1" cacheId="7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0" firstHeaderRow="1" firstDataRow="1" firstDataCol="1"/>
  <pivotFields count="9">
    <pivotField showAll="0" defaultSubtotal="0"/>
    <pivotField showAll="0"/>
    <pivotField numFmtId="43" showAll="0" defaultSubtotal="0"/>
    <pivotField showAll="0"/>
    <pivotField showAll="0"/>
    <pivotField showAll="0"/>
    <pivotField numFmtId="43" showAll="0"/>
    <pivotField axis="axisRow" showAll="0">
      <items count="24">
        <item x="0"/>
        <item x="1"/>
        <item x="5"/>
        <item m="1" x="14"/>
        <item x="2"/>
        <item x="4"/>
        <item m="1" x="15"/>
        <item m="1" x="16"/>
        <item m="1" x="21"/>
        <item x="7"/>
        <item m="1" x="20"/>
        <item x="9"/>
        <item m="1" x="17"/>
        <item m="1" x="18"/>
        <item x="3"/>
        <item x="10"/>
        <item x="11"/>
        <item x="12"/>
        <item x="13"/>
        <item m="1" x="22"/>
        <item x="6"/>
        <item x="8"/>
        <item m="1" x="19"/>
        <item t="default"/>
      </items>
    </pivotField>
    <pivotField dataField="1" numFmtId="43" showAll="0"/>
  </pivotFields>
  <rowFields count="1">
    <field x="7"/>
  </rowFields>
  <rowItems count="15">
    <i>
      <x/>
    </i>
    <i>
      <x v="1"/>
    </i>
    <i>
      <x v="2"/>
    </i>
    <i>
      <x v="4"/>
    </i>
    <i>
      <x v="5"/>
    </i>
    <i>
      <x v="9"/>
    </i>
    <i>
      <x v="11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Items count="1">
    <i/>
  </colItems>
  <dataFields count="1">
    <dataField name="Sum of AMT" fld="8" baseField="0" baseItem="0" numFmtId="43"/>
  </dataFields>
  <formats count="6">
    <format dxfId="18">
      <pivotArea grandRow="1" outline="0" collapsedLevelsAreSubtotals="1" fieldPosition="0"/>
    </format>
    <format dxfId="17">
      <pivotArea outline="0" collapsedLevelsAreSubtotals="1" fieldPosition="0"/>
    </format>
    <format dxfId="16">
      <pivotArea type="all" dataOnly="0" outline="0" fieldPosition="0"/>
    </format>
    <format dxfId="15">
      <pivotArea type="all" dataOnly="0" outline="0" fieldPosition="0"/>
    </format>
    <format dxfId="14">
      <pivotArea type="all" dataOnly="0" outline="0" fieldPosition="0"/>
    </format>
    <format dxfId="1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E00-000000000000}" name="PivotTable2" cacheId="12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14" firstHeaderRow="1" firstDataRow="1" firstDataCol="1"/>
  <pivotFields count="9">
    <pivotField showAl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10">
        <item x="0"/>
        <item x="1"/>
        <item x="2"/>
        <item x="3"/>
        <item x="7"/>
        <item x="4"/>
        <item x="5"/>
        <item x="6"/>
        <item m="1" x="8"/>
        <item t="default"/>
      </items>
    </pivotField>
    <pivotField dataField="1" numFmtId="43" showAll="0"/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8" baseField="0" baseItem="0" numFmtId="43"/>
  </dataFields>
  <formats count="5">
    <format dxfId="12">
      <pivotArea outline="0" collapsedLevelsAreSubtotals="1" fieldPosition="0"/>
    </format>
    <format dxfId="11">
      <pivotArea type="all" dataOnly="0" outline="0" fieldPosition="0"/>
    </format>
    <format dxfId="10">
      <pivotArea type="all" dataOnly="0" outline="0" fieldPosition="0"/>
    </format>
    <format dxfId="9">
      <pivotArea type="all" dataOnly="0" outline="0" fieldPosition="0"/>
    </format>
    <format dxfId="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F00-000000000000}" name="PivotTable1" cacheId="6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0" firstHeaderRow="1" firstDataRow="1" firstDataCol="1"/>
  <pivotFields count="9">
    <pivotField showAll="0" defaultSubtotal="0"/>
    <pivotField showAll="0"/>
    <pivotField numFmtId="43" showAll="0" defaultSubtotal="0"/>
    <pivotField showAll="0"/>
    <pivotField showAll="0"/>
    <pivotField showAll="0"/>
    <pivotField numFmtId="43" showAll="0"/>
    <pivotField axis="axisRow" showAll="0">
      <items count="24">
        <item x="0"/>
        <item x="1"/>
        <item x="5"/>
        <item m="1" x="14"/>
        <item x="2"/>
        <item x="4"/>
        <item m="1" x="15"/>
        <item m="1" x="16"/>
        <item m="1" x="21"/>
        <item x="7"/>
        <item m="1" x="20"/>
        <item x="9"/>
        <item m="1" x="17"/>
        <item m="1" x="18"/>
        <item x="3"/>
        <item x="10"/>
        <item x="11"/>
        <item x="12"/>
        <item x="13"/>
        <item m="1" x="22"/>
        <item x="6"/>
        <item x="8"/>
        <item m="1" x="19"/>
        <item t="default"/>
      </items>
    </pivotField>
    <pivotField dataField="1" numFmtId="43" showAll="0"/>
  </pivotFields>
  <rowFields count="1">
    <field x="7"/>
  </rowFields>
  <rowItems count="15">
    <i>
      <x/>
    </i>
    <i>
      <x v="1"/>
    </i>
    <i>
      <x v="2"/>
    </i>
    <i>
      <x v="4"/>
    </i>
    <i>
      <x v="5"/>
    </i>
    <i>
      <x v="9"/>
    </i>
    <i>
      <x v="11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Items count="1">
    <i/>
  </colItems>
  <dataFields count="1">
    <dataField name="Sum of AMT" fld="8" baseField="0" baseItem="0" numFmtId="43"/>
  </dataFields>
  <formats count="8">
    <format dxfId="7">
      <pivotArea grandRow="1" outline="0" collapsedLevelsAreSubtotals="1" fieldPosition="0"/>
    </format>
    <format dxfId="6">
      <pivotArea outline="0" collapsedLevelsAreSubtotals="1" fieldPosition="0"/>
    </format>
    <format dxfId="5">
      <pivotArea type="all" dataOnly="0" outline="0" fieldPosition="0"/>
    </format>
    <format dxfId="4">
      <pivotArea type="all" dataOnly="0" outline="0" fieldPosition="0"/>
    </format>
    <format dxfId="3">
      <pivotArea type="all" dataOnly="0" outline="0" fieldPosition="0"/>
    </format>
    <format dxfId="2">
      <pivotArea type="all" dataOnly="0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PivotTable11" cacheId="2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L22:M34" firstHeaderRow="1" firstDataRow="1" firstDataCol="1"/>
  <pivotFields count="2">
    <pivotField axis="axisRow" showAll="0">
      <items count="12">
        <item x="2"/>
        <item x="4"/>
        <item x="7"/>
        <item x="5"/>
        <item x="8"/>
        <item x="6"/>
        <item x="9"/>
        <item x="0"/>
        <item x="3"/>
        <item x="1"/>
        <item x="10"/>
        <item t="default"/>
      </items>
    </pivotField>
    <pivotField dataField="1" numFmtId="41" showAll="0" defaultSubtota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SEPTEMBER '2018" fld="1" baseField="0" baseItem="0"/>
  </dataFields>
  <formats count="5">
    <format dxfId="191">
      <pivotArea outline="0" collapsedLevelsAreSubtotals="1" fieldPosition="0"/>
    </format>
    <format dxfId="190">
      <pivotArea field="0" type="button" dataOnly="0" labelOnly="1" outline="0" axis="axisRow" fieldPosition="0"/>
    </format>
    <format dxfId="189">
      <pivotArea dataOnly="0" labelOnly="1" outline="0" axis="axisValues" fieldPosition="0"/>
    </format>
    <format dxfId="188">
      <pivotArea grandRow="1" outline="0" collapsedLevelsAreSubtotals="1" fieldPosition="0"/>
    </format>
    <format dxfId="18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4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6" firstHeaderRow="1" firstDataRow="1" firstDataCol="1"/>
  <pivotFields count="9">
    <pivotField showAll="0" defaultSubtota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26">
        <item x="0"/>
        <item x="1"/>
        <item x="8"/>
        <item x="6"/>
        <item x="11"/>
        <item x="3"/>
        <item x="17"/>
        <item x="18"/>
        <item x="19"/>
        <item x="9"/>
        <item x="5"/>
        <item x="2"/>
        <item x="7"/>
        <item x="10"/>
        <item x="4"/>
        <item x="14"/>
        <item m="1" x="21"/>
        <item m="1" x="24"/>
        <item x="12"/>
        <item m="1" x="22"/>
        <item x="16"/>
        <item x="15"/>
        <item x="13"/>
        <item m="1" x="23"/>
        <item m="1" x="20"/>
        <item t="default"/>
      </items>
    </pivotField>
    <pivotField dataField="1" numFmtId="43" showAll="0"/>
  </pivotFields>
  <rowFields count="1">
    <field x="7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8"/>
    </i>
    <i>
      <x v="20"/>
    </i>
    <i>
      <x v="21"/>
    </i>
    <i>
      <x v="22"/>
    </i>
    <i t="grand">
      <x/>
    </i>
  </rowItems>
  <colItems count="1">
    <i/>
  </colItems>
  <dataFields count="1">
    <dataField name="Sum of AMT" fld="8" baseField="0" baseItem="0" numFmtId="43"/>
  </dataFields>
  <formats count="19">
    <format dxfId="178">
      <pivotArea grandRow="1" outline="0" collapsedLevelsAreSubtotals="1" fieldPosition="0"/>
    </format>
    <format dxfId="177">
      <pivotArea outline="0" collapsedLevelsAreSubtotals="1" fieldPosition="0"/>
    </format>
    <format dxfId="176">
      <pivotArea type="all" dataOnly="0" outline="0" fieldPosition="0"/>
    </format>
    <format dxfId="175">
      <pivotArea type="all" dataOnly="0" outline="0" fieldPosition="0"/>
    </format>
    <format dxfId="174">
      <pivotArea type="all" dataOnly="0" outline="0" fieldPosition="0"/>
    </format>
    <format dxfId="173">
      <pivotArea type="all" dataOnly="0" outline="0" fieldPosition="0"/>
    </format>
    <format dxfId="172">
      <pivotArea type="all" dataOnly="0" outline="0" fieldPosition="0"/>
    </format>
    <format dxfId="171">
      <pivotArea outline="0" collapsedLevelsAreSubtotals="1" fieldPosition="0"/>
    </format>
    <format dxfId="170">
      <pivotArea dataOnly="0" labelOnly="1" fieldPosition="0">
        <references count="1">
          <reference field="7" count="0"/>
        </references>
      </pivotArea>
    </format>
    <format dxfId="169">
      <pivotArea dataOnly="0" labelOnly="1" grandRow="1" outline="0" fieldPosition="0"/>
    </format>
    <format dxfId="168">
      <pivotArea outline="0" collapsedLevelsAreSubtotals="1" fieldPosition="0"/>
    </format>
    <format dxfId="167">
      <pivotArea dataOnly="0" labelOnly="1" fieldPosition="0">
        <references count="1">
          <reference field="7" count="0"/>
        </references>
      </pivotArea>
    </format>
    <format dxfId="166">
      <pivotArea dataOnly="0" labelOnly="1" grandRow="1" outline="0" fieldPosition="0"/>
    </format>
    <format dxfId="165">
      <pivotArea type="all" dataOnly="0" outline="0" fieldPosition="0"/>
    </format>
    <format dxfId="164">
      <pivotArea outline="0" collapsedLevelsAreSubtotals="1" fieldPosition="0"/>
    </format>
    <format dxfId="163">
      <pivotArea field="7" type="button" dataOnly="0" labelOnly="1" outline="0" axis="axisRow" fieldPosition="0"/>
    </format>
    <format dxfId="162">
      <pivotArea dataOnly="0" labelOnly="1" outline="0" axis="axisValues" fieldPosition="0"/>
    </format>
    <format dxfId="161">
      <pivotArea dataOnly="0" labelOnly="1" fieldPosition="0">
        <references count="1">
          <reference field="7" count="0"/>
        </references>
      </pivotArea>
    </format>
    <format dxfId="16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5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L5:M24" firstHeaderRow="1" firstDataRow="1" firstDataCol="1"/>
  <pivotFields count="9">
    <pivotField showAll="0" defaultSubtotal="0"/>
    <pivotField showAll="0"/>
    <pivotField showAll="0" defaultSubtotal="0"/>
    <pivotField showAll="0"/>
    <pivotField showAll="0"/>
    <pivotField showAll="0"/>
    <pivotField numFmtId="43" showAll="0"/>
    <pivotField axis="axisRow" showAll="0">
      <items count="19">
        <item x="0"/>
        <item x="1"/>
        <item x="7"/>
        <item x="5"/>
        <item x="10"/>
        <item x="3"/>
        <item x="14"/>
        <item x="15"/>
        <item x="17"/>
        <item x="8"/>
        <item x="4"/>
        <item x="2"/>
        <item x="6"/>
        <item x="9"/>
        <item x="11"/>
        <item x="12"/>
        <item x="13"/>
        <item x="16"/>
        <item t="default"/>
      </items>
    </pivotField>
    <pivotField dataField="1" numFmtId="43" showAll="0"/>
  </pivotFields>
  <rowFields count="1">
    <field x="7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AMT" fld="8" baseField="0" baseItem="0" numFmtId="43"/>
  </dataFields>
  <formats count="15">
    <format dxfId="159">
      <pivotArea grandRow="1" outline="0" collapsedLevelsAreSubtotals="1" fieldPosition="0"/>
    </format>
    <format dxfId="158">
      <pivotArea outline="0" collapsedLevelsAreSubtotals="1" fieldPosition="0"/>
    </format>
    <format dxfId="157">
      <pivotArea type="all" dataOnly="0" outline="0" fieldPosition="0"/>
    </format>
    <format dxfId="156">
      <pivotArea type="all" dataOnly="0" outline="0" fieldPosition="0"/>
    </format>
    <format dxfId="155">
      <pivotArea type="all" dataOnly="0" outline="0" fieldPosition="0"/>
    </format>
    <format dxfId="154">
      <pivotArea type="all" dataOnly="0" outline="0" fieldPosition="0"/>
    </format>
    <format dxfId="153">
      <pivotArea type="all" dataOnly="0" outline="0" fieldPosition="0"/>
    </format>
    <format dxfId="152">
      <pivotArea outline="0" collapsedLevelsAreSubtotals="1" fieldPosition="0"/>
    </format>
    <format dxfId="151">
      <pivotArea field="7" type="button" dataOnly="0" labelOnly="1" outline="0" axis="axisRow" fieldPosition="0"/>
    </format>
    <format dxfId="150">
      <pivotArea dataOnly="0" labelOnly="1" outline="0" axis="axisValues" fieldPosition="0"/>
    </format>
    <format dxfId="149">
      <pivotArea dataOnly="0" labelOnly="1" fieldPosition="0">
        <references count="1">
          <reference field="7" count="0"/>
        </references>
      </pivotArea>
    </format>
    <format dxfId="148">
      <pivotArea dataOnly="0" labelOnly="1" grandRow="1" outline="0" fieldPosition="0"/>
    </format>
    <format dxfId="147">
      <pivotArea outline="0" collapsedLevelsAreSubtotals="1" fieldPosition="0"/>
    </format>
    <format dxfId="146">
      <pivotArea dataOnly="0" labelOnly="1" fieldPosition="0">
        <references count="1">
          <reference field="7" count="0"/>
        </references>
      </pivotArea>
    </format>
    <format dxfId="14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3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14" firstHeaderRow="1" firstDataRow="1" firstDataCol="1"/>
  <pivotFields count="11">
    <pivotField showAll="0"/>
    <pivotField showAll="0" defaultSubtota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axis="axisRow" showAll="0">
      <items count="9">
        <item x="0"/>
        <item x="1"/>
        <item x="4"/>
        <item x="2"/>
        <item x="3"/>
        <item x="5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10" baseField="0" baseItem="0" numFmtId="166"/>
  </dataFields>
  <formats count="6">
    <format dxfId="144">
      <pivotArea outline="0" collapsedLevelsAreSubtotals="1" fieldPosition="0"/>
    </format>
    <format dxfId="143">
      <pivotArea dataOnly="0" labelOnly="1" outline="0" axis="axisValues" fieldPosition="0"/>
    </format>
    <format dxfId="142">
      <pivotArea type="all" dataOnly="0" outline="0" fieldPosition="0"/>
    </format>
    <format dxfId="141">
      <pivotArea type="all" dataOnly="0" outline="0" fieldPosition="0"/>
    </format>
    <format dxfId="140">
      <pivotArea type="all" dataOnly="0" outline="0" fieldPosition="0"/>
    </format>
    <format dxfId="13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PivotTable4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M5:N26" firstHeaderRow="1" firstDataRow="1" firstDataCol="1"/>
  <pivotFields count="11"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numFmtId="43" showAll="0"/>
    <pivotField axis="axisRow" showAll="0">
      <items count="21">
        <item x="0"/>
        <item x="1"/>
        <item x="5"/>
        <item x="2"/>
        <item x="6"/>
        <item x="9"/>
        <item x="7"/>
        <item x="14"/>
        <item x="13"/>
        <item x="10"/>
        <item x="18"/>
        <item x="17"/>
        <item x="19"/>
        <item x="16"/>
        <item x="8"/>
        <item x="15"/>
        <item x="4"/>
        <item x="3"/>
        <item x="11"/>
        <item x="12"/>
        <item t="default"/>
      </items>
    </pivotField>
    <pivotField dataField="1" numFmtId="43" showAll="0"/>
  </pivotFields>
  <rowFields count="1">
    <field x="9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AMT" fld="10" baseField="0" baseItem="0"/>
  </dataFields>
  <formats count="7">
    <format dxfId="138">
      <pivotArea type="all" dataOnly="0" outline="0" fieldPosition="0"/>
    </format>
    <format dxfId="137">
      <pivotArea type="all" dataOnly="0" outline="0" fieldPosition="0"/>
    </format>
    <format dxfId="136">
      <pivotArea type="all" dataOnly="0" outline="0" fieldPosition="0"/>
    </format>
    <format dxfId="135">
      <pivotArea type="all" dataOnly="0" outline="0" fieldPosition="0"/>
    </format>
    <format dxfId="134">
      <pivotArea type="all" dataOnly="0" outline="0" fieldPosition="0"/>
    </format>
    <format dxfId="133">
      <pivotArea collapsedLevelsAreSubtotals="1" fieldPosition="0">
        <references count="1">
          <reference field="9" count="0"/>
        </references>
      </pivotArea>
    </format>
    <format dxfId="13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3" cacheId="24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N5:O14" firstHeaderRow="1" firstDataRow="1" firstDataCol="1"/>
  <pivotFields count="11">
    <pivotField showAll="0"/>
    <pivotField showAll="0" defaultSubtota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axis="axisRow" showAll="0">
      <items count="9">
        <item x="0"/>
        <item x="1"/>
        <item x="4"/>
        <item x="2"/>
        <item x="3"/>
        <item x="5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AMT" fld="10" baseField="0" baseItem="0" numFmtId="166"/>
  </dataFields>
  <formats count="6">
    <format dxfId="131">
      <pivotArea outline="0" collapsedLevelsAreSubtotals="1" fieldPosition="0"/>
    </format>
    <format dxfId="130">
      <pivotArea dataOnly="0" labelOnly="1" outline="0" axis="axisValues" fieldPosition="0"/>
    </format>
    <format dxfId="129">
      <pivotArea type="all" dataOnly="0" outline="0" fieldPosition="0"/>
    </format>
    <format dxfId="128">
      <pivotArea type="all" dataOnly="0" outline="0" fieldPosition="0"/>
    </format>
    <format dxfId="127">
      <pivotArea type="all" dataOnly="0" outline="0" fieldPosition="0"/>
    </format>
    <format dxfId="126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4" cacheId="25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M5:N26" firstHeaderRow="1" firstDataRow="1" firstDataCol="1"/>
  <pivotFields count="11"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numFmtId="43" showAll="0"/>
    <pivotField axis="axisRow" showAll="0">
      <items count="21">
        <item x="0"/>
        <item x="1"/>
        <item x="5"/>
        <item x="2"/>
        <item x="6"/>
        <item x="9"/>
        <item x="7"/>
        <item x="14"/>
        <item x="13"/>
        <item x="10"/>
        <item x="18"/>
        <item x="17"/>
        <item x="19"/>
        <item x="16"/>
        <item x="8"/>
        <item x="15"/>
        <item x="4"/>
        <item x="3"/>
        <item x="11"/>
        <item x="12"/>
        <item t="default"/>
      </items>
    </pivotField>
    <pivotField dataField="1" numFmtId="43" showAll="0"/>
  </pivotFields>
  <rowFields count="1">
    <field x="9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AMT" fld="10" baseField="0" baseItem="0"/>
  </dataFields>
  <formats count="7">
    <format dxfId="125">
      <pivotArea type="all" dataOnly="0" outline="0" fieldPosition="0"/>
    </format>
    <format dxfId="124">
      <pivotArea type="all" dataOnly="0" outline="0" fieldPosition="0"/>
    </format>
    <format dxfId="123">
      <pivotArea type="all" dataOnly="0" outline="0" fieldPosition="0"/>
    </format>
    <format dxfId="122">
      <pivotArea type="all" dataOnly="0" outline="0" fieldPosition="0"/>
    </format>
    <format dxfId="121">
      <pivotArea type="all" dataOnly="0" outline="0" fieldPosition="0"/>
    </format>
    <format dxfId="120">
      <pivotArea collapsedLevelsAreSubtotals="1" fieldPosition="0">
        <references count="1">
          <reference field="9" count="0"/>
        </references>
      </pivotArea>
    </format>
    <format dxfId="119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Relationship Id="rId4" Type="http://schemas.openxmlformats.org/officeDocument/2006/relationships/comments" Target="../comments1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Relationship Id="rId4" Type="http://schemas.openxmlformats.org/officeDocument/2006/relationships/comments" Target="../comments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Relationship Id="rId4" Type="http://schemas.openxmlformats.org/officeDocument/2006/relationships/comments" Target="../comments1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Relationship Id="rId4" Type="http://schemas.openxmlformats.org/officeDocument/2006/relationships/comments" Target="../comments14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Relationship Id="rId4" Type="http://schemas.openxmlformats.org/officeDocument/2006/relationships/comments" Target="../comments15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6.xml"/><Relationship Id="rId4" Type="http://schemas.openxmlformats.org/officeDocument/2006/relationships/comments" Target="../comments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printerSettings" Target="../printerSettings/printerSettings17.bin"/><Relationship Id="rId1" Type="http://schemas.openxmlformats.org/officeDocument/2006/relationships/pivotTable" Target="../pivotTables/pivotTable17.xml"/><Relationship Id="rId4" Type="http://schemas.openxmlformats.org/officeDocument/2006/relationships/comments" Target="../comments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ivotTable" Target="../pivotTables/pivotTable18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ivotTable" Target="../pivotTables/pivotTable19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printerSettings" Target="../printerSettings/printerSettings20.bin"/><Relationship Id="rId1" Type="http://schemas.openxmlformats.org/officeDocument/2006/relationships/pivotTable" Target="../pivotTables/pivotTable20.xml"/><Relationship Id="rId4" Type="http://schemas.openxmlformats.org/officeDocument/2006/relationships/comments" Target="../comments18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pivotTable" Target="../pivotTables/pivotTable21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ivotTable" Target="../pivotTables/pivotTable22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ivotTable" Target="../pivotTables/pivotTable23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ivotTable" Target="../pivotTables/pivotTable24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pivotTable" Target="../pivotTables/pivotTable25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ivotTable" Target="../pivotTables/pivotTable2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pivotTable" Target="../pivotTables/pivotTable27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ivotTable" Target="../pivotTables/pivotTable28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pivotTable" Target="../pivotTables/pivotTable2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27"/>
  <sheetViews>
    <sheetView workbookViewId="0">
      <selection activeCell="C18" sqref="C18"/>
    </sheetView>
  </sheetViews>
  <sheetFormatPr defaultColWidth="8.703125" defaultRowHeight="14.35" x14ac:dyDescent="0.5"/>
  <cols>
    <col min="1" max="1" width="27.29296875" style="404" bestFit="1" customWidth="1"/>
    <col min="2" max="3" width="9.46875" style="404" bestFit="1" customWidth="1"/>
    <col min="4" max="12" width="8.703125" style="404"/>
    <col min="13" max="16384" width="8.703125" style="400"/>
  </cols>
  <sheetData>
    <row r="4" spans="1:4" x14ac:dyDescent="0.5">
      <c r="B4" s="406" t="s">
        <v>1606</v>
      </c>
      <c r="C4" s="406" t="s">
        <v>1607</v>
      </c>
    </row>
    <row r="5" spans="1:4" x14ac:dyDescent="0.5">
      <c r="A5" s="405" t="s">
        <v>1599</v>
      </c>
      <c r="B5" s="406">
        <v>2020</v>
      </c>
      <c r="C5" s="407">
        <v>44286</v>
      </c>
    </row>
    <row r="6" spans="1:4" x14ac:dyDescent="0.5">
      <c r="A6" s="404" t="s">
        <v>142</v>
      </c>
      <c r="B6" s="408">
        <v>-582690</v>
      </c>
      <c r="C6" s="408">
        <v>447558</v>
      </c>
      <c r="D6" s="408"/>
    </row>
    <row r="7" spans="1:4" x14ac:dyDescent="0.5">
      <c r="A7" s="404" t="s">
        <v>1600</v>
      </c>
      <c r="B7" s="408"/>
      <c r="C7" s="408"/>
      <c r="D7" s="408"/>
    </row>
    <row r="8" spans="1:4" x14ac:dyDescent="0.5">
      <c r="A8" s="404" t="s">
        <v>1144</v>
      </c>
      <c r="B8" s="408">
        <v>1047330</v>
      </c>
      <c r="C8" s="408">
        <f>B8+Overview!L26-Overview!H26</f>
        <v>1053277</v>
      </c>
      <c r="D8" s="408"/>
    </row>
    <row r="9" spans="1:4" x14ac:dyDescent="0.5">
      <c r="A9" s="404" t="s">
        <v>1601</v>
      </c>
      <c r="B9" s="408">
        <v>-391657</v>
      </c>
      <c r="C9" s="408">
        <v>-83155</v>
      </c>
      <c r="D9" s="408"/>
    </row>
    <row r="10" spans="1:4" x14ac:dyDescent="0.5">
      <c r="A10" s="404" t="s">
        <v>1439</v>
      </c>
      <c r="B10" s="408">
        <v>1310018</v>
      </c>
      <c r="C10" s="408">
        <f>-29816.52+81666.36+821118.35</f>
        <v>872968</v>
      </c>
      <c r="D10" s="408"/>
    </row>
    <row r="11" spans="1:4" x14ac:dyDescent="0.5">
      <c r="A11" s="404" t="s">
        <v>1592</v>
      </c>
      <c r="B11" s="408">
        <v>25660</v>
      </c>
      <c r="C11" s="408">
        <v>23800</v>
      </c>
      <c r="D11" s="408"/>
    </row>
    <row r="12" spans="1:4" x14ac:dyDescent="0.5">
      <c r="A12" s="404" t="s">
        <v>1594</v>
      </c>
      <c r="B12" s="408">
        <v>-218442</v>
      </c>
      <c r="C12" s="408">
        <v>-218442</v>
      </c>
      <c r="D12" s="408"/>
    </row>
    <row r="13" spans="1:4" x14ac:dyDescent="0.5">
      <c r="A13" s="404" t="s">
        <v>1602</v>
      </c>
      <c r="B13" s="408">
        <v>90925</v>
      </c>
      <c r="C13" s="408">
        <v>103259</v>
      </c>
      <c r="D13" s="408"/>
    </row>
    <row r="14" spans="1:4" x14ac:dyDescent="0.5">
      <c r="B14" s="409">
        <f>SUM(B6:B13)</f>
        <v>1281144</v>
      </c>
      <c r="C14" s="409">
        <f>SUM(C6:C13)</f>
        <v>2199265</v>
      </c>
      <c r="D14" s="408"/>
    </row>
    <row r="15" spans="1:4" x14ac:dyDescent="0.5">
      <c r="A15" s="405" t="s">
        <v>1603</v>
      </c>
      <c r="B15" s="408"/>
      <c r="C15" s="408"/>
      <c r="D15" s="408"/>
    </row>
    <row r="16" spans="1:4" x14ac:dyDescent="0.5">
      <c r="A16" s="404" t="s">
        <v>1604</v>
      </c>
      <c r="B16" s="408">
        <v>911625</v>
      </c>
      <c r="C16" s="408">
        <f>Overview!H74</f>
        <v>1026552</v>
      </c>
      <c r="D16" s="408"/>
    </row>
    <row r="17" spans="1:4" x14ac:dyDescent="0.5">
      <c r="A17" s="404" t="s">
        <v>1449</v>
      </c>
      <c r="B17" s="408">
        <v>907534</v>
      </c>
      <c r="C17" s="408">
        <f>B17-Overview!L146+Overview!H146</f>
        <v>849004</v>
      </c>
      <c r="D17" s="408"/>
    </row>
    <row r="18" spans="1:4" x14ac:dyDescent="0.5">
      <c r="A18" s="404" t="s">
        <v>1605</v>
      </c>
      <c r="B18" s="408">
        <v>800</v>
      </c>
      <c r="C18" s="408">
        <v>800</v>
      </c>
      <c r="D18" s="408"/>
    </row>
    <row r="19" spans="1:4" x14ac:dyDescent="0.5">
      <c r="B19" s="409">
        <f>SUM(B16:B18)</f>
        <v>1819959</v>
      </c>
      <c r="C19" s="409">
        <f>SUM(C16:C18)</f>
        <v>1876356</v>
      </c>
      <c r="D19" s="408"/>
    </row>
    <row r="20" spans="1:4" x14ac:dyDescent="0.5">
      <c r="B20" s="408"/>
      <c r="C20" s="408"/>
      <c r="D20" s="408"/>
    </row>
    <row r="21" spans="1:4" x14ac:dyDescent="0.5">
      <c r="A21" s="404" t="s">
        <v>1608</v>
      </c>
      <c r="B21" s="410">
        <f>B14/B19</f>
        <v>0.7</v>
      </c>
      <c r="C21" s="410">
        <f>C14/C19</f>
        <v>1.17</v>
      </c>
      <c r="D21" s="408"/>
    </row>
    <row r="22" spans="1:4" x14ac:dyDescent="0.5">
      <c r="B22" s="408"/>
      <c r="C22" s="408"/>
      <c r="D22" s="408"/>
    </row>
    <row r="23" spans="1:4" x14ac:dyDescent="0.5">
      <c r="A23" s="404" t="s">
        <v>1609</v>
      </c>
      <c r="B23" s="410">
        <v>1</v>
      </c>
      <c r="C23" s="410">
        <v>1</v>
      </c>
      <c r="D23" s="408"/>
    </row>
    <row r="24" spans="1:4" x14ac:dyDescent="0.5">
      <c r="B24" s="408"/>
      <c r="C24" s="408"/>
      <c r="D24" s="408"/>
    </row>
    <row r="25" spans="1:4" x14ac:dyDescent="0.5">
      <c r="B25" s="408"/>
      <c r="C25" s="408"/>
      <c r="D25" s="408"/>
    </row>
    <row r="26" spans="1:4" x14ac:dyDescent="0.5">
      <c r="B26" s="408"/>
      <c r="C26" s="408"/>
      <c r="D26" s="408"/>
    </row>
    <row r="27" spans="1:4" x14ac:dyDescent="0.5">
      <c r="B27" s="408"/>
      <c r="C27" s="408"/>
      <c r="D27" s="408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98"/>
  <sheetViews>
    <sheetView workbookViewId="0">
      <pane ySplit="5" topLeftCell="A138" activePane="bottomLeft" state="frozen"/>
      <selection pane="bottomLeft"/>
    </sheetView>
  </sheetViews>
  <sheetFormatPr defaultColWidth="9.05859375" defaultRowHeight="12.7" outlineLevelCol="1" x14ac:dyDescent="0.4"/>
  <cols>
    <col min="1" max="1" width="11.05859375" style="76" customWidth="1"/>
    <col min="2" max="2" width="30" style="76" bestFit="1" customWidth="1"/>
    <col min="3" max="3" width="13.52734375" style="78" hidden="1" customWidth="1" outlineLevel="1"/>
    <col min="4" max="4" width="13.52734375" style="89" hidden="1" customWidth="1" outlineLevel="1"/>
    <col min="5" max="5" width="13.05859375" style="78" hidden="1" customWidth="1" outlineLevel="1"/>
    <col min="6" max="6" width="11" style="78" hidden="1" customWidth="1" outlineLevel="1"/>
    <col min="7" max="7" width="13.52734375" style="78" hidden="1" customWidth="1" outlineLevel="1"/>
    <col min="8" max="8" width="13.05859375" style="78" hidden="1" customWidth="1" outlineLevel="1"/>
    <col min="9" max="9" width="14.87890625" style="79" hidden="1" customWidth="1" outlineLevel="1"/>
    <col min="10" max="10" width="20.64453125" style="78" hidden="1" customWidth="1" outlineLevel="1"/>
    <col min="11" max="11" width="13.52734375" style="79" customWidth="1" collapsed="1"/>
    <col min="12" max="12" width="9.05859375" style="78" customWidth="1"/>
    <col min="13" max="13" width="17.8203125" style="76" customWidth="1"/>
    <col min="14" max="14" width="10.703125" style="76" customWidth="1"/>
    <col min="15" max="16384" width="9.05859375" style="76"/>
  </cols>
  <sheetData>
    <row r="1" spans="1:14" x14ac:dyDescent="0.4">
      <c r="A1" s="75" t="s">
        <v>0</v>
      </c>
    </row>
    <row r="2" spans="1:14" x14ac:dyDescent="0.4">
      <c r="A2" s="75" t="s">
        <v>482</v>
      </c>
    </row>
    <row r="3" spans="1:14" x14ac:dyDescent="0.4">
      <c r="A3" s="3">
        <v>43465</v>
      </c>
      <c r="F3" s="14" t="s">
        <v>261</v>
      </c>
      <c r="G3" s="14"/>
      <c r="H3" s="14"/>
      <c r="I3" s="19"/>
      <c r="J3" s="15"/>
    </row>
    <row r="4" spans="1:14" x14ac:dyDescent="0.4">
      <c r="B4" s="5" t="s">
        <v>261</v>
      </c>
    </row>
    <row r="5" spans="1:14" x14ac:dyDescent="0.4">
      <c r="A5" s="76" t="s">
        <v>484</v>
      </c>
      <c r="B5" s="68" t="s">
        <v>279</v>
      </c>
      <c r="C5" s="15" t="s">
        <v>0</v>
      </c>
      <c r="D5" s="118" t="s">
        <v>2</v>
      </c>
      <c r="E5" s="15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8" t="s">
        <v>280</v>
      </c>
      <c r="K5" s="19" t="s">
        <v>281</v>
      </c>
      <c r="M5" s="416" t="s">
        <v>282</v>
      </c>
      <c r="N5" s="416" t="s">
        <v>284</v>
      </c>
    </row>
    <row r="6" spans="1:14" ht="14.35" x14ac:dyDescent="0.5">
      <c r="A6" s="68" t="s">
        <v>305</v>
      </c>
      <c r="B6" s="68" t="s">
        <v>5</v>
      </c>
      <c r="C6" s="82"/>
      <c r="D6" s="81"/>
      <c r="E6" s="80"/>
      <c r="I6" s="79">
        <f>SUM(C6:H6)</f>
        <v>0</v>
      </c>
      <c r="J6" s="78" t="s">
        <v>264</v>
      </c>
      <c r="K6" s="79">
        <f>I6</f>
        <v>0</v>
      </c>
      <c r="M6" s="417" t="s">
        <v>264</v>
      </c>
      <c r="N6" s="418">
        <v>0</v>
      </c>
    </row>
    <row r="7" spans="1:14" ht="14.35" x14ac:dyDescent="0.5">
      <c r="A7" s="100" t="s">
        <v>876</v>
      </c>
      <c r="B7" s="100" t="s">
        <v>877</v>
      </c>
      <c r="C7" s="82"/>
      <c r="D7" s="81"/>
      <c r="E7" s="80"/>
      <c r="I7" s="79">
        <f>SUM(C7:H7)</f>
        <v>0</v>
      </c>
      <c r="J7" s="78" t="s">
        <v>264</v>
      </c>
      <c r="K7" s="79">
        <f>I7</f>
        <v>0</v>
      </c>
      <c r="M7" s="417" t="s">
        <v>265</v>
      </c>
      <c r="N7" s="418">
        <v>0</v>
      </c>
    </row>
    <row r="8" spans="1:14" ht="14.35" x14ac:dyDescent="0.5">
      <c r="A8" s="68" t="s">
        <v>306</v>
      </c>
      <c r="B8" s="68" t="s">
        <v>6</v>
      </c>
      <c r="C8" s="82"/>
      <c r="D8" s="81"/>
      <c r="E8" s="80"/>
      <c r="I8" s="79">
        <f t="shared" ref="I8:I79" si="0">SUM(C8:H8)</f>
        <v>0</v>
      </c>
      <c r="J8" s="78" t="s">
        <v>264</v>
      </c>
      <c r="K8" s="79">
        <f t="shared" ref="K8:K79" si="1">I8</f>
        <v>0</v>
      </c>
      <c r="M8" s="417" t="s">
        <v>268</v>
      </c>
      <c r="N8" s="418">
        <v>0</v>
      </c>
    </row>
    <row r="9" spans="1:14" ht="14.35" x14ac:dyDescent="0.5">
      <c r="A9" s="68" t="s">
        <v>668</v>
      </c>
      <c r="B9" s="68" t="s">
        <v>250</v>
      </c>
      <c r="C9" s="82"/>
      <c r="D9" s="81"/>
      <c r="E9" s="80"/>
      <c r="I9" s="79">
        <f t="shared" si="0"/>
        <v>0</v>
      </c>
      <c r="J9" s="78" t="s">
        <v>264</v>
      </c>
      <c r="K9" s="79">
        <f t="shared" si="1"/>
        <v>0</v>
      </c>
      <c r="M9" s="417" t="s">
        <v>271</v>
      </c>
      <c r="N9" s="418">
        <v>0</v>
      </c>
    </row>
    <row r="10" spans="1:14" ht="14.35" x14ac:dyDescent="0.5">
      <c r="A10" s="100" t="s">
        <v>786</v>
      </c>
      <c r="B10" s="100" t="s">
        <v>787</v>
      </c>
      <c r="C10" s="82"/>
      <c r="D10" s="81"/>
      <c r="E10" s="80"/>
      <c r="I10" s="79">
        <f t="shared" si="0"/>
        <v>0</v>
      </c>
      <c r="J10" s="78" t="s">
        <v>264</v>
      </c>
      <c r="K10" s="79">
        <f t="shared" si="1"/>
        <v>0</v>
      </c>
      <c r="M10" s="417" t="s">
        <v>266</v>
      </c>
      <c r="N10" s="418">
        <v>0</v>
      </c>
    </row>
    <row r="11" spans="1:14" ht="14.35" x14ac:dyDescent="0.5">
      <c r="A11" s="68" t="s">
        <v>307</v>
      </c>
      <c r="B11" s="68" t="s">
        <v>7</v>
      </c>
      <c r="C11" s="82"/>
      <c r="D11" s="81"/>
      <c r="E11" s="80"/>
      <c r="I11" s="79">
        <f t="shared" si="0"/>
        <v>0</v>
      </c>
      <c r="J11" s="78" t="s">
        <v>264</v>
      </c>
      <c r="K11" s="79">
        <f t="shared" si="1"/>
        <v>0</v>
      </c>
      <c r="M11" s="417" t="s">
        <v>270</v>
      </c>
      <c r="N11" s="418">
        <v>0</v>
      </c>
    </row>
    <row r="12" spans="1:14" ht="14.35" x14ac:dyDescent="0.5">
      <c r="A12" s="69"/>
      <c r="B12" s="68" t="s">
        <v>781</v>
      </c>
      <c r="C12" s="82"/>
      <c r="E12" s="80"/>
      <c r="I12" s="79">
        <f t="shared" si="0"/>
        <v>0</v>
      </c>
      <c r="J12" s="78" t="s">
        <v>264</v>
      </c>
      <c r="K12" s="79">
        <f t="shared" si="1"/>
        <v>0</v>
      </c>
      <c r="M12" s="417" t="s">
        <v>269</v>
      </c>
      <c r="N12" s="418">
        <v>0</v>
      </c>
    </row>
    <row r="13" spans="1:14" ht="14.35" x14ac:dyDescent="0.5">
      <c r="A13" s="68" t="s">
        <v>669</v>
      </c>
      <c r="B13" s="100" t="s">
        <v>670</v>
      </c>
      <c r="C13" s="82"/>
      <c r="D13" s="81"/>
      <c r="E13" s="80"/>
      <c r="I13" s="79">
        <f t="shared" si="0"/>
        <v>0</v>
      </c>
      <c r="J13" s="78" t="s">
        <v>264</v>
      </c>
      <c r="K13" s="79">
        <f t="shared" si="1"/>
        <v>0</v>
      </c>
      <c r="M13" s="417" t="s">
        <v>272</v>
      </c>
      <c r="N13" s="418">
        <v>0</v>
      </c>
    </row>
    <row r="14" spans="1:14" ht="14.35" x14ac:dyDescent="0.5">
      <c r="A14" s="68" t="s">
        <v>308</v>
      </c>
      <c r="B14" s="100" t="s">
        <v>671</v>
      </c>
      <c r="C14" s="82"/>
      <c r="D14" s="81"/>
      <c r="E14" s="80"/>
      <c r="I14" s="79">
        <f t="shared" si="0"/>
        <v>0</v>
      </c>
      <c r="J14" s="78" t="s">
        <v>264</v>
      </c>
      <c r="K14" s="79">
        <f t="shared" si="1"/>
        <v>0</v>
      </c>
      <c r="M14" s="417" t="s">
        <v>273</v>
      </c>
      <c r="N14" s="418">
        <v>0</v>
      </c>
    </row>
    <row r="15" spans="1:14" ht="14.35" x14ac:dyDescent="0.5">
      <c r="A15" s="68" t="s">
        <v>683</v>
      </c>
      <c r="B15" s="100" t="s">
        <v>682</v>
      </c>
      <c r="C15" s="82"/>
      <c r="D15" s="81"/>
      <c r="E15" s="80"/>
      <c r="I15" s="79">
        <f t="shared" si="0"/>
        <v>0</v>
      </c>
      <c r="J15" s="78" t="s">
        <v>264</v>
      </c>
      <c r="K15" s="79">
        <f t="shared" si="1"/>
        <v>0</v>
      </c>
      <c r="M15" s="417" t="s">
        <v>274</v>
      </c>
      <c r="N15" s="418">
        <v>0</v>
      </c>
    </row>
    <row r="16" spans="1:14" ht="14.35" x14ac:dyDescent="0.5">
      <c r="A16" s="68" t="s">
        <v>309</v>
      </c>
      <c r="B16" s="100" t="s">
        <v>672</v>
      </c>
      <c r="C16" s="82"/>
      <c r="D16" s="81"/>
      <c r="E16" s="80"/>
      <c r="I16" s="79">
        <f t="shared" si="0"/>
        <v>0</v>
      </c>
      <c r="J16" s="78" t="s">
        <v>264</v>
      </c>
      <c r="K16" s="79">
        <f t="shared" si="1"/>
        <v>0</v>
      </c>
      <c r="M16" s="417" t="s">
        <v>275</v>
      </c>
      <c r="N16" s="418">
        <v>0</v>
      </c>
    </row>
    <row r="17" spans="1:14" ht="14.35" x14ac:dyDescent="0.5">
      <c r="A17" s="68" t="s">
        <v>310</v>
      </c>
      <c r="B17" s="100" t="s">
        <v>673</v>
      </c>
      <c r="C17" s="82"/>
      <c r="E17" s="80"/>
      <c r="I17" s="79">
        <f t="shared" si="0"/>
        <v>0</v>
      </c>
      <c r="J17" s="78" t="s">
        <v>264</v>
      </c>
      <c r="K17" s="79">
        <f t="shared" si="1"/>
        <v>0</v>
      </c>
      <c r="M17" s="417" t="s">
        <v>276</v>
      </c>
      <c r="N17" s="418">
        <v>0</v>
      </c>
    </row>
    <row r="18" spans="1:14" ht="14.35" x14ac:dyDescent="0.5">
      <c r="A18" s="68" t="s">
        <v>684</v>
      </c>
      <c r="B18" s="100" t="s">
        <v>685</v>
      </c>
      <c r="C18" s="82"/>
      <c r="D18" s="81"/>
      <c r="E18" s="80"/>
      <c r="I18" s="79">
        <f t="shared" si="0"/>
        <v>0</v>
      </c>
      <c r="J18" s="78" t="s">
        <v>264</v>
      </c>
      <c r="K18" s="79">
        <f t="shared" si="1"/>
        <v>0</v>
      </c>
      <c r="M18" s="417" t="s">
        <v>277</v>
      </c>
      <c r="N18" s="418">
        <v>0</v>
      </c>
    </row>
    <row r="19" spans="1:14" ht="14.35" x14ac:dyDescent="0.5">
      <c r="A19" s="68" t="s">
        <v>311</v>
      </c>
      <c r="B19" s="68" t="s">
        <v>8</v>
      </c>
      <c r="C19" s="82"/>
      <c r="D19" s="81"/>
      <c r="E19" s="80"/>
      <c r="I19" s="79">
        <f t="shared" si="0"/>
        <v>0</v>
      </c>
      <c r="J19" s="78" t="s">
        <v>265</v>
      </c>
      <c r="K19" s="79">
        <f t="shared" si="1"/>
        <v>0</v>
      </c>
      <c r="M19" s="417" t="s">
        <v>278</v>
      </c>
      <c r="N19" s="418">
        <v>0</v>
      </c>
    </row>
    <row r="20" spans="1:14" ht="14.35" x14ac:dyDescent="0.5">
      <c r="A20" s="68" t="s">
        <v>312</v>
      </c>
      <c r="B20" s="68" t="s">
        <v>9</v>
      </c>
      <c r="C20" s="82"/>
      <c r="D20" s="81"/>
      <c r="E20" s="80"/>
      <c r="I20" s="79">
        <f t="shared" si="0"/>
        <v>0</v>
      </c>
      <c r="J20" s="78" t="s">
        <v>265</v>
      </c>
      <c r="K20" s="79">
        <f t="shared" si="1"/>
        <v>0</v>
      </c>
      <c r="M20" s="417" t="s">
        <v>267</v>
      </c>
      <c r="N20" s="418">
        <v>0</v>
      </c>
    </row>
    <row r="21" spans="1:14" ht="14.35" x14ac:dyDescent="0.5">
      <c r="A21" s="68" t="s">
        <v>313</v>
      </c>
      <c r="B21" s="68" t="s">
        <v>10</v>
      </c>
      <c r="C21" s="82"/>
      <c r="D21" s="81"/>
      <c r="E21" s="80"/>
      <c r="I21" s="79">
        <f t="shared" si="0"/>
        <v>0</v>
      </c>
      <c r="J21" s="78" t="s">
        <v>265</v>
      </c>
      <c r="K21" s="79">
        <f t="shared" si="1"/>
        <v>0</v>
      </c>
      <c r="M21" s="417" t="s">
        <v>861</v>
      </c>
      <c r="N21" s="418">
        <v>0</v>
      </c>
    </row>
    <row r="22" spans="1:14" ht="14.35" x14ac:dyDescent="0.5">
      <c r="A22" s="68" t="s">
        <v>314</v>
      </c>
      <c r="B22" s="68" t="s">
        <v>11</v>
      </c>
      <c r="C22" s="82"/>
      <c r="D22" s="81"/>
      <c r="E22" s="80"/>
      <c r="I22" s="79">
        <f t="shared" si="0"/>
        <v>0</v>
      </c>
      <c r="J22" s="78" t="s">
        <v>265</v>
      </c>
      <c r="K22" s="79">
        <f t="shared" si="1"/>
        <v>0</v>
      </c>
      <c r="M22" s="417" t="s">
        <v>650</v>
      </c>
      <c r="N22" s="418">
        <v>0</v>
      </c>
    </row>
    <row r="23" spans="1:14" ht="14.35" x14ac:dyDescent="0.5">
      <c r="A23" s="68" t="s">
        <v>315</v>
      </c>
      <c r="B23" s="68" t="s">
        <v>12</v>
      </c>
      <c r="C23" s="82"/>
      <c r="D23" s="81"/>
      <c r="E23" s="80"/>
      <c r="I23" s="79">
        <f t="shared" si="0"/>
        <v>0</v>
      </c>
      <c r="J23" s="78" t="s">
        <v>265</v>
      </c>
      <c r="K23" s="79">
        <f t="shared" si="1"/>
        <v>0</v>
      </c>
      <c r="M23" s="417" t="s">
        <v>858</v>
      </c>
      <c r="N23" s="418">
        <v>0</v>
      </c>
    </row>
    <row r="24" spans="1:14" ht="14.35" x14ac:dyDescent="0.5">
      <c r="A24" s="100" t="s">
        <v>696</v>
      </c>
      <c r="B24" s="100" t="s">
        <v>697</v>
      </c>
      <c r="C24" s="82"/>
      <c r="D24" s="81"/>
      <c r="E24" s="80"/>
      <c r="I24" s="79">
        <f t="shared" si="0"/>
        <v>0</v>
      </c>
      <c r="J24" s="78" t="s">
        <v>265</v>
      </c>
      <c r="K24" s="79">
        <f t="shared" si="1"/>
        <v>0</v>
      </c>
      <c r="M24" s="417" t="s">
        <v>859</v>
      </c>
      <c r="N24" s="418">
        <v>0</v>
      </c>
    </row>
    <row r="25" spans="1:14" ht="14.35" x14ac:dyDescent="0.5">
      <c r="A25" s="68" t="s">
        <v>316</v>
      </c>
      <c r="B25" s="68" t="s">
        <v>13</v>
      </c>
      <c r="C25" s="82"/>
      <c r="E25" s="80"/>
      <c r="I25" s="79">
        <f t="shared" si="0"/>
        <v>0</v>
      </c>
      <c r="J25" s="78" t="s">
        <v>265</v>
      </c>
      <c r="K25" s="79">
        <f t="shared" si="1"/>
        <v>0</v>
      </c>
      <c r="M25" s="417" t="s">
        <v>860</v>
      </c>
      <c r="N25" s="418">
        <v>0</v>
      </c>
    </row>
    <row r="26" spans="1:14" ht="14.35" x14ac:dyDescent="0.5">
      <c r="A26" s="68" t="s">
        <v>317</v>
      </c>
      <c r="B26" s="68" t="s">
        <v>14</v>
      </c>
      <c r="C26" s="82"/>
      <c r="D26" s="81"/>
      <c r="E26" s="80"/>
      <c r="I26" s="79">
        <f t="shared" si="0"/>
        <v>0</v>
      </c>
      <c r="J26" s="78" t="s">
        <v>265</v>
      </c>
      <c r="K26" s="79">
        <f t="shared" si="1"/>
        <v>0</v>
      </c>
      <c r="M26" s="417" t="s">
        <v>283</v>
      </c>
      <c r="N26" s="418">
        <v>0</v>
      </c>
    </row>
    <row r="27" spans="1:14" ht="14.35" x14ac:dyDescent="0.5">
      <c r="A27" s="68" t="s">
        <v>318</v>
      </c>
      <c r="B27" s="68" t="s">
        <v>15</v>
      </c>
      <c r="C27" s="82"/>
      <c r="D27" s="81"/>
      <c r="E27" s="80"/>
      <c r="I27" s="79">
        <f t="shared" si="0"/>
        <v>0</v>
      </c>
      <c r="J27" s="78" t="s">
        <v>271</v>
      </c>
      <c r="K27" s="79">
        <f t="shared" si="1"/>
        <v>0</v>
      </c>
      <c r="M27" s="98"/>
      <c r="N27" s="98"/>
    </row>
    <row r="28" spans="1:14" ht="14.35" x14ac:dyDescent="0.5">
      <c r="A28" s="68" t="s">
        <v>617</v>
      </c>
      <c r="B28" s="68" t="s">
        <v>618</v>
      </c>
      <c r="C28" s="82"/>
      <c r="D28" s="81"/>
      <c r="E28" s="80"/>
      <c r="I28" s="79">
        <f t="shared" si="0"/>
        <v>0</v>
      </c>
      <c r="J28" s="78" t="s">
        <v>858</v>
      </c>
      <c r="K28" s="79">
        <f t="shared" si="1"/>
        <v>0</v>
      </c>
      <c r="M28" s="98"/>
      <c r="N28" s="98"/>
    </row>
    <row r="29" spans="1:14" ht="14.35" x14ac:dyDescent="0.5">
      <c r="A29" s="69"/>
      <c r="B29" s="68" t="s">
        <v>614</v>
      </c>
      <c r="C29" s="82"/>
      <c r="E29" s="80"/>
      <c r="I29" s="79">
        <f t="shared" si="0"/>
        <v>0</v>
      </c>
      <c r="J29" s="78" t="s">
        <v>650</v>
      </c>
      <c r="K29" s="79">
        <f t="shared" si="1"/>
        <v>0</v>
      </c>
    </row>
    <row r="30" spans="1:14" ht="14.35" x14ac:dyDescent="0.5">
      <c r="A30" s="68" t="s">
        <v>319</v>
      </c>
      <c r="B30" s="68" t="s">
        <v>16</v>
      </c>
      <c r="C30" s="82"/>
      <c r="D30" s="81"/>
      <c r="E30" s="80"/>
      <c r="I30" s="79">
        <f t="shared" si="0"/>
        <v>0</v>
      </c>
      <c r="J30" s="78" t="s">
        <v>271</v>
      </c>
      <c r="K30" s="79">
        <f t="shared" si="1"/>
        <v>0</v>
      </c>
    </row>
    <row r="31" spans="1:14" ht="14.35" x14ac:dyDescent="0.5">
      <c r="A31" s="26" t="s">
        <v>652</v>
      </c>
      <c r="B31" s="26" t="s">
        <v>653</v>
      </c>
      <c r="C31" s="82"/>
      <c r="D31" s="81"/>
      <c r="E31" s="80"/>
      <c r="I31" s="79">
        <f t="shared" si="0"/>
        <v>0</v>
      </c>
      <c r="J31" s="78" t="s">
        <v>271</v>
      </c>
      <c r="K31" s="79">
        <f t="shared" si="1"/>
        <v>0</v>
      </c>
    </row>
    <row r="32" spans="1:14" ht="14.35" x14ac:dyDescent="0.5">
      <c r="A32" s="68" t="s">
        <v>320</v>
      </c>
      <c r="B32" s="68" t="s">
        <v>17</v>
      </c>
      <c r="C32" s="82"/>
      <c r="D32" s="81"/>
      <c r="E32" s="80"/>
      <c r="I32" s="79">
        <f t="shared" si="0"/>
        <v>0</v>
      </c>
      <c r="J32" s="78" t="s">
        <v>650</v>
      </c>
      <c r="K32" s="79">
        <f t="shared" si="1"/>
        <v>0</v>
      </c>
    </row>
    <row r="33" spans="1:13" ht="14.35" x14ac:dyDescent="0.5">
      <c r="A33" s="100" t="s">
        <v>878</v>
      </c>
      <c r="B33" s="100" t="s">
        <v>879</v>
      </c>
      <c r="C33" s="82"/>
      <c r="D33" s="81"/>
      <c r="E33" s="80"/>
      <c r="I33" s="79">
        <f t="shared" ref="I33" si="2">SUM(C33:H33)</f>
        <v>0</v>
      </c>
      <c r="J33" s="78" t="s">
        <v>650</v>
      </c>
      <c r="K33" s="79">
        <f t="shared" si="1"/>
        <v>0</v>
      </c>
    </row>
    <row r="34" spans="1:13" ht="14.35" x14ac:dyDescent="0.5">
      <c r="A34" s="68" t="s">
        <v>321</v>
      </c>
      <c r="B34" s="68" t="s">
        <v>18</v>
      </c>
      <c r="C34" s="82"/>
      <c r="D34" s="81"/>
      <c r="E34" s="80"/>
      <c r="I34" s="79">
        <f t="shared" si="0"/>
        <v>0</v>
      </c>
      <c r="J34" s="78" t="s">
        <v>650</v>
      </c>
      <c r="K34" s="79">
        <f t="shared" si="1"/>
        <v>0</v>
      </c>
    </row>
    <row r="35" spans="1:13" ht="14.35" x14ac:dyDescent="0.5">
      <c r="A35" s="68" t="s">
        <v>322</v>
      </c>
      <c r="B35" s="68" t="s">
        <v>19</v>
      </c>
      <c r="C35" s="82"/>
      <c r="D35" s="81"/>
      <c r="E35" s="80"/>
      <c r="I35" s="79">
        <f t="shared" si="0"/>
        <v>0</v>
      </c>
      <c r="J35" s="78" t="s">
        <v>268</v>
      </c>
      <c r="K35" s="79">
        <f t="shared" si="1"/>
        <v>0</v>
      </c>
      <c r="M35" s="77"/>
    </row>
    <row r="36" spans="1:13" ht="14.35" x14ac:dyDescent="0.5">
      <c r="A36" s="68" t="s">
        <v>323</v>
      </c>
      <c r="B36" s="68" t="s">
        <v>20</v>
      </c>
      <c r="C36" s="82"/>
      <c r="D36" s="81"/>
      <c r="E36" s="80"/>
      <c r="I36" s="79">
        <f t="shared" si="0"/>
        <v>0</v>
      </c>
      <c r="J36" s="78" t="s">
        <v>268</v>
      </c>
      <c r="K36" s="79">
        <f t="shared" si="1"/>
        <v>0</v>
      </c>
    </row>
    <row r="37" spans="1:13" ht="14.35" x14ac:dyDescent="0.5">
      <c r="A37" s="88" t="s">
        <v>812</v>
      </c>
      <c r="B37" s="100" t="s">
        <v>813</v>
      </c>
      <c r="C37" s="82"/>
      <c r="D37" s="81"/>
      <c r="E37" s="80"/>
      <c r="I37" s="79">
        <f t="shared" si="0"/>
        <v>0</v>
      </c>
      <c r="J37" s="78" t="s">
        <v>268</v>
      </c>
      <c r="K37" s="79">
        <f t="shared" si="1"/>
        <v>0</v>
      </c>
    </row>
    <row r="38" spans="1:13" ht="14.35" x14ac:dyDescent="0.5">
      <c r="A38" s="68" t="s">
        <v>324</v>
      </c>
      <c r="B38" s="68" t="s">
        <v>21</v>
      </c>
      <c r="C38" s="82"/>
      <c r="D38" s="81"/>
      <c r="E38" s="80"/>
      <c r="I38" s="79">
        <f t="shared" si="0"/>
        <v>0</v>
      </c>
      <c r="J38" s="78" t="s">
        <v>266</v>
      </c>
      <c r="K38" s="79">
        <f t="shared" si="1"/>
        <v>0</v>
      </c>
    </row>
    <row r="39" spans="1:13" ht="14.35" x14ac:dyDescent="0.5">
      <c r="A39" s="100" t="s">
        <v>801</v>
      </c>
      <c r="B39" s="100" t="s">
        <v>802</v>
      </c>
      <c r="C39" s="82"/>
      <c r="D39" s="81"/>
      <c r="E39" s="80"/>
      <c r="I39" s="79">
        <f t="shared" si="0"/>
        <v>0</v>
      </c>
      <c r="J39" s="78" t="s">
        <v>650</v>
      </c>
      <c r="K39" s="79">
        <f t="shared" si="1"/>
        <v>0</v>
      </c>
    </row>
    <row r="40" spans="1:13" ht="14.35" x14ac:dyDescent="0.5">
      <c r="A40" s="68" t="s">
        <v>609</v>
      </c>
      <c r="B40" s="68" t="s">
        <v>608</v>
      </c>
      <c r="C40" s="82"/>
      <c r="D40" s="81"/>
      <c r="E40" s="80"/>
      <c r="I40" s="79">
        <f t="shared" si="0"/>
        <v>0</v>
      </c>
      <c r="J40" s="78" t="s">
        <v>266</v>
      </c>
      <c r="K40" s="79">
        <f t="shared" si="1"/>
        <v>0</v>
      </c>
    </row>
    <row r="41" spans="1:13" ht="14.35" x14ac:dyDescent="0.5">
      <c r="A41" s="68" t="s">
        <v>886</v>
      </c>
      <c r="B41" s="100" t="s">
        <v>887</v>
      </c>
      <c r="C41" s="82"/>
      <c r="D41" s="81"/>
      <c r="E41" s="80"/>
      <c r="I41" s="79">
        <f t="shared" ref="I41" si="3">SUM(C41:H41)</f>
        <v>0</v>
      </c>
      <c r="J41" s="78" t="s">
        <v>266</v>
      </c>
      <c r="K41" s="79">
        <f t="shared" si="1"/>
        <v>0</v>
      </c>
    </row>
    <row r="42" spans="1:13" ht="14.35" x14ac:dyDescent="0.5">
      <c r="A42" s="69"/>
      <c r="B42" s="68" t="s">
        <v>604</v>
      </c>
      <c r="C42" s="82"/>
      <c r="D42" s="101"/>
      <c r="E42" s="104"/>
      <c r="F42" s="79"/>
      <c r="G42" s="79"/>
      <c r="H42" s="79">
        <f>-D42</f>
        <v>0</v>
      </c>
      <c r="I42" s="79">
        <f t="shared" si="0"/>
        <v>0</v>
      </c>
      <c r="J42" s="79" t="s">
        <v>266</v>
      </c>
      <c r="K42" s="79">
        <f t="shared" si="1"/>
        <v>0</v>
      </c>
    </row>
    <row r="43" spans="1:13" ht="14.35" x14ac:dyDescent="0.5">
      <c r="A43" s="68" t="s">
        <v>325</v>
      </c>
      <c r="B43" s="68" t="s">
        <v>23</v>
      </c>
      <c r="C43" s="82"/>
      <c r="E43" s="80"/>
      <c r="I43" s="79">
        <f t="shared" si="0"/>
        <v>0</v>
      </c>
      <c r="J43" s="78" t="s">
        <v>266</v>
      </c>
      <c r="K43" s="79">
        <f t="shared" si="1"/>
        <v>0</v>
      </c>
    </row>
    <row r="44" spans="1:13" ht="14.35" x14ac:dyDescent="0.5">
      <c r="A44" s="68" t="s">
        <v>326</v>
      </c>
      <c r="B44" s="68" t="s">
        <v>24</v>
      </c>
      <c r="C44" s="82"/>
      <c r="D44" s="81"/>
      <c r="E44" s="80"/>
      <c r="H44" s="78">
        <f>-H42</f>
        <v>0</v>
      </c>
      <c r="I44" s="79">
        <f t="shared" si="0"/>
        <v>0</v>
      </c>
      <c r="J44" s="78" t="s">
        <v>266</v>
      </c>
      <c r="K44" s="79">
        <f t="shared" si="1"/>
        <v>0</v>
      </c>
    </row>
    <row r="45" spans="1:13" ht="14.35" x14ac:dyDescent="0.5">
      <c r="A45" s="68" t="s">
        <v>327</v>
      </c>
      <c r="B45" s="68" t="s">
        <v>25</v>
      </c>
      <c r="C45" s="82"/>
      <c r="D45" s="81"/>
      <c r="E45" s="80"/>
      <c r="I45" s="79">
        <f t="shared" si="0"/>
        <v>0</v>
      </c>
      <c r="J45" s="78" t="s">
        <v>266</v>
      </c>
      <c r="K45" s="79">
        <f t="shared" si="1"/>
        <v>0</v>
      </c>
    </row>
    <row r="46" spans="1:13" ht="14.35" x14ac:dyDescent="0.5">
      <c r="A46" s="68" t="s">
        <v>328</v>
      </c>
      <c r="B46" s="68" t="s">
        <v>26</v>
      </c>
      <c r="C46" s="82"/>
      <c r="E46" s="80"/>
      <c r="I46" s="79">
        <f t="shared" si="0"/>
        <v>0</v>
      </c>
      <c r="J46" s="78" t="s">
        <v>266</v>
      </c>
      <c r="K46" s="79">
        <f t="shared" si="1"/>
        <v>0</v>
      </c>
    </row>
    <row r="47" spans="1:13" ht="14.35" x14ac:dyDescent="0.5">
      <c r="A47" s="68" t="s">
        <v>329</v>
      </c>
      <c r="B47" s="68" t="s">
        <v>27</v>
      </c>
      <c r="C47" s="82"/>
      <c r="E47" s="80"/>
      <c r="I47" s="79">
        <f t="shared" si="0"/>
        <v>0</v>
      </c>
      <c r="J47" s="78" t="s">
        <v>266</v>
      </c>
      <c r="K47" s="79">
        <f t="shared" si="1"/>
        <v>0</v>
      </c>
    </row>
    <row r="48" spans="1:13" ht="14.35" x14ac:dyDescent="0.5">
      <c r="A48" s="100" t="s">
        <v>888</v>
      </c>
      <c r="B48" s="100" t="s">
        <v>889</v>
      </c>
      <c r="C48" s="82"/>
      <c r="E48" s="80"/>
      <c r="I48" s="79">
        <f t="shared" ref="I48" si="4">SUM(C48:H48)</f>
        <v>0</v>
      </c>
      <c r="J48" s="78" t="s">
        <v>266</v>
      </c>
      <c r="K48" s="79">
        <f t="shared" si="1"/>
        <v>0</v>
      </c>
    </row>
    <row r="49" spans="1:16" ht="14.35" x14ac:dyDescent="0.5">
      <c r="A49" s="68" t="s">
        <v>330</v>
      </c>
      <c r="B49" s="68" t="s">
        <v>28</v>
      </c>
      <c r="C49" s="82"/>
      <c r="E49" s="80"/>
      <c r="I49" s="79">
        <f t="shared" si="0"/>
        <v>0</v>
      </c>
      <c r="J49" s="78" t="s">
        <v>266</v>
      </c>
      <c r="K49" s="79">
        <f t="shared" si="1"/>
        <v>0</v>
      </c>
    </row>
    <row r="50" spans="1:16" ht="14.35" x14ac:dyDescent="0.5">
      <c r="A50" s="68" t="s">
        <v>331</v>
      </c>
      <c r="B50" s="68" t="s">
        <v>29</v>
      </c>
      <c r="C50" s="82"/>
      <c r="E50" s="80"/>
      <c r="I50" s="79">
        <f t="shared" si="0"/>
        <v>0</v>
      </c>
      <c r="J50" s="78" t="s">
        <v>266</v>
      </c>
      <c r="K50" s="79">
        <f t="shared" si="1"/>
        <v>0</v>
      </c>
    </row>
    <row r="51" spans="1:16" ht="14.35" x14ac:dyDescent="0.5">
      <c r="A51" s="68" t="s">
        <v>332</v>
      </c>
      <c r="B51" s="68" t="s">
        <v>30</v>
      </c>
      <c r="C51" s="82"/>
      <c r="D51" s="81"/>
      <c r="E51" s="80"/>
      <c r="I51" s="79">
        <f t="shared" si="0"/>
        <v>0</v>
      </c>
      <c r="J51" s="78" t="s">
        <v>266</v>
      </c>
      <c r="K51" s="79">
        <f t="shared" si="1"/>
        <v>0</v>
      </c>
      <c r="O51" s="78"/>
      <c r="P51" s="78"/>
    </row>
    <row r="52" spans="1:16" s="78" customFormat="1" ht="14.35" x14ac:dyDescent="0.5">
      <c r="A52" s="68" t="s">
        <v>333</v>
      </c>
      <c r="B52" s="68" t="s">
        <v>31</v>
      </c>
      <c r="C52" s="82"/>
      <c r="D52" s="81"/>
      <c r="E52" s="80"/>
      <c r="I52" s="79">
        <f t="shared" si="0"/>
        <v>0</v>
      </c>
      <c r="J52" s="78" t="s">
        <v>266</v>
      </c>
      <c r="K52" s="79">
        <f t="shared" si="1"/>
        <v>0</v>
      </c>
      <c r="M52" s="76"/>
      <c r="N52" s="76"/>
      <c r="O52" s="76"/>
      <c r="P52" s="76"/>
    </row>
    <row r="53" spans="1:16" ht="14.35" x14ac:dyDescent="0.5">
      <c r="A53" s="68" t="s">
        <v>334</v>
      </c>
      <c r="B53" s="68" t="s">
        <v>32</v>
      </c>
      <c r="C53" s="82"/>
      <c r="D53" s="81"/>
      <c r="E53" s="80"/>
      <c r="I53" s="79">
        <f t="shared" si="0"/>
        <v>0</v>
      </c>
      <c r="J53" s="78" t="s">
        <v>266</v>
      </c>
      <c r="K53" s="79">
        <f t="shared" si="1"/>
        <v>0</v>
      </c>
    </row>
    <row r="54" spans="1:16" ht="14.35" x14ac:dyDescent="0.5">
      <c r="A54" s="68" t="s">
        <v>883</v>
      </c>
      <c r="B54" s="68" t="s">
        <v>884</v>
      </c>
      <c r="C54" s="82"/>
      <c r="D54" s="81"/>
      <c r="E54" s="80"/>
      <c r="I54" s="79">
        <f t="shared" si="0"/>
        <v>0</v>
      </c>
      <c r="J54" s="78" t="s">
        <v>266</v>
      </c>
      <c r="K54" s="79">
        <f t="shared" si="1"/>
        <v>0</v>
      </c>
    </row>
    <row r="55" spans="1:16" ht="14.35" x14ac:dyDescent="0.5">
      <c r="A55" s="68" t="s">
        <v>335</v>
      </c>
      <c r="B55" s="68" t="s">
        <v>33</v>
      </c>
      <c r="C55" s="82"/>
      <c r="E55" s="80"/>
      <c r="I55" s="79">
        <f t="shared" si="0"/>
        <v>0</v>
      </c>
      <c r="J55" s="78" t="s">
        <v>266</v>
      </c>
      <c r="K55" s="79">
        <f t="shared" si="1"/>
        <v>0</v>
      </c>
    </row>
    <row r="56" spans="1:16" ht="14.35" x14ac:dyDescent="0.5">
      <c r="A56" s="68" t="s">
        <v>336</v>
      </c>
      <c r="B56" s="68" t="s">
        <v>34</v>
      </c>
      <c r="C56" s="82"/>
      <c r="E56" s="80"/>
      <c r="I56" s="79">
        <f t="shared" si="0"/>
        <v>0</v>
      </c>
      <c r="J56" s="78" t="s">
        <v>269</v>
      </c>
      <c r="K56" s="79">
        <f t="shared" si="1"/>
        <v>0</v>
      </c>
    </row>
    <row r="57" spans="1:16" ht="14.35" x14ac:dyDescent="0.5">
      <c r="A57" s="68" t="s">
        <v>337</v>
      </c>
      <c r="B57" s="68" t="s">
        <v>35</v>
      </c>
      <c r="C57" s="82"/>
      <c r="D57" s="81"/>
      <c r="E57" s="80"/>
      <c r="I57" s="79">
        <f t="shared" si="0"/>
        <v>0</v>
      </c>
      <c r="J57" s="78" t="s">
        <v>266</v>
      </c>
      <c r="K57" s="79">
        <f t="shared" si="1"/>
        <v>0</v>
      </c>
    </row>
    <row r="58" spans="1:16" ht="14.35" x14ac:dyDescent="0.5">
      <c r="A58" s="69" t="s">
        <v>768</v>
      </c>
      <c r="B58" s="68" t="s">
        <v>36</v>
      </c>
      <c r="C58" s="82"/>
      <c r="D58" s="81"/>
      <c r="I58" s="79">
        <f t="shared" si="0"/>
        <v>0</v>
      </c>
      <c r="J58" s="78" t="s">
        <v>266</v>
      </c>
      <c r="K58" s="79">
        <f t="shared" si="1"/>
        <v>0</v>
      </c>
    </row>
    <row r="59" spans="1:16" ht="14.35" x14ac:dyDescent="0.5">
      <c r="A59" s="68" t="s">
        <v>354</v>
      </c>
      <c r="B59" s="68" t="s">
        <v>55</v>
      </c>
      <c r="C59" s="82"/>
      <c r="E59" s="80"/>
      <c r="I59" s="79">
        <f t="shared" si="0"/>
        <v>0</v>
      </c>
      <c r="J59" s="78" t="s">
        <v>266</v>
      </c>
      <c r="K59" s="79">
        <f t="shared" si="1"/>
        <v>0</v>
      </c>
    </row>
    <row r="60" spans="1:16" ht="14.35" x14ac:dyDescent="0.5">
      <c r="A60" s="68" t="s">
        <v>338</v>
      </c>
      <c r="B60" s="68" t="s">
        <v>37</v>
      </c>
      <c r="C60" s="82"/>
      <c r="D60" s="81"/>
      <c r="E60" s="80"/>
      <c r="I60" s="79">
        <f t="shared" si="0"/>
        <v>0</v>
      </c>
      <c r="J60" s="78" t="s">
        <v>266</v>
      </c>
      <c r="K60" s="79">
        <f t="shared" si="1"/>
        <v>0</v>
      </c>
    </row>
    <row r="61" spans="1:16" ht="14.35" x14ac:dyDescent="0.5">
      <c r="A61" s="68" t="s">
        <v>339</v>
      </c>
      <c r="B61" s="68" t="s">
        <v>38</v>
      </c>
      <c r="C61" s="82"/>
      <c r="E61" s="80"/>
      <c r="I61" s="79">
        <f t="shared" si="0"/>
        <v>0</v>
      </c>
      <c r="J61" s="78" t="s">
        <v>266</v>
      </c>
      <c r="K61" s="79">
        <f t="shared" si="1"/>
        <v>0</v>
      </c>
    </row>
    <row r="62" spans="1:16" ht="14.35" x14ac:dyDescent="0.5">
      <c r="A62" s="68" t="s">
        <v>340</v>
      </c>
      <c r="B62" s="68" t="s">
        <v>39</v>
      </c>
      <c r="C62" s="82"/>
      <c r="D62" s="81"/>
      <c r="E62" s="80"/>
      <c r="I62" s="79">
        <f t="shared" si="0"/>
        <v>0</v>
      </c>
      <c r="J62" s="78" t="s">
        <v>266</v>
      </c>
      <c r="K62" s="79">
        <f t="shared" si="1"/>
        <v>0</v>
      </c>
    </row>
    <row r="63" spans="1:16" ht="14.35" x14ac:dyDescent="0.5">
      <c r="A63" s="68" t="s">
        <v>341</v>
      </c>
      <c r="B63" s="68" t="s">
        <v>40</v>
      </c>
      <c r="C63" s="82"/>
      <c r="D63" s="81"/>
      <c r="E63" s="80"/>
      <c r="I63" s="79">
        <f t="shared" si="0"/>
        <v>0</v>
      </c>
      <c r="J63" s="78" t="s">
        <v>266</v>
      </c>
      <c r="K63" s="79">
        <f t="shared" si="1"/>
        <v>0</v>
      </c>
    </row>
    <row r="64" spans="1:16" ht="14.35" x14ac:dyDescent="0.5">
      <c r="A64" s="69"/>
      <c r="B64" s="68" t="s">
        <v>41</v>
      </c>
      <c r="C64" s="82"/>
      <c r="D64" s="81"/>
      <c r="I64" s="79">
        <f t="shared" si="0"/>
        <v>0</v>
      </c>
      <c r="J64" s="78" t="s">
        <v>266</v>
      </c>
      <c r="K64" s="79">
        <f t="shared" si="1"/>
        <v>0</v>
      </c>
    </row>
    <row r="65" spans="1:16" ht="14.35" x14ac:dyDescent="0.5">
      <c r="A65" s="100" t="s">
        <v>890</v>
      </c>
      <c r="B65" s="100" t="s">
        <v>891</v>
      </c>
      <c r="C65" s="82"/>
      <c r="D65" s="81"/>
      <c r="I65" s="79">
        <f t="shared" ref="I65" si="5">SUM(C65:H65)</f>
        <v>0</v>
      </c>
      <c r="J65" s="78" t="s">
        <v>266</v>
      </c>
      <c r="K65" s="79">
        <f t="shared" si="1"/>
        <v>0</v>
      </c>
      <c r="P65" s="78"/>
    </row>
    <row r="66" spans="1:16" s="78" customFormat="1" ht="14.35" x14ac:dyDescent="0.5">
      <c r="A66" s="68" t="s">
        <v>342</v>
      </c>
      <c r="B66" s="68" t="s">
        <v>42</v>
      </c>
      <c r="C66" s="82"/>
      <c r="D66" s="81"/>
      <c r="E66" s="80"/>
      <c r="I66" s="79">
        <f t="shared" si="0"/>
        <v>0</v>
      </c>
      <c r="J66" s="78" t="s">
        <v>266</v>
      </c>
      <c r="K66" s="79">
        <f t="shared" si="1"/>
        <v>0</v>
      </c>
      <c r="M66" s="76"/>
      <c r="N66" s="76"/>
    </row>
    <row r="67" spans="1:16" s="78" customFormat="1" ht="14.35" x14ac:dyDescent="0.5">
      <c r="A67" s="68" t="s">
        <v>343</v>
      </c>
      <c r="B67" s="68" t="s">
        <v>43</v>
      </c>
      <c r="C67" s="82"/>
      <c r="D67" s="81"/>
      <c r="E67" s="80"/>
      <c r="I67" s="79">
        <f t="shared" si="0"/>
        <v>0</v>
      </c>
      <c r="J67" s="78" t="s">
        <v>266</v>
      </c>
      <c r="K67" s="79">
        <f t="shared" si="1"/>
        <v>0</v>
      </c>
      <c r="M67" s="76"/>
      <c r="N67" s="76"/>
    </row>
    <row r="68" spans="1:16" s="78" customFormat="1" ht="14.35" x14ac:dyDescent="0.5">
      <c r="A68" s="68" t="s">
        <v>344</v>
      </c>
      <c r="B68" s="68" t="s">
        <v>44</v>
      </c>
      <c r="C68" s="82"/>
      <c r="D68" s="89"/>
      <c r="E68" s="80"/>
      <c r="I68" s="79">
        <f t="shared" si="0"/>
        <v>0</v>
      </c>
      <c r="J68" s="78" t="s">
        <v>266</v>
      </c>
      <c r="K68" s="79">
        <f t="shared" si="1"/>
        <v>0</v>
      </c>
      <c r="M68" s="76"/>
      <c r="N68" s="76"/>
    </row>
    <row r="69" spans="1:16" s="78" customFormat="1" ht="14.35" x14ac:dyDescent="0.5">
      <c r="A69" s="68" t="s">
        <v>345</v>
      </c>
      <c r="B69" s="68" t="s">
        <v>45</v>
      </c>
      <c r="C69" s="82"/>
      <c r="D69" s="89"/>
      <c r="E69" s="80"/>
      <c r="I69" s="79">
        <f t="shared" si="0"/>
        <v>0</v>
      </c>
      <c r="J69" s="78" t="s">
        <v>266</v>
      </c>
      <c r="K69" s="79">
        <f t="shared" si="1"/>
        <v>0</v>
      </c>
      <c r="M69" s="76"/>
      <c r="N69" s="76"/>
    </row>
    <row r="70" spans="1:16" s="78" customFormat="1" ht="14.35" x14ac:dyDescent="0.5">
      <c r="A70" s="68" t="s">
        <v>885</v>
      </c>
      <c r="B70" s="100" t="s">
        <v>892</v>
      </c>
      <c r="C70" s="82"/>
      <c r="D70" s="89"/>
      <c r="E70" s="80"/>
      <c r="I70" s="79">
        <f t="shared" si="0"/>
        <v>0</v>
      </c>
      <c r="J70" s="78" t="s">
        <v>266</v>
      </c>
      <c r="K70" s="79">
        <f t="shared" si="1"/>
        <v>0</v>
      </c>
      <c r="M70" s="76"/>
      <c r="N70" s="76"/>
    </row>
    <row r="71" spans="1:16" s="78" customFormat="1" ht="14.35" x14ac:dyDescent="0.5">
      <c r="A71" s="68" t="s">
        <v>346</v>
      </c>
      <c r="B71" s="68" t="s">
        <v>46</v>
      </c>
      <c r="C71" s="82"/>
      <c r="D71" s="89"/>
      <c r="E71" s="80"/>
      <c r="I71" s="79">
        <f t="shared" si="0"/>
        <v>0</v>
      </c>
      <c r="J71" s="78" t="s">
        <v>266</v>
      </c>
      <c r="K71" s="79">
        <f t="shared" si="1"/>
        <v>0</v>
      </c>
      <c r="M71" s="76"/>
      <c r="N71" s="76"/>
    </row>
    <row r="72" spans="1:16" s="78" customFormat="1" ht="14.35" x14ac:dyDescent="0.5">
      <c r="A72" s="68" t="s">
        <v>347</v>
      </c>
      <c r="B72" s="68" t="s">
        <v>47</v>
      </c>
      <c r="C72" s="82"/>
      <c r="D72" s="89"/>
      <c r="E72" s="80"/>
      <c r="I72" s="79">
        <f t="shared" si="0"/>
        <v>0</v>
      </c>
      <c r="J72" s="78" t="s">
        <v>266</v>
      </c>
      <c r="K72" s="79">
        <f t="shared" si="1"/>
        <v>0</v>
      </c>
      <c r="M72" s="76"/>
      <c r="N72" s="76"/>
    </row>
    <row r="73" spans="1:16" s="78" customFormat="1" ht="14.35" x14ac:dyDescent="0.5">
      <c r="A73" s="68" t="s">
        <v>348</v>
      </c>
      <c r="B73" s="68" t="s">
        <v>48</v>
      </c>
      <c r="C73" s="82"/>
      <c r="D73" s="81"/>
      <c r="E73" s="80"/>
      <c r="I73" s="79">
        <f t="shared" si="0"/>
        <v>0</v>
      </c>
      <c r="J73" s="78" t="s">
        <v>266</v>
      </c>
      <c r="K73" s="79">
        <f t="shared" si="1"/>
        <v>0</v>
      </c>
      <c r="M73" s="76"/>
      <c r="N73" s="76"/>
    </row>
    <row r="74" spans="1:16" s="78" customFormat="1" ht="14.35" x14ac:dyDescent="0.5">
      <c r="A74" s="68" t="s">
        <v>349</v>
      </c>
      <c r="B74" s="68" t="s">
        <v>49</v>
      </c>
      <c r="C74" s="82"/>
      <c r="D74" s="101"/>
      <c r="E74" s="80"/>
      <c r="I74" s="79">
        <f t="shared" si="0"/>
        <v>0</v>
      </c>
      <c r="J74" s="78" t="s">
        <v>266</v>
      </c>
      <c r="K74" s="79">
        <f t="shared" si="1"/>
        <v>0</v>
      </c>
      <c r="M74" s="76"/>
      <c r="N74" s="76"/>
    </row>
    <row r="75" spans="1:16" s="78" customFormat="1" ht="14.35" x14ac:dyDescent="0.5">
      <c r="A75" s="68" t="s">
        <v>350</v>
      </c>
      <c r="B75" s="68" t="s">
        <v>50</v>
      </c>
      <c r="C75" s="82"/>
      <c r="D75" s="89"/>
      <c r="E75" s="80"/>
      <c r="I75" s="79">
        <f t="shared" si="0"/>
        <v>0</v>
      </c>
      <c r="J75" s="78" t="s">
        <v>269</v>
      </c>
      <c r="K75" s="79">
        <f t="shared" si="1"/>
        <v>0</v>
      </c>
      <c r="M75" s="76"/>
      <c r="N75" s="76"/>
    </row>
    <row r="76" spans="1:16" s="78" customFormat="1" ht="14.35" x14ac:dyDescent="0.5">
      <c r="A76" s="68" t="s">
        <v>612</v>
      </c>
      <c r="B76" s="68" t="s">
        <v>613</v>
      </c>
      <c r="C76" s="82"/>
      <c r="D76" s="101"/>
      <c r="E76" s="80"/>
      <c r="I76" s="79">
        <f t="shared" si="0"/>
        <v>0</v>
      </c>
      <c r="J76" s="78" t="s">
        <v>266</v>
      </c>
      <c r="K76" s="79">
        <f t="shared" si="1"/>
        <v>0</v>
      </c>
      <c r="M76" s="76"/>
      <c r="N76" s="76"/>
    </row>
    <row r="77" spans="1:16" s="78" customFormat="1" ht="14.35" x14ac:dyDescent="0.5">
      <c r="A77" s="68" t="s">
        <v>351</v>
      </c>
      <c r="B77" s="68" t="s">
        <v>51</v>
      </c>
      <c r="C77" s="82"/>
      <c r="D77" s="81"/>
      <c r="E77" s="80"/>
      <c r="I77" s="79">
        <f t="shared" si="0"/>
        <v>0</v>
      </c>
      <c r="J77" s="78" t="s">
        <v>266</v>
      </c>
      <c r="K77" s="79">
        <f t="shared" si="1"/>
        <v>0</v>
      </c>
      <c r="M77" s="76"/>
      <c r="N77" s="76"/>
    </row>
    <row r="78" spans="1:16" s="78" customFormat="1" ht="14.35" x14ac:dyDescent="0.5">
      <c r="A78" s="68" t="s">
        <v>352</v>
      </c>
      <c r="B78" s="68" t="s">
        <v>53</v>
      </c>
      <c r="C78" s="82"/>
      <c r="D78" s="81"/>
      <c r="E78" s="80"/>
      <c r="G78" s="78">
        <f>-C78</f>
        <v>0</v>
      </c>
      <c r="I78" s="79">
        <f t="shared" si="0"/>
        <v>0</v>
      </c>
      <c r="J78" s="78" t="s">
        <v>267</v>
      </c>
      <c r="K78" s="79">
        <f t="shared" si="1"/>
        <v>0</v>
      </c>
      <c r="M78" s="76"/>
      <c r="N78" s="76"/>
    </row>
    <row r="79" spans="1:16" s="78" customFormat="1" ht="14.35" x14ac:dyDescent="0.5">
      <c r="A79" s="68" t="s">
        <v>353</v>
      </c>
      <c r="B79" s="68" t="s">
        <v>54</v>
      </c>
      <c r="C79" s="82"/>
      <c r="D79" s="81"/>
      <c r="E79" s="80"/>
      <c r="G79" s="78">
        <f>-C79</f>
        <v>0</v>
      </c>
      <c r="I79" s="79">
        <f t="shared" si="0"/>
        <v>0</v>
      </c>
      <c r="J79" s="78" t="s">
        <v>267</v>
      </c>
      <c r="K79" s="79">
        <f t="shared" si="1"/>
        <v>0</v>
      </c>
      <c r="M79" s="76"/>
      <c r="N79" s="76"/>
    </row>
    <row r="80" spans="1:16" s="78" customFormat="1" ht="14.35" x14ac:dyDescent="0.5">
      <c r="A80" s="68" t="s">
        <v>355</v>
      </c>
      <c r="B80" s="68" t="s">
        <v>56</v>
      </c>
      <c r="C80" s="82"/>
      <c r="D80" s="81"/>
      <c r="E80" s="80"/>
      <c r="I80" s="79">
        <f t="shared" ref="I80:I143" si="6">SUM(C80:H80)</f>
        <v>0</v>
      </c>
      <c r="J80" s="78" t="s">
        <v>271</v>
      </c>
      <c r="K80" s="79">
        <f t="shared" ref="K80:K143" si="7">I80</f>
        <v>0</v>
      </c>
      <c r="M80" s="76"/>
      <c r="N80" s="76"/>
    </row>
    <row r="81" spans="1:14" s="78" customFormat="1" ht="14.35" x14ac:dyDescent="0.5">
      <c r="A81" s="68" t="s">
        <v>356</v>
      </c>
      <c r="B81" s="68" t="s">
        <v>57</v>
      </c>
      <c r="C81" s="82"/>
      <c r="D81" s="81"/>
      <c r="E81" s="80"/>
      <c r="I81" s="79">
        <f t="shared" si="6"/>
        <v>0</v>
      </c>
      <c r="J81" s="78" t="s">
        <v>268</v>
      </c>
      <c r="K81" s="79">
        <f t="shared" si="7"/>
        <v>0</v>
      </c>
      <c r="M81" s="76"/>
      <c r="N81" s="76"/>
    </row>
    <row r="82" spans="1:14" s="78" customFormat="1" ht="14.35" x14ac:dyDescent="0.5">
      <c r="A82" s="68" t="s">
        <v>357</v>
      </c>
      <c r="B82" s="68" t="s">
        <v>58</v>
      </c>
      <c r="C82" s="82"/>
      <c r="D82" s="89"/>
      <c r="E82" s="80"/>
      <c r="I82" s="79">
        <f t="shared" si="6"/>
        <v>0</v>
      </c>
      <c r="J82" s="78" t="s">
        <v>270</v>
      </c>
      <c r="K82" s="79">
        <f t="shared" si="7"/>
        <v>0</v>
      </c>
      <c r="M82" s="76"/>
      <c r="N82" s="76"/>
    </row>
    <row r="83" spans="1:14" s="78" customFormat="1" ht="14.35" x14ac:dyDescent="0.5">
      <c r="A83" s="68" t="s">
        <v>358</v>
      </c>
      <c r="B83" s="68" t="s">
        <v>59</v>
      </c>
      <c r="C83" s="82"/>
      <c r="D83" s="81"/>
      <c r="E83" s="80"/>
      <c r="I83" s="79">
        <f t="shared" si="6"/>
        <v>0</v>
      </c>
      <c r="J83" s="78" t="s">
        <v>270</v>
      </c>
      <c r="K83" s="79">
        <f t="shared" si="7"/>
        <v>0</v>
      </c>
      <c r="M83" s="76"/>
      <c r="N83" s="76"/>
    </row>
    <row r="84" spans="1:14" s="78" customFormat="1" ht="14.35" x14ac:dyDescent="0.5">
      <c r="A84" s="68" t="s">
        <v>359</v>
      </c>
      <c r="B84" s="68" t="s">
        <v>60</v>
      </c>
      <c r="C84" s="82"/>
      <c r="D84" s="81"/>
      <c r="E84" s="80"/>
      <c r="I84" s="79">
        <f t="shared" si="6"/>
        <v>0</v>
      </c>
      <c r="J84" s="78" t="s">
        <v>274</v>
      </c>
      <c r="K84" s="79">
        <f t="shared" si="7"/>
        <v>0</v>
      </c>
      <c r="M84" s="76"/>
      <c r="N84" s="76"/>
    </row>
    <row r="85" spans="1:14" s="78" customFormat="1" ht="14.35" x14ac:dyDescent="0.5">
      <c r="A85" s="68" t="s">
        <v>360</v>
      </c>
      <c r="B85" s="68" t="s">
        <v>61</v>
      </c>
      <c r="C85" s="82"/>
      <c r="D85" s="81"/>
      <c r="E85" s="80"/>
      <c r="I85" s="79">
        <f t="shared" si="6"/>
        <v>0</v>
      </c>
      <c r="J85" s="78" t="s">
        <v>274</v>
      </c>
      <c r="K85" s="79">
        <f t="shared" si="7"/>
        <v>0</v>
      </c>
      <c r="M85" s="76"/>
      <c r="N85" s="76"/>
    </row>
    <row r="86" spans="1:14" s="78" customFormat="1" ht="14.35" x14ac:dyDescent="0.5">
      <c r="A86" s="68" t="s">
        <v>361</v>
      </c>
      <c r="B86" s="68" t="s">
        <v>62</v>
      </c>
      <c r="C86" s="82"/>
      <c r="D86" s="81"/>
      <c r="E86" s="80"/>
      <c r="F86" s="78">
        <f>-C86</f>
        <v>0</v>
      </c>
      <c r="I86" s="79">
        <f t="shared" si="6"/>
        <v>0</v>
      </c>
      <c r="J86" s="78" t="s">
        <v>267</v>
      </c>
      <c r="K86" s="79">
        <f t="shared" si="7"/>
        <v>0</v>
      </c>
      <c r="M86" s="76"/>
      <c r="N86" s="76"/>
    </row>
    <row r="87" spans="1:14" s="78" customFormat="1" ht="14.35" x14ac:dyDescent="0.5">
      <c r="A87" s="68" t="s">
        <v>362</v>
      </c>
      <c r="B87" s="68" t="s">
        <v>63</v>
      </c>
      <c r="C87" s="82"/>
      <c r="D87" s="81"/>
      <c r="E87" s="80"/>
      <c r="F87" s="78">
        <f>-C87</f>
        <v>0</v>
      </c>
      <c r="I87" s="79">
        <f t="shared" si="6"/>
        <v>0</v>
      </c>
      <c r="J87" s="78" t="s">
        <v>267</v>
      </c>
      <c r="K87" s="79">
        <f t="shared" si="7"/>
        <v>0</v>
      </c>
      <c r="M87" s="76"/>
      <c r="N87" s="76"/>
    </row>
    <row r="88" spans="1:14" s="78" customFormat="1" ht="14.35" x14ac:dyDescent="0.5">
      <c r="A88" s="68" t="s">
        <v>363</v>
      </c>
      <c r="B88" s="68" t="s">
        <v>64</v>
      </c>
      <c r="C88" s="77"/>
      <c r="D88" s="89"/>
      <c r="E88" s="80"/>
      <c r="I88" s="79">
        <f t="shared" si="6"/>
        <v>0</v>
      </c>
      <c r="J88" s="78" t="s">
        <v>859</v>
      </c>
      <c r="K88" s="79">
        <f t="shared" si="7"/>
        <v>0</v>
      </c>
      <c r="M88" s="76"/>
      <c r="N88" s="76"/>
    </row>
    <row r="89" spans="1:14" s="78" customFormat="1" x14ac:dyDescent="0.4">
      <c r="A89" s="68" t="s">
        <v>364</v>
      </c>
      <c r="B89" s="68" t="s">
        <v>65</v>
      </c>
      <c r="C89" s="77"/>
      <c r="D89" s="89"/>
      <c r="F89" s="76"/>
      <c r="I89" s="79">
        <f t="shared" si="6"/>
        <v>0</v>
      </c>
      <c r="J89" s="78" t="s">
        <v>860</v>
      </c>
      <c r="K89" s="79">
        <f t="shared" si="7"/>
        <v>0</v>
      </c>
      <c r="M89" s="76"/>
      <c r="N89" s="76"/>
    </row>
    <row r="90" spans="1:14" s="78" customFormat="1" ht="14.35" x14ac:dyDescent="0.5">
      <c r="A90" s="68" t="s">
        <v>365</v>
      </c>
      <c r="B90" s="68" t="s">
        <v>262</v>
      </c>
      <c r="C90" s="77"/>
      <c r="D90" s="81"/>
      <c r="E90" s="80"/>
      <c r="I90" s="79">
        <f t="shared" si="6"/>
        <v>0</v>
      </c>
      <c r="J90" s="78" t="s">
        <v>860</v>
      </c>
      <c r="K90" s="79">
        <f t="shared" si="7"/>
        <v>0</v>
      </c>
      <c r="M90" s="76"/>
      <c r="N90" s="76"/>
    </row>
    <row r="91" spans="1:14" s="78" customFormat="1" ht="14.35" x14ac:dyDescent="0.5">
      <c r="A91" s="68" t="s">
        <v>366</v>
      </c>
      <c r="B91" s="68" t="s">
        <v>66</v>
      </c>
      <c r="C91" s="77"/>
      <c r="D91" s="81"/>
      <c r="E91" s="80"/>
      <c r="I91" s="79">
        <f t="shared" si="6"/>
        <v>0</v>
      </c>
      <c r="J91" s="78" t="s">
        <v>860</v>
      </c>
      <c r="K91" s="79">
        <f t="shared" si="7"/>
        <v>0</v>
      </c>
      <c r="M91" s="76"/>
      <c r="N91" s="76"/>
    </row>
    <row r="92" spans="1:14" s="78" customFormat="1" ht="14.35" x14ac:dyDescent="0.5">
      <c r="A92" s="68" t="s">
        <v>367</v>
      </c>
      <c r="B92" s="68" t="s">
        <v>67</v>
      </c>
      <c r="C92" s="77"/>
      <c r="D92" s="81"/>
      <c r="E92" s="80"/>
      <c r="I92" s="79">
        <f t="shared" si="6"/>
        <v>0</v>
      </c>
      <c r="J92" s="78" t="s">
        <v>860</v>
      </c>
      <c r="K92" s="79">
        <f t="shared" si="7"/>
        <v>0</v>
      </c>
      <c r="M92" s="76"/>
      <c r="N92" s="76"/>
    </row>
    <row r="93" spans="1:14" s="78" customFormat="1" ht="14.35" x14ac:dyDescent="0.5">
      <c r="A93" s="68" t="s">
        <v>368</v>
      </c>
      <c r="B93" s="68" t="s">
        <v>68</v>
      </c>
      <c r="C93" s="77"/>
      <c r="D93" s="81"/>
      <c r="E93" s="80"/>
      <c r="I93" s="79">
        <f t="shared" si="6"/>
        <v>0</v>
      </c>
      <c r="J93" s="78" t="s">
        <v>860</v>
      </c>
      <c r="K93" s="79">
        <f t="shared" si="7"/>
        <v>0</v>
      </c>
      <c r="M93" s="76"/>
      <c r="N93" s="76"/>
    </row>
    <row r="94" spans="1:14" s="78" customFormat="1" ht="14.35" x14ac:dyDescent="0.5">
      <c r="A94" s="69" t="s">
        <v>369</v>
      </c>
      <c r="B94" s="68" t="s">
        <v>69</v>
      </c>
      <c r="C94" s="77"/>
      <c r="D94" s="89"/>
      <c r="E94" s="80"/>
      <c r="I94" s="79">
        <f t="shared" si="6"/>
        <v>0</v>
      </c>
      <c r="J94" s="78" t="s">
        <v>860</v>
      </c>
      <c r="K94" s="79">
        <f t="shared" si="7"/>
        <v>0</v>
      </c>
      <c r="M94" s="76"/>
      <c r="N94" s="76"/>
    </row>
    <row r="95" spans="1:14" s="78" customFormat="1" ht="14.35" x14ac:dyDescent="0.5">
      <c r="A95" s="68" t="s">
        <v>370</v>
      </c>
      <c r="B95" s="68" t="s">
        <v>70</v>
      </c>
      <c r="C95" s="77"/>
      <c r="D95" s="81"/>
      <c r="E95" s="80"/>
      <c r="I95" s="79">
        <f t="shared" si="6"/>
        <v>0</v>
      </c>
      <c r="J95" s="78" t="s">
        <v>273</v>
      </c>
      <c r="K95" s="79">
        <f t="shared" si="7"/>
        <v>0</v>
      </c>
      <c r="M95" s="76"/>
      <c r="N95" s="76"/>
    </row>
    <row r="96" spans="1:14" s="78" customFormat="1" ht="14.35" x14ac:dyDescent="0.5">
      <c r="A96" s="68" t="s">
        <v>371</v>
      </c>
      <c r="B96" s="68" t="s">
        <v>71</v>
      </c>
      <c r="C96" s="77"/>
      <c r="D96" s="81"/>
      <c r="E96" s="80"/>
      <c r="I96" s="79">
        <f t="shared" si="6"/>
        <v>0</v>
      </c>
      <c r="J96" s="78" t="s">
        <v>273</v>
      </c>
      <c r="K96" s="79">
        <f t="shared" si="7"/>
        <v>0</v>
      </c>
      <c r="M96" s="76"/>
      <c r="N96" s="76"/>
    </row>
    <row r="97" spans="1:14" s="78" customFormat="1" ht="14.35" x14ac:dyDescent="0.5">
      <c r="A97" s="68" t="s">
        <v>372</v>
      </c>
      <c r="B97" s="68" t="s">
        <v>72</v>
      </c>
      <c r="C97" s="77"/>
      <c r="D97" s="81"/>
      <c r="E97" s="80"/>
      <c r="I97" s="79">
        <f t="shared" si="6"/>
        <v>0</v>
      </c>
      <c r="J97" s="78" t="s">
        <v>273</v>
      </c>
      <c r="K97" s="79">
        <f t="shared" si="7"/>
        <v>0</v>
      </c>
      <c r="M97" s="76"/>
      <c r="N97" s="76"/>
    </row>
    <row r="98" spans="1:14" s="78" customFormat="1" ht="14.35" x14ac:dyDescent="0.5">
      <c r="A98" s="68" t="s">
        <v>373</v>
      </c>
      <c r="B98" s="68" t="s">
        <v>73</v>
      </c>
      <c r="C98" s="77"/>
      <c r="D98" s="81"/>
      <c r="E98" s="80"/>
      <c r="I98" s="79">
        <f t="shared" si="6"/>
        <v>0</v>
      </c>
      <c r="J98" s="78" t="s">
        <v>273</v>
      </c>
      <c r="K98" s="79">
        <f t="shared" si="7"/>
        <v>0</v>
      </c>
      <c r="M98" s="76"/>
      <c r="N98" s="76"/>
    </row>
    <row r="99" spans="1:14" s="78" customFormat="1" ht="14.35" x14ac:dyDescent="0.5">
      <c r="A99" s="68" t="s">
        <v>374</v>
      </c>
      <c r="B99" s="68" t="s">
        <v>74</v>
      </c>
      <c r="C99" s="77"/>
      <c r="D99" s="81"/>
      <c r="E99" s="80"/>
      <c r="I99" s="79">
        <f t="shared" si="6"/>
        <v>0</v>
      </c>
      <c r="J99" s="78" t="s">
        <v>273</v>
      </c>
      <c r="K99" s="79">
        <f t="shared" si="7"/>
        <v>0</v>
      </c>
      <c r="M99" s="76"/>
      <c r="N99" s="76"/>
    </row>
    <row r="100" spans="1:14" s="78" customFormat="1" ht="14.35" x14ac:dyDescent="0.5">
      <c r="A100" s="68" t="s">
        <v>375</v>
      </c>
      <c r="B100" s="68" t="s">
        <v>75</v>
      </c>
      <c r="C100" s="77"/>
      <c r="D100" s="81"/>
      <c r="E100" s="80"/>
      <c r="I100" s="79">
        <f t="shared" si="6"/>
        <v>0</v>
      </c>
      <c r="J100" s="78" t="s">
        <v>273</v>
      </c>
      <c r="K100" s="79">
        <f t="shared" si="7"/>
        <v>0</v>
      </c>
      <c r="M100" s="76"/>
      <c r="N100" s="76"/>
    </row>
    <row r="101" spans="1:14" s="78" customFormat="1" ht="14.35" x14ac:dyDescent="0.5">
      <c r="A101" s="68" t="s">
        <v>376</v>
      </c>
      <c r="B101" s="68" t="s">
        <v>76</v>
      </c>
      <c r="C101" s="77"/>
      <c r="D101" s="81"/>
      <c r="E101" s="80"/>
      <c r="I101" s="79">
        <f t="shared" si="6"/>
        <v>0</v>
      </c>
      <c r="J101" s="78" t="s">
        <v>273</v>
      </c>
      <c r="K101" s="79">
        <f t="shared" si="7"/>
        <v>0</v>
      </c>
      <c r="M101" s="76"/>
      <c r="N101" s="76"/>
    </row>
    <row r="102" spans="1:14" s="78" customFormat="1" ht="14.35" x14ac:dyDescent="0.5">
      <c r="A102" s="68" t="s">
        <v>378</v>
      </c>
      <c r="B102" s="68" t="s">
        <v>78</v>
      </c>
      <c r="C102" s="77"/>
      <c r="D102" s="81"/>
      <c r="E102" s="80"/>
      <c r="I102" s="79">
        <f t="shared" si="6"/>
        <v>0</v>
      </c>
      <c r="J102" s="78" t="s">
        <v>273</v>
      </c>
      <c r="K102" s="79">
        <f t="shared" si="7"/>
        <v>0</v>
      </c>
      <c r="M102" s="76"/>
      <c r="N102" s="76"/>
    </row>
    <row r="103" spans="1:14" s="78" customFormat="1" ht="14.35" x14ac:dyDescent="0.5">
      <c r="A103" s="68" t="s">
        <v>379</v>
      </c>
      <c r="B103" s="68" t="s">
        <v>79</v>
      </c>
      <c r="C103" s="77"/>
      <c r="D103" s="81"/>
      <c r="E103" s="80"/>
      <c r="I103" s="79">
        <f t="shared" si="6"/>
        <v>0</v>
      </c>
      <c r="J103" s="78" t="s">
        <v>273</v>
      </c>
      <c r="K103" s="79">
        <f t="shared" si="7"/>
        <v>0</v>
      </c>
      <c r="M103" s="76"/>
      <c r="N103" s="76"/>
    </row>
    <row r="104" spans="1:14" s="78" customFormat="1" ht="14.35" x14ac:dyDescent="0.5">
      <c r="A104" s="68" t="s">
        <v>380</v>
      </c>
      <c r="B104" s="68" t="s">
        <v>80</v>
      </c>
      <c r="C104" s="77"/>
      <c r="D104" s="81"/>
      <c r="E104" s="80"/>
      <c r="I104" s="79">
        <f t="shared" si="6"/>
        <v>0</v>
      </c>
      <c r="J104" s="78" t="s">
        <v>273</v>
      </c>
      <c r="K104" s="79">
        <f t="shared" si="7"/>
        <v>0</v>
      </c>
      <c r="M104" s="76"/>
      <c r="N104" s="76"/>
    </row>
    <row r="105" spans="1:14" s="78" customFormat="1" ht="14.35" x14ac:dyDescent="0.5">
      <c r="A105" s="68" t="s">
        <v>383</v>
      </c>
      <c r="B105" s="68" t="s">
        <v>83</v>
      </c>
      <c r="C105" s="77"/>
      <c r="D105" s="81"/>
      <c r="E105" s="80"/>
      <c r="I105" s="79">
        <f t="shared" si="6"/>
        <v>0</v>
      </c>
      <c r="J105" s="78" t="s">
        <v>273</v>
      </c>
      <c r="K105" s="79">
        <f t="shared" si="7"/>
        <v>0</v>
      </c>
      <c r="M105" s="76"/>
      <c r="N105" s="76"/>
    </row>
    <row r="106" spans="1:14" s="78" customFormat="1" ht="14.35" x14ac:dyDescent="0.5">
      <c r="A106" s="68" t="s">
        <v>385</v>
      </c>
      <c r="B106" s="68" t="s">
        <v>85</v>
      </c>
      <c r="C106" s="77"/>
      <c r="D106" s="81"/>
      <c r="E106" s="80"/>
      <c r="I106" s="79">
        <f t="shared" si="6"/>
        <v>0</v>
      </c>
      <c r="J106" s="78" t="s">
        <v>273</v>
      </c>
      <c r="K106" s="79">
        <f t="shared" si="7"/>
        <v>0</v>
      </c>
      <c r="M106" s="76"/>
      <c r="N106" s="76"/>
    </row>
    <row r="107" spans="1:14" s="78" customFormat="1" ht="14.35" x14ac:dyDescent="0.5">
      <c r="A107" s="68" t="s">
        <v>387</v>
      </c>
      <c r="B107" s="68" t="s">
        <v>87</v>
      </c>
      <c r="C107" s="77"/>
      <c r="D107" s="81"/>
      <c r="E107" s="80"/>
      <c r="I107" s="79">
        <f t="shared" si="6"/>
        <v>0</v>
      </c>
      <c r="J107" s="78" t="s">
        <v>273</v>
      </c>
      <c r="K107" s="79">
        <f t="shared" si="7"/>
        <v>0</v>
      </c>
      <c r="M107" s="76"/>
      <c r="N107" s="76"/>
    </row>
    <row r="108" spans="1:14" s="78" customFormat="1" ht="14.35" x14ac:dyDescent="0.5">
      <c r="A108" s="68" t="s">
        <v>390</v>
      </c>
      <c r="B108" s="68" t="s">
        <v>90</v>
      </c>
      <c r="C108" s="77"/>
      <c r="D108" s="81"/>
      <c r="E108" s="80"/>
      <c r="I108" s="79">
        <f t="shared" si="6"/>
        <v>0</v>
      </c>
      <c r="J108" s="78" t="s">
        <v>273</v>
      </c>
      <c r="K108" s="79">
        <f t="shared" si="7"/>
        <v>0</v>
      </c>
      <c r="M108" s="76"/>
      <c r="N108" s="76"/>
    </row>
    <row r="109" spans="1:14" s="78" customFormat="1" ht="14.35" x14ac:dyDescent="0.5">
      <c r="A109" s="68" t="s">
        <v>392</v>
      </c>
      <c r="B109" s="68" t="s">
        <v>92</v>
      </c>
      <c r="C109" s="77"/>
      <c r="D109" s="81"/>
      <c r="E109" s="80"/>
      <c r="I109" s="79">
        <f t="shared" si="6"/>
        <v>0</v>
      </c>
      <c r="J109" s="78" t="s">
        <v>273</v>
      </c>
      <c r="K109" s="79">
        <f t="shared" si="7"/>
        <v>0</v>
      </c>
      <c r="M109" s="76"/>
      <c r="N109" s="76"/>
    </row>
    <row r="110" spans="1:14" s="78" customFormat="1" ht="14.35" x14ac:dyDescent="0.5">
      <c r="A110" s="68" t="s">
        <v>393</v>
      </c>
      <c r="B110" s="68" t="s">
        <v>93</v>
      </c>
      <c r="C110" s="77"/>
      <c r="D110" s="81"/>
      <c r="E110" s="80"/>
      <c r="I110" s="79">
        <f t="shared" si="6"/>
        <v>0</v>
      </c>
      <c r="J110" s="78" t="s">
        <v>273</v>
      </c>
      <c r="K110" s="79">
        <f t="shared" si="7"/>
        <v>0</v>
      </c>
      <c r="M110" s="76"/>
      <c r="N110" s="76"/>
    </row>
    <row r="111" spans="1:14" s="78" customFormat="1" ht="14.35" x14ac:dyDescent="0.5">
      <c r="A111" s="68" t="s">
        <v>395</v>
      </c>
      <c r="B111" s="68" t="s">
        <v>95</v>
      </c>
      <c r="C111" s="77"/>
      <c r="D111" s="81"/>
      <c r="E111" s="80"/>
      <c r="I111" s="79">
        <f t="shared" si="6"/>
        <v>0</v>
      </c>
      <c r="J111" s="78" t="s">
        <v>859</v>
      </c>
      <c r="K111" s="79">
        <f t="shared" si="7"/>
        <v>0</v>
      </c>
      <c r="M111" s="76"/>
      <c r="N111" s="76"/>
    </row>
    <row r="112" spans="1:14" s="78" customFormat="1" ht="14.35" x14ac:dyDescent="0.5">
      <c r="A112" s="68" t="s">
        <v>396</v>
      </c>
      <c r="B112" s="68" t="s">
        <v>96</v>
      </c>
      <c r="C112" s="77"/>
      <c r="D112" s="81"/>
      <c r="E112" s="80"/>
      <c r="I112" s="79">
        <f t="shared" si="6"/>
        <v>0</v>
      </c>
      <c r="J112" s="78" t="s">
        <v>859</v>
      </c>
      <c r="K112" s="79">
        <f t="shared" si="7"/>
        <v>0</v>
      </c>
      <c r="M112" s="76"/>
      <c r="N112" s="76"/>
    </row>
    <row r="113" spans="1:14" s="78" customFormat="1" ht="14.35" x14ac:dyDescent="0.5">
      <c r="A113" s="68" t="s">
        <v>397</v>
      </c>
      <c r="B113" s="68" t="s">
        <v>97</v>
      </c>
      <c r="C113" s="77"/>
      <c r="D113" s="81"/>
      <c r="E113" s="80"/>
      <c r="I113" s="79">
        <f t="shared" si="6"/>
        <v>0</v>
      </c>
      <c r="J113" s="78" t="s">
        <v>859</v>
      </c>
      <c r="K113" s="79">
        <f t="shared" si="7"/>
        <v>0</v>
      </c>
      <c r="M113" s="76"/>
      <c r="N113" s="76"/>
    </row>
    <row r="114" spans="1:14" s="78" customFormat="1" ht="14.35" x14ac:dyDescent="0.5">
      <c r="A114" s="27" t="s">
        <v>629</v>
      </c>
      <c r="B114" s="100" t="s">
        <v>630</v>
      </c>
      <c r="C114" s="77"/>
      <c r="D114" s="81"/>
      <c r="E114" s="80"/>
      <c r="I114" s="79">
        <f t="shared" si="6"/>
        <v>0</v>
      </c>
      <c r="J114" s="78" t="s">
        <v>859</v>
      </c>
      <c r="K114" s="79">
        <f t="shared" si="7"/>
        <v>0</v>
      </c>
      <c r="M114" s="76"/>
      <c r="N114" s="76"/>
    </row>
    <row r="115" spans="1:14" s="78" customFormat="1" ht="14.35" x14ac:dyDescent="0.5">
      <c r="A115" s="68" t="s">
        <v>398</v>
      </c>
      <c r="B115" s="68" t="s">
        <v>98</v>
      </c>
      <c r="C115" s="77"/>
      <c r="D115" s="81"/>
      <c r="E115" s="80"/>
      <c r="I115" s="79">
        <f t="shared" si="6"/>
        <v>0</v>
      </c>
      <c r="J115" s="78" t="s">
        <v>859</v>
      </c>
      <c r="K115" s="79">
        <f t="shared" si="7"/>
        <v>0</v>
      </c>
      <c r="M115" s="76"/>
      <c r="N115" s="76"/>
    </row>
    <row r="116" spans="1:14" s="78" customFormat="1" ht="14.35" x14ac:dyDescent="0.5">
      <c r="A116" s="68" t="s">
        <v>399</v>
      </c>
      <c r="B116" s="68" t="s">
        <v>99</v>
      </c>
      <c r="C116" s="77"/>
      <c r="D116" s="81"/>
      <c r="E116" s="80"/>
      <c r="I116" s="79">
        <f t="shared" si="6"/>
        <v>0</v>
      </c>
      <c r="J116" s="78" t="s">
        <v>859</v>
      </c>
      <c r="K116" s="79">
        <f t="shared" si="7"/>
        <v>0</v>
      </c>
      <c r="M116" s="76"/>
      <c r="N116" s="76"/>
    </row>
    <row r="117" spans="1:14" s="78" customFormat="1" ht="14.35" x14ac:dyDescent="0.5">
      <c r="A117" s="68" t="s">
        <v>400</v>
      </c>
      <c r="B117" s="68" t="s">
        <v>100</v>
      </c>
      <c r="C117" s="77"/>
      <c r="D117" s="81"/>
      <c r="E117" s="80"/>
      <c r="I117" s="79">
        <f t="shared" si="6"/>
        <v>0</v>
      </c>
      <c r="J117" s="78" t="s">
        <v>859</v>
      </c>
      <c r="K117" s="79">
        <f t="shared" si="7"/>
        <v>0</v>
      </c>
      <c r="M117" s="76"/>
      <c r="N117" s="76"/>
    </row>
    <row r="118" spans="1:14" s="78" customFormat="1" ht="14.35" x14ac:dyDescent="0.5">
      <c r="A118" s="68" t="s">
        <v>401</v>
      </c>
      <c r="B118" s="68" t="s">
        <v>101</v>
      </c>
      <c r="C118" s="77"/>
      <c r="D118" s="89"/>
      <c r="E118" s="80"/>
      <c r="I118" s="79">
        <f t="shared" si="6"/>
        <v>0</v>
      </c>
      <c r="J118" s="78" t="s">
        <v>859</v>
      </c>
      <c r="K118" s="79">
        <f t="shared" si="7"/>
        <v>0</v>
      </c>
      <c r="M118" s="76"/>
      <c r="N118" s="76"/>
    </row>
    <row r="119" spans="1:14" s="78" customFormat="1" ht="14.35" x14ac:dyDescent="0.5">
      <c r="A119" s="68" t="s">
        <v>402</v>
      </c>
      <c r="B119" s="68" t="s">
        <v>102</v>
      </c>
      <c r="C119" s="77"/>
      <c r="D119" s="81"/>
      <c r="E119" s="80"/>
      <c r="I119" s="79">
        <f t="shared" si="6"/>
        <v>0</v>
      </c>
      <c r="J119" s="78" t="s">
        <v>859</v>
      </c>
      <c r="K119" s="79">
        <f t="shared" si="7"/>
        <v>0</v>
      </c>
      <c r="M119" s="76"/>
      <c r="N119" s="76"/>
    </row>
    <row r="120" spans="1:14" s="78" customFormat="1" ht="14.35" x14ac:dyDescent="0.5">
      <c r="A120" s="68" t="s">
        <v>403</v>
      </c>
      <c r="B120" s="68" t="s">
        <v>103</v>
      </c>
      <c r="C120" s="77"/>
      <c r="D120" s="89"/>
      <c r="E120" s="80"/>
      <c r="I120" s="79">
        <f t="shared" si="6"/>
        <v>0</v>
      </c>
      <c r="J120" s="78" t="s">
        <v>859</v>
      </c>
      <c r="K120" s="79">
        <f t="shared" si="7"/>
        <v>0</v>
      </c>
      <c r="M120" s="76"/>
      <c r="N120" s="76"/>
    </row>
    <row r="121" spans="1:14" s="78" customFormat="1" ht="14.35" x14ac:dyDescent="0.5">
      <c r="A121" s="68" t="s">
        <v>406</v>
      </c>
      <c r="B121" s="68" t="s">
        <v>106</v>
      </c>
      <c r="C121" s="77"/>
      <c r="D121" s="81"/>
      <c r="E121" s="80"/>
      <c r="I121" s="79">
        <f t="shared" si="6"/>
        <v>0</v>
      </c>
      <c r="J121" s="78" t="s">
        <v>273</v>
      </c>
      <c r="K121" s="79">
        <f t="shared" si="7"/>
        <v>0</v>
      </c>
      <c r="M121" s="76"/>
      <c r="N121" s="76"/>
    </row>
    <row r="122" spans="1:14" s="78" customFormat="1" ht="14.35" x14ac:dyDescent="0.5">
      <c r="A122" s="68" t="s">
        <v>409</v>
      </c>
      <c r="B122" s="68" t="s">
        <v>109</v>
      </c>
      <c r="C122" s="77"/>
      <c r="D122" s="81"/>
      <c r="E122" s="80"/>
      <c r="I122" s="79">
        <f t="shared" si="6"/>
        <v>0</v>
      </c>
      <c r="J122" s="78" t="s">
        <v>273</v>
      </c>
      <c r="K122" s="79">
        <f t="shared" si="7"/>
        <v>0</v>
      </c>
      <c r="M122" s="76"/>
      <c r="N122" s="76"/>
    </row>
    <row r="123" spans="1:14" s="78" customFormat="1" ht="14.35" x14ac:dyDescent="0.5">
      <c r="A123" s="68" t="s">
        <v>410</v>
      </c>
      <c r="B123" s="68" t="s">
        <v>110</v>
      </c>
      <c r="C123" s="77"/>
      <c r="D123" s="81"/>
      <c r="E123" s="80"/>
      <c r="I123" s="79">
        <f t="shared" si="6"/>
        <v>0</v>
      </c>
      <c r="J123" s="78" t="s">
        <v>273</v>
      </c>
      <c r="K123" s="79">
        <f t="shared" si="7"/>
        <v>0</v>
      </c>
      <c r="M123" s="76"/>
      <c r="N123" s="76"/>
    </row>
    <row r="124" spans="1:14" s="78" customFormat="1" ht="14.35" x14ac:dyDescent="0.5">
      <c r="A124" s="68" t="s">
        <v>411</v>
      </c>
      <c r="B124" s="68" t="s">
        <v>111</v>
      </c>
      <c r="C124" s="77"/>
      <c r="D124" s="81"/>
      <c r="E124" s="80"/>
      <c r="I124" s="79">
        <f t="shared" si="6"/>
        <v>0</v>
      </c>
      <c r="J124" s="78" t="s">
        <v>273</v>
      </c>
      <c r="K124" s="79">
        <f t="shared" si="7"/>
        <v>0</v>
      </c>
      <c r="M124" s="76"/>
      <c r="N124" s="76"/>
    </row>
    <row r="125" spans="1:14" s="78" customFormat="1" ht="14.35" x14ac:dyDescent="0.5">
      <c r="A125" s="68" t="s">
        <v>419</v>
      </c>
      <c r="B125" s="68" t="s">
        <v>119</v>
      </c>
      <c r="C125" s="77"/>
      <c r="D125" s="81"/>
      <c r="E125" s="80"/>
      <c r="I125" s="79">
        <f t="shared" si="6"/>
        <v>0</v>
      </c>
      <c r="J125" s="78" t="s">
        <v>273</v>
      </c>
      <c r="K125" s="79">
        <f t="shared" si="7"/>
        <v>0</v>
      </c>
      <c r="M125" s="76"/>
      <c r="N125" s="76"/>
    </row>
    <row r="126" spans="1:14" s="78" customFormat="1" ht="14.35" x14ac:dyDescent="0.5">
      <c r="A126" s="68" t="s">
        <v>421</v>
      </c>
      <c r="B126" s="68" t="s">
        <v>121</v>
      </c>
      <c r="C126" s="77"/>
      <c r="D126" s="81"/>
      <c r="E126" s="80"/>
      <c r="I126" s="79">
        <f t="shared" si="6"/>
        <v>0</v>
      </c>
      <c r="J126" s="78" t="s">
        <v>273</v>
      </c>
      <c r="K126" s="79">
        <f t="shared" si="7"/>
        <v>0</v>
      </c>
      <c r="M126" s="76"/>
      <c r="N126" s="76"/>
    </row>
    <row r="127" spans="1:14" s="78" customFormat="1" ht="14.35" x14ac:dyDescent="0.5">
      <c r="A127" s="68" t="s">
        <v>423</v>
      </c>
      <c r="B127" s="68" t="s">
        <v>123</v>
      </c>
      <c r="C127" s="77"/>
      <c r="D127" s="81"/>
      <c r="E127" s="80"/>
      <c r="I127" s="79">
        <f t="shared" si="6"/>
        <v>0</v>
      </c>
      <c r="J127" s="78" t="s">
        <v>273</v>
      </c>
      <c r="K127" s="79">
        <f t="shared" si="7"/>
        <v>0</v>
      </c>
      <c r="M127" s="76"/>
      <c r="N127" s="76"/>
    </row>
    <row r="128" spans="1:14" s="78" customFormat="1" ht="14.35" x14ac:dyDescent="0.5">
      <c r="A128" s="68" t="s">
        <v>424</v>
      </c>
      <c r="B128" s="68" t="s">
        <v>124</v>
      </c>
      <c r="C128" s="77"/>
      <c r="D128" s="81"/>
      <c r="E128" s="80"/>
      <c r="I128" s="79">
        <f t="shared" si="6"/>
        <v>0</v>
      </c>
      <c r="J128" s="78" t="s">
        <v>273</v>
      </c>
      <c r="K128" s="79">
        <f t="shared" si="7"/>
        <v>0</v>
      </c>
      <c r="M128" s="76"/>
      <c r="N128" s="76"/>
    </row>
    <row r="129" spans="1:14" s="78" customFormat="1" ht="14.35" x14ac:dyDescent="0.5">
      <c r="A129" s="68" t="s">
        <v>425</v>
      </c>
      <c r="B129" s="68" t="s">
        <v>259</v>
      </c>
      <c r="C129" s="77"/>
      <c r="D129" s="81"/>
      <c r="E129" s="80"/>
      <c r="I129" s="79">
        <f t="shared" si="6"/>
        <v>0</v>
      </c>
      <c r="J129" s="78" t="s">
        <v>273</v>
      </c>
      <c r="K129" s="79">
        <f t="shared" si="7"/>
        <v>0</v>
      </c>
      <c r="M129" s="76"/>
      <c r="N129" s="76"/>
    </row>
    <row r="130" spans="1:14" s="78" customFormat="1" ht="14.35" x14ac:dyDescent="0.5">
      <c r="A130" s="68" t="s">
        <v>628</v>
      </c>
      <c r="B130" s="68" t="s">
        <v>620</v>
      </c>
      <c r="C130" s="77"/>
      <c r="D130" s="81"/>
      <c r="E130" s="80"/>
      <c r="I130" s="79">
        <f t="shared" si="6"/>
        <v>0</v>
      </c>
      <c r="J130" s="78" t="s">
        <v>273</v>
      </c>
      <c r="K130" s="79">
        <f t="shared" si="7"/>
        <v>0</v>
      </c>
      <c r="M130" s="76"/>
      <c r="N130" s="76"/>
    </row>
    <row r="131" spans="1:14" s="78" customFormat="1" ht="14.35" x14ac:dyDescent="0.5">
      <c r="A131" s="68" t="s">
        <v>623</v>
      </c>
      <c r="B131" s="68" t="s">
        <v>631</v>
      </c>
      <c r="C131" s="77"/>
      <c r="D131" s="81"/>
      <c r="E131" s="80"/>
      <c r="I131" s="79">
        <f t="shared" si="6"/>
        <v>0</v>
      </c>
      <c r="J131" s="78" t="s">
        <v>273</v>
      </c>
      <c r="K131" s="79">
        <f t="shared" si="7"/>
        <v>0</v>
      </c>
      <c r="M131" s="76"/>
      <c r="N131" s="76"/>
    </row>
    <row r="132" spans="1:14" s="78" customFormat="1" ht="14.35" x14ac:dyDescent="0.5">
      <c r="A132" s="68" t="s">
        <v>635</v>
      </c>
      <c r="B132" s="68" t="s">
        <v>634</v>
      </c>
      <c r="C132" s="77"/>
      <c r="D132" s="81"/>
      <c r="E132" s="80"/>
      <c r="I132" s="79">
        <f t="shared" si="6"/>
        <v>0</v>
      </c>
      <c r="J132" s="78" t="s">
        <v>273</v>
      </c>
      <c r="K132" s="79">
        <f t="shared" si="7"/>
        <v>0</v>
      </c>
      <c r="M132" s="76"/>
      <c r="N132" s="76"/>
    </row>
    <row r="133" spans="1:14" s="78" customFormat="1" ht="14.35" x14ac:dyDescent="0.5">
      <c r="A133" s="68" t="s">
        <v>645</v>
      </c>
      <c r="B133" s="68" t="s">
        <v>643</v>
      </c>
      <c r="C133" s="77"/>
      <c r="D133" s="81"/>
      <c r="E133" s="80"/>
      <c r="I133" s="79">
        <f t="shared" si="6"/>
        <v>0</v>
      </c>
      <c r="J133" s="78" t="s">
        <v>273</v>
      </c>
      <c r="K133" s="79">
        <f t="shared" si="7"/>
        <v>0</v>
      </c>
      <c r="M133" s="76"/>
      <c r="N133" s="76"/>
    </row>
    <row r="134" spans="1:14" s="78" customFormat="1" ht="14.35" x14ac:dyDescent="0.5">
      <c r="A134" s="68" t="s">
        <v>646</v>
      </c>
      <c r="B134" s="68" t="s">
        <v>647</v>
      </c>
      <c r="C134" s="77"/>
      <c r="D134" s="81"/>
      <c r="E134" s="80"/>
      <c r="I134" s="79">
        <f t="shared" si="6"/>
        <v>0</v>
      </c>
      <c r="J134" s="78" t="s">
        <v>273</v>
      </c>
      <c r="K134" s="79">
        <f t="shared" si="7"/>
        <v>0</v>
      </c>
      <c r="M134" s="76"/>
      <c r="N134" s="76"/>
    </row>
    <row r="135" spans="1:14" s="78" customFormat="1" ht="14.35" x14ac:dyDescent="0.5">
      <c r="A135" s="68" t="s">
        <v>658</v>
      </c>
      <c r="B135" s="68" t="s">
        <v>657</v>
      </c>
      <c r="C135" s="77"/>
      <c r="D135" s="81"/>
      <c r="E135" s="80"/>
      <c r="I135" s="79">
        <f t="shared" si="6"/>
        <v>0</v>
      </c>
      <c r="J135" s="78" t="s">
        <v>273</v>
      </c>
      <c r="K135" s="79">
        <f t="shared" si="7"/>
        <v>0</v>
      </c>
      <c r="M135" s="76"/>
      <c r="N135" s="76"/>
    </row>
    <row r="136" spans="1:14" s="78" customFormat="1" ht="14.35" x14ac:dyDescent="0.5">
      <c r="A136" s="68" t="s">
        <v>661</v>
      </c>
      <c r="B136" s="68" t="s">
        <v>660</v>
      </c>
      <c r="C136" s="77"/>
      <c r="D136" s="81"/>
      <c r="E136" s="80"/>
      <c r="I136" s="79">
        <f t="shared" si="6"/>
        <v>0</v>
      </c>
      <c r="J136" s="78" t="s">
        <v>273</v>
      </c>
      <c r="K136" s="79">
        <f t="shared" si="7"/>
        <v>0</v>
      </c>
      <c r="M136" s="76"/>
      <c r="N136" s="76"/>
    </row>
    <row r="137" spans="1:14" s="78" customFormat="1" ht="14.35" x14ac:dyDescent="0.5">
      <c r="A137" s="100" t="s">
        <v>674</v>
      </c>
      <c r="B137" s="100" t="s">
        <v>675</v>
      </c>
      <c r="C137" s="77"/>
      <c r="D137" s="81"/>
      <c r="E137" s="80"/>
      <c r="I137" s="79">
        <f t="shared" si="6"/>
        <v>0</v>
      </c>
      <c r="J137" s="78" t="s">
        <v>273</v>
      </c>
      <c r="K137" s="79">
        <f t="shared" si="7"/>
        <v>0</v>
      </c>
      <c r="M137" s="76"/>
      <c r="N137" s="76"/>
    </row>
    <row r="138" spans="1:14" s="78" customFormat="1" ht="14.35" x14ac:dyDescent="0.5">
      <c r="A138" s="100" t="s">
        <v>692</v>
      </c>
      <c r="B138" s="100" t="s">
        <v>689</v>
      </c>
      <c r="C138" s="77"/>
      <c r="D138" s="81"/>
      <c r="E138" s="80"/>
      <c r="I138" s="79">
        <f t="shared" si="6"/>
        <v>0</v>
      </c>
      <c r="J138" s="78" t="s">
        <v>273</v>
      </c>
      <c r="K138" s="79">
        <f t="shared" si="7"/>
        <v>0</v>
      </c>
      <c r="M138" s="76"/>
      <c r="N138" s="76"/>
    </row>
    <row r="139" spans="1:14" s="78" customFormat="1" ht="14.35" x14ac:dyDescent="0.5">
      <c r="A139" s="100" t="s">
        <v>693</v>
      </c>
      <c r="B139" s="100" t="s">
        <v>691</v>
      </c>
      <c r="C139" s="77"/>
      <c r="D139" s="81"/>
      <c r="E139" s="80"/>
      <c r="I139" s="79">
        <f t="shared" si="6"/>
        <v>0</v>
      </c>
      <c r="J139" s="78" t="s">
        <v>273</v>
      </c>
      <c r="K139" s="79">
        <f t="shared" si="7"/>
        <v>0</v>
      </c>
      <c r="M139" s="76"/>
      <c r="N139" s="76"/>
    </row>
    <row r="140" spans="1:14" s="78" customFormat="1" ht="14.35" x14ac:dyDescent="0.5">
      <c r="A140" s="100" t="s">
        <v>676</v>
      </c>
      <c r="B140" s="100" t="s">
        <v>677</v>
      </c>
      <c r="C140" s="77"/>
      <c r="D140" s="81"/>
      <c r="E140" s="80"/>
      <c r="I140" s="79">
        <f t="shared" si="6"/>
        <v>0</v>
      </c>
      <c r="J140" s="78" t="s">
        <v>273</v>
      </c>
      <c r="K140" s="79">
        <f t="shared" si="7"/>
        <v>0</v>
      </c>
      <c r="M140" s="76"/>
      <c r="N140" s="76"/>
    </row>
    <row r="141" spans="1:14" s="78" customFormat="1" ht="14.35" x14ac:dyDescent="0.5">
      <c r="A141" s="71" t="s">
        <v>762</v>
      </c>
      <c r="B141" s="71" t="s">
        <v>763</v>
      </c>
      <c r="C141" s="77"/>
      <c r="D141" s="81"/>
      <c r="E141" s="80"/>
      <c r="I141" s="79">
        <f t="shared" si="6"/>
        <v>0</v>
      </c>
      <c r="J141" s="78" t="s">
        <v>273</v>
      </c>
      <c r="K141" s="79">
        <f t="shared" si="7"/>
        <v>0</v>
      </c>
      <c r="M141" s="76"/>
      <c r="N141" s="76"/>
    </row>
    <row r="142" spans="1:14" s="78" customFormat="1" ht="14.35" x14ac:dyDescent="0.5">
      <c r="A142" s="71" t="s">
        <v>764</v>
      </c>
      <c r="B142" s="71" t="s">
        <v>765</v>
      </c>
      <c r="C142" s="77"/>
      <c r="D142" s="81"/>
      <c r="E142" s="80"/>
      <c r="I142" s="79">
        <f t="shared" si="6"/>
        <v>0</v>
      </c>
      <c r="J142" s="78" t="s">
        <v>273</v>
      </c>
      <c r="K142" s="79">
        <f t="shared" si="7"/>
        <v>0</v>
      </c>
      <c r="M142" s="76"/>
      <c r="N142" s="76"/>
    </row>
    <row r="143" spans="1:14" s="78" customFormat="1" ht="14.35" x14ac:dyDescent="0.5">
      <c r="A143" s="71" t="s">
        <v>775</v>
      </c>
      <c r="B143" s="100" t="s">
        <v>776</v>
      </c>
      <c r="C143" s="77"/>
      <c r="D143" s="81"/>
      <c r="E143" s="80"/>
      <c r="I143" s="79">
        <f t="shared" si="6"/>
        <v>0</v>
      </c>
      <c r="J143" s="78" t="s">
        <v>273</v>
      </c>
      <c r="K143" s="79">
        <f t="shared" si="7"/>
        <v>0</v>
      </c>
      <c r="M143" s="76"/>
      <c r="N143" s="76"/>
    </row>
    <row r="144" spans="1:14" s="78" customFormat="1" ht="14.35" x14ac:dyDescent="0.5">
      <c r="A144" s="71" t="s">
        <v>777</v>
      </c>
      <c r="B144" s="100" t="s">
        <v>778</v>
      </c>
      <c r="C144" s="77"/>
      <c r="D144" s="81"/>
      <c r="E144" s="80"/>
      <c r="I144" s="79">
        <f t="shared" ref="I144:I208" si="8">SUM(C144:H144)</f>
        <v>0</v>
      </c>
      <c r="J144" s="78" t="s">
        <v>273</v>
      </c>
      <c r="K144" s="79">
        <f t="shared" ref="K144:K209" si="9">I144</f>
        <v>0</v>
      </c>
      <c r="M144" s="76"/>
      <c r="N144" s="76"/>
    </row>
    <row r="145" spans="1:14" s="78" customFormat="1" ht="14.35" x14ac:dyDescent="0.5">
      <c r="A145" s="100" t="s">
        <v>788</v>
      </c>
      <c r="B145" s="100" t="s">
        <v>789</v>
      </c>
      <c r="C145" s="77"/>
      <c r="D145" s="81"/>
      <c r="E145" s="80"/>
      <c r="I145" s="79">
        <f t="shared" si="8"/>
        <v>0</v>
      </c>
      <c r="J145" s="78" t="s">
        <v>273</v>
      </c>
      <c r="K145" s="79">
        <f t="shared" si="9"/>
        <v>0</v>
      </c>
      <c r="M145" s="76"/>
      <c r="N145" s="76"/>
    </row>
    <row r="146" spans="1:14" s="78" customFormat="1" ht="14.35" x14ac:dyDescent="0.5">
      <c r="A146" s="100" t="s">
        <v>790</v>
      </c>
      <c r="B146" s="100" t="s">
        <v>791</v>
      </c>
      <c r="C146" s="77"/>
      <c r="D146" s="81"/>
      <c r="E146" s="80"/>
      <c r="I146" s="79">
        <f t="shared" si="8"/>
        <v>0</v>
      </c>
      <c r="J146" s="78" t="s">
        <v>273</v>
      </c>
      <c r="K146" s="79">
        <f t="shared" si="9"/>
        <v>0</v>
      </c>
      <c r="M146" s="76"/>
      <c r="N146" s="76"/>
    </row>
    <row r="147" spans="1:14" s="78" customFormat="1" ht="14.35" x14ac:dyDescent="0.5">
      <c r="A147" s="100" t="s">
        <v>803</v>
      </c>
      <c r="B147" s="100" t="s">
        <v>804</v>
      </c>
      <c r="C147" s="77"/>
      <c r="D147" s="81"/>
      <c r="E147" s="80"/>
      <c r="I147" s="79">
        <f t="shared" si="8"/>
        <v>0</v>
      </c>
      <c r="J147" s="78" t="s">
        <v>273</v>
      </c>
      <c r="K147" s="79">
        <f t="shared" si="9"/>
        <v>0</v>
      </c>
      <c r="M147" s="76"/>
      <c r="N147" s="76"/>
    </row>
    <row r="148" spans="1:14" s="78" customFormat="1" ht="14.35" x14ac:dyDescent="0.5">
      <c r="A148" s="100" t="s">
        <v>814</v>
      </c>
      <c r="B148" s="100" t="s">
        <v>815</v>
      </c>
      <c r="C148" s="77"/>
      <c r="D148" s="81"/>
      <c r="E148" s="80"/>
      <c r="I148" s="79">
        <f t="shared" si="8"/>
        <v>0</v>
      </c>
      <c r="J148" s="78" t="s">
        <v>273</v>
      </c>
      <c r="K148" s="79">
        <f t="shared" si="9"/>
        <v>0</v>
      </c>
      <c r="M148" s="76"/>
      <c r="N148" s="76"/>
    </row>
    <row r="149" spans="1:14" s="78" customFormat="1" ht="14.35" x14ac:dyDescent="0.5">
      <c r="A149" s="100" t="s">
        <v>863</v>
      </c>
      <c r="B149" s="100" t="s">
        <v>864</v>
      </c>
      <c r="C149" s="77"/>
      <c r="D149" s="81"/>
      <c r="E149" s="80"/>
      <c r="I149" s="79">
        <f t="shared" si="8"/>
        <v>0</v>
      </c>
      <c r="J149" s="78" t="s">
        <v>273</v>
      </c>
      <c r="K149" s="79">
        <f t="shared" si="9"/>
        <v>0</v>
      </c>
      <c r="M149" s="76"/>
      <c r="N149" s="76"/>
    </row>
    <row r="150" spans="1:14" s="78" customFormat="1" ht="14.35" x14ac:dyDescent="0.5">
      <c r="A150" s="100" t="s">
        <v>871</v>
      </c>
      <c r="B150" s="100" t="s">
        <v>872</v>
      </c>
      <c r="C150" s="77"/>
      <c r="D150" s="81"/>
      <c r="E150" s="80"/>
      <c r="I150" s="79">
        <f t="shared" si="8"/>
        <v>0</v>
      </c>
      <c r="J150" s="78" t="s">
        <v>273</v>
      </c>
      <c r="K150" s="79">
        <f t="shared" si="9"/>
        <v>0</v>
      </c>
      <c r="M150" s="76"/>
      <c r="N150" s="76"/>
    </row>
    <row r="151" spans="1:14" s="78" customFormat="1" ht="14.35" x14ac:dyDescent="0.5">
      <c r="A151" s="100" t="s">
        <v>880</v>
      </c>
      <c r="B151" s="100" t="s">
        <v>881</v>
      </c>
      <c r="C151" s="77"/>
      <c r="D151" s="81"/>
      <c r="E151" s="80"/>
      <c r="I151" s="79">
        <f t="shared" si="8"/>
        <v>0</v>
      </c>
      <c r="J151" s="78" t="s">
        <v>273</v>
      </c>
      <c r="K151" s="79">
        <f t="shared" si="9"/>
        <v>0</v>
      </c>
      <c r="M151" s="76"/>
      <c r="N151" s="76"/>
    </row>
    <row r="152" spans="1:14" s="78" customFormat="1" ht="14.35" x14ac:dyDescent="0.5">
      <c r="A152" s="68" t="s">
        <v>426</v>
      </c>
      <c r="B152" s="68" t="s">
        <v>125</v>
      </c>
      <c r="C152" s="77"/>
      <c r="D152" s="81"/>
      <c r="E152" s="80"/>
      <c r="I152" s="79">
        <f t="shared" si="8"/>
        <v>0</v>
      </c>
      <c r="J152" s="78" t="s">
        <v>272</v>
      </c>
      <c r="K152" s="79">
        <f t="shared" si="9"/>
        <v>0</v>
      </c>
      <c r="M152" s="76"/>
      <c r="N152" s="76"/>
    </row>
    <row r="153" spans="1:14" s="78" customFormat="1" ht="14.35" x14ac:dyDescent="0.5">
      <c r="A153" s="100" t="s">
        <v>805</v>
      </c>
      <c r="B153" s="100" t="s">
        <v>806</v>
      </c>
      <c r="C153" s="77"/>
      <c r="D153" s="81"/>
      <c r="E153" s="80"/>
      <c r="I153" s="79">
        <f t="shared" si="8"/>
        <v>0</v>
      </c>
      <c r="J153" s="78" t="s">
        <v>272</v>
      </c>
      <c r="K153" s="79">
        <f t="shared" si="9"/>
        <v>0</v>
      </c>
      <c r="M153" s="76"/>
      <c r="N153" s="76"/>
    </row>
    <row r="154" spans="1:14" s="78" customFormat="1" ht="14.35" x14ac:dyDescent="0.5">
      <c r="A154" s="68" t="s">
        <v>427</v>
      </c>
      <c r="B154" s="68" t="s">
        <v>126</v>
      </c>
      <c r="C154" s="77"/>
      <c r="D154" s="81"/>
      <c r="E154" s="80"/>
      <c r="I154" s="79">
        <f t="shared" si="8"/>
        <v>0</v>
      </c>
      <c r="J154" s="78" t="s">
        <v>272</v>
      </c>
      <c r="K154" s="79">
        <f t="shared" si="9"/>
        <v>0</v>
      </c>
      <c r="M154" s="76"/>
      <c r="N154" s="76"/>
    </row>
    <row r="155" spans="1:14" s="78" customFormat="1" ht="14.35" x14ac:dyDescent="0.5">
      <c r="A155" s="68" t="s">
        <v>428</v>
      </c>
      <c r="B155" s="68" t="s">
        <v>127</v>
      </c>
      <c r="C155" s="77"/>
      <c r="D155" s="81"/>
      <c r="E155" s="80"/>
      <c r="I155" s="79">
        <f t="shared" si="8"/>
        <v>0</v>
      </c>
      <c r="J155" s="78" t="s">
        <v>272</v>
      </c>
      <c r="K155" s="79">
        <f t="shared" si="9"/>
        <v>0</v>
      </c>
      <c r="M155" s="76"/>
      <c r="N155" s="76"/>
    </row>
    <row r="156" spans="1:14" s="78" customFormat="1" ht="14.35" x14ac:dyDescent="0.5">
      <c r="A156" s="68" t="s">
        <v>429</v>
      </c>
      <c r="B156" s="68" t="s">
        <v>128</v>
      </c>
      <c r="C156" s="77"/>
      <c r="D156" s="81"/>
      <c r="E156" s="80"/>
      <c r="I156" s="79">
        <f t="shared" si="8"/>
        <v>0</v>
      </c>
      <c r="J156" s="78" t="s">
        <v>272</v>
      </c>
      <c r="K156" s="79">
        <f t="shared" si="9"/>
        <v>0</v>
      </c>
      <c r="M156" s="76"/>
      <c r="N156" s="76"/>
    </row>
    <row r="157" spans="1:14" s="78" customFormat="1" ht="14.35" x14ac:dyDescent="0.5">
      <c r="A157" s="68" t="s">
        <v>430</v>
      </c>
      <c r="B157" s="68" t="s">
        <v>129</v>
      </c>
      <c r="C157" s="77"/>
      <c r="D157" s="81"/>
      <c r="E157" s="80"/>
      <c r="I157" s="79">
        <f t="shared" si="8"/>
        <v>0</v>
      </c>
      <c r="J157" s="78" t="s">
        <v>272</v>
      </c>
      <c r="K157" s="79">
        <f t="shared" si="9"/>
        <v>0</v>
      </c>
      <c r="M157" s="76"/>
      <c r="N157" s="76"/>
    </row>
    <row r="158" spans="1:14" s="78" customFormat="1" ht="14.35" x14ac:dyDescent="0.5">
      <c r="A158" s="68" t="s">
        <v>431</v>
      </c>
      <c r="B158" s="68" t="s">
        <v>70</v>
      </c>
      <c r="C158" s="77"/>
      <c r="D158" s="81"/>
      <c r="E158" s="80"/>
      <c r="I158" s="79">
        <f t="shared" si="8"/>
        <v>0</v>
      </c>
      <c r="J158" s="78" t="s">
        <v>274</v>
      </c>
      <c r="K158" s="79">
        <f t="shared" si="9"/>
        <v>0</v>
      </c>
      <c r="M158" s="76"/>
      <c r="N158" s="76"/>
    </row>
    <row r="159" spans="1:14" s="78" customFormat="1" ht="14.35" x14ac:dyDescent="0.5">
      <c r="A159" s="68" t="s">
        <v>436</v>
      </c>
      <c r="B159" s="68" t="s">
        <v>76</v>
      </c>
      <c r="C159" s="77"/>
      <c r="D159" s="81"/>
      <c r="E159" s="80"/>
      <c r="I159" s="79">
        <f t="shared" si="8"/>
        <v>0</v>
      </c>
      <c r="J159" s="78" t="s">
        <v>274</v>
      </c>
      <c r="K159" s="79">
        <f t="shared" si="9"/>
        <v>0</v>
      </c>
      <c r="M159" s="76"/>
      <c r="N159" s="76"/>
    </row>
    <row r="160" spans="1:14" s="78" customFormat="1" ht="14.35" x14ac:dyDescent="0.5">
      <c r="A160" s="68" t="s">
        <v>438</v>
      </c>
      <c r="B160" s="68" t="s">
        <v>78</v>
      </c>
      <c r="C160" s="77"/>
      <c r="D160" s="81"/>
      <c r="E160" s="80"/>
      <c r="I160" s="79">
        <f t="shared" si="8"/>
        <v>0</v>
      </c>
      <c r="J160" s="78" t="s">
        <v>274</v>
      </c>
      <c r="K160" s="79">
        <f t="shared" si="9"/>
        <v>0</v>
      </c>
      <c r="M160" s="76"/>
      <c r="N160" s="76"/>
    </row>
    <row r="161" spans="1:14" s="78" customFormat="1" ht="14.35" x14ac:dyDescent="0.5">
      <c r="A161" s="68" t="s">
        <v>439</v>
      </c>
      <c r="B161" s="68" t="s">
        <v>79</v>
      </c>
      <c r="C161" s="77"/>
      <c r="D161" s="81"/>
      <c r="E161" s="80"/>
      <c r="I161" s="79">
        <f t="shared" si="8"/>
        <v>0</v>
      </c>
      <c r="J161" s="78" t="s">
        <v>274</v>
      </c>
      <c r="K161" s="79">
        <f t="shared" si="9"/>
        <v>0</v>
      </c>
      <c r="M161" s="76"/>
      <c r="N161" s="76"/>
    </row>
    <row r="162" spans="1:14" s="78" customFormat="1" ht="14.35" x14ac:dyDescent="0.5">
      <c r="A162" s="68" t="s">
        <v>440</v>
      </c>
      <c r="B162" s="68" t="s">
        <v>80</v>
      </c>
      <c r="C162" s="77"/>
      <c r="D162" s="81"/>
      <c r="E162" s="80"/>
      <c r="I162" s="79">
        <f t="shared" si="8"/>
        <v>0</v>
      </c>
      <c r="J162" s="78" t="s">
        <v>274</v>
      </c>
      <c r="K162" s="79">
        <f t="shared" si="9"/>
        <v>0</v>
      </c>
      <c r="M162" s="76"/>
      <c r="N162" s="76"/>
    </row>
    <row r="163" spans="1:14" s="78" customFormat="1" ht="14.35" x14ac:dyDescent="0.5">
      <c r="A163" s="68" t="s">
        <v>443</v>
      </c>
      <c r="B163" s="68" t="s">
        <v>83</v>
      </c>
      <c r="C163" s="77"/>
      <c r="D163" s="81"/>
      <c r="E163" s="80"/>
      <c r="I163" s="79">
        <f t="shared" si="8"/>
        <v>0</v>
      </c>
      <c r="J163" s="78" t="s">
        <v>274</v>
      </c>
      <c r="K163" s="79">
        <f t="shared" si="9"/>
        <v>0</v>
      </c>
      <c r="M163" s="76"/>
      <c r="N163" s="76"/>
    </row>
    <row r="164" spans="1:14" s="78" customFormat="1" ht="14.35" x14ac:dyDescent="0.5">
      <c r="A164" s="68" t="s">
        <v>445</v>
      </c>
      <c r="B164" s="68" t="s">
        <v>85</v>
      </c>
      <c r="C164" s="77"/>
      <c r="D164" s="81"/>
      <c r="E164" s="80"/>
      <c r="I164" s="79">
        <f t="shared" si="8"/>
        <v>0</v>
      </c>
      <c r="J164" s="78" t="s">
        <v>274</v>
      </c>
      <c r="K164" s="79">
        <f t="shared" si="9"/>
        <v>0</v>
      </c>
      <c r="M164" s="76"/>
      <c r="N164" s="76"/>
    </row>
    <row r="165" spans="1:14" s="78" customFormat="1" ht="14.35" x14ac:dyDescent="0.5">
      <c r="A165" s="68" t="s">
        <v>447</v>
      </c>
      <c r="B165" s="68" t="s">
        <v>87</v>
      </c>
      <c r="C165" s="77"/>
      <c r="D165" s="81"/>
      <c r="E165" s="80"/>
      <c r="I165" s="79">
        <f t="shared" si="8"/>
        <v>0</v>
      </c>
      <c r="J165" s="78" t="s">
        <v>274</v>
      </c>
      <c r="K165" s="79">
        <f t="shared" si="9"/>
        <v>0</v>
      </c>
      <c r="M165" s="76"/>
      <c r="N165" s="76"/>
    </row>
    <row r="166" spans="1:14" s="78" customFormat="1" ht="14.35" x14ac:dyDescent="0.5">
      <c r="A166" s="68" t="s">
        <v>450</v>
      </c>
      <c r="B166" s="68" t="s">
        <v>90</v>
      </c>
      <c r="C166" s="77"/>
      <c r="D166" s="81"/>
      <c r="E166" s="80"/>
      <c r="I166" s="79">
        <f t="shared" si="8"/>
        <v>0</v>
      </c>
      <c r="J166" s="78" t="s">
        <v>274</v>
      </c>
      <c r="K166" s="79">
        <f t="shared" si="9"/>
        <v>0</v>
      </c>
      <c r="M166" s="76"/>
      <c r="N166" s="76"/>
    </row>
    <row r="167" spans="1:14" s="78" customFormat="1" ht="14.35" x14ac:dyDescent="0.5">
      <c r="A167" s="68" t="s">
        <v>452</v>
      </c>
      <c r="B167" s="68" t="s">
        <v>92</v>
      </c>
      <c r="C167" s="77"/>
      <c r="D167" s="81"/>
      <c r="E167" s="80"/>
      <c r="I167" s="79">
        <f t="shared" si="8"/>
        <v>0</v>
      </c>
      <c r="J167" s="78" t="s">
        <v>274</v>
      </c>
      <c r="K167" s="79">
        <f t="shared" si="9"/>
        <v>0</v>
      </c>
      <c r="M167" s="76"/>
      <c r="N167" s="76"/>
    </row>
    <row r="168" spans="1:14" s="78" customFormat="1" ht="14.35" x14ac:dyDescent="0.5">
      <c r="A168" s="68" t="s">
        <v>453</v>
      </c>
      <c r="B168" s="68" t="s">
        <v>93</v>
      </c>
      <c r="C168" s="77"/>
      <c r="D168" s="81"/>
      <c r="E168" s="80"/>
      <c r="I168" s="79">
        <f t="shared" si="8"/>
        <v>0</v>
      </c>
      <c r="J168" s="78" t="s">
        <v>274</v>
      </c>
      <c r="K168" s="79">
        <f t="shared" si="9"/>
        <v>0</v>
      </c>
      <c r="M168" s="76"/>
      <c r="N168" s="76"/>
    </row>
    <row r="169" spans="1:14" s="78" customFormat="1" ht="14.35" x14ac:dyDescent="0.5">
      <c r="A169" s="68" t="s">
        <v>457</v>
      </c>
      <c r="B169" s="68" t="s">
        <v>106</v>
      </c>
      <c r="C169" s="77"/>
      <c r="D169" s="81"/>
      <c r="E169" s="80"/>
      <c r="I169" s="79">
        <f t="shared" si="8"/>
        <v>0</v>
      </c>
      <c r="J169" s="78" t="s">
        <v>274</v>
      </c>
      <c r="K169" s="79">
        <f t="shared" si="9"/>
        <v>0</v>
      </c>
      <c r="M169" s="76"/>
      <c r="N169" s="76"/>
    </row>
    <row r="170" spans="1:14" s="78" customFormat="1" ht="14.35" x14ac:dyDescent="0.5">
      <c r="A170" s="68" t="s">
        <v>460</v>
      </c>
      <c r="B170" s="68" t="s">
        <v>109</v>
      </c>
      <c r="C170" s="77"/>
      <c r="D170" s="81"/>
      <c r="E170" s="80"/>
      <c r="I170" s="79">
        <f t="shared" si="8"/>
        <v>0</v>
      </c>
      <c r="J170" s="78" t="s">
        <v>274</v>
      </c>
      <c r="K170" s="79">
        <f t="shared" si="9"/>
        <v>0</v>
      </c>
      <c r="M170" s="76"/>
      <c r="N170" s="76"/>
    </row>
    <row r="171" spans="1:14" s="78" customFormat="1" ht="14.35" x14ac:dyDescent="0.5">
      <c r="A171" s="68" t="s">
        <v>461</v>
      </c>
      <c r="B171" s="68" t="s">
        <v>110</v>
      </c>
      <c r="C171" s="77"/>
      <c r="D171" s="81"/>
      <c r="E171" s="80"/>
      <c r="I171" s="79">
        <f t="shared" si="8"/>
        <v>0</v>
      </c>
      <c r="J171" s="78" t="s">
        <v>274</v>
      </c>
      <c r="K171" s="79">
        <f t="shared" si="9"/>
        <v>0</v>
      </c>
      <c r="M171" s="76"/>
      <c r="N171" s="76"/>
    </row>
    <row r="172" spans="1:14" s="78" customFormat="1" ht="14.35" x14ac:dyDescent="0.5">
      <c r="A172" s="68" t="s">
        <v>462</v>
      </c>
      <c r="B172" s="68" t="s">
        <v>136</v>
      </c>
      <c r="C172" s="77"/>
      <c r="D172" s="81"/>
      <c r="E172" s="80"/>
      <c r="I172" s="79">
        <f t="shared" si="8"/>
        <v>0</v>
      </c>
      <c r="J172" s="78" t="s">
        <v>274</v>
      </c>
      <c r="K172" s="79">
        <f t="shared" si="9"/>
        <v>0</v>
      </c>
      <c r="M172" s="76"/>
      <c r="N172" s="76"/>
    </row>
    <row r="173" spans="1:14" s="78" customFormat="1" ht="14.35" x14ac:dyDescent="0.5">
      <c r="A173" s="68" t="s">
        <v>470</v>
      </c>
      <c r="B173" s="68" t="s">
        <v>119</v>
      </c>
      <c r="C173" s="77"/>
      <c r="D173" s="81"/>
      <c r="E173" s="80"/>
      <c r="I173" s="79">
        <f t="shared" si="8"/>
        <v>0</v>
      </c>
      <c r="J173" s="78" t="s">
        <v>274</v>
      </c>
      <c r="K173" s="79">
        <f t="shared" si="9"/>
        <v>0</v>
      </c>
      <c r="M173" s="76"/>
      <c r="N173" s="76"/>
    </row>
    <row r="174" spans="1:14" s="78" customFormat="1" ht="14.35" x14ac:dyDescent="0.5">
      <c r="A174" s="68" t="s">
        <v>472</v>
      </c>
      <c r="B174" s="68" t="s">
        <v>121</v>
      </c>
      <c r="C174" s="77"/>
      <c r="D174" s="81"/>
      <c r="E174" s="80"/>
      <c r="I174" s="79">
        <f t="shared" si="8"/>
        <v>0</v>
      </c>
      <c r="J174" s="78" t="s">
        <v>274</v>
      </c>
      <c r="K174" s="79">
        <f t="shared" si="9"/>
        <v>0</v>
      </c>
      <c r="M174" s="76"/>
      <c r="N174" s="76"/>
    </row>
    <row r="175" spans="1:14" s="78" customFormat="1" ht="14.35" x14ac:dyDescent="0.5">
      <c r="A175" s="68" t="s">
        <v>474</v>
      </c>
      <c r="B175" s="68" t="s">
        <v>123</v>
      </c>
      <c r="C175" s="77"/>
      <c r="D175" s="81"/>
      <c r="E175" s="80"/>
      <c r="I175" s="79">
        <f t="shared" si="8"/>
        <v>0</v>
      </c>
      <c r="J175" s="78" t="s">
        <v>274</v>
      </c>
      <c r="K175" s="79">
        <f t="shared" si="9"/>
        <v>0</v>
      </c>
      <c r="M175" s="76"/>
      <c r="N175" s="76"/>
    </row>
    <row r="176" spans="1:14" s="78" customFormat="1" ht="14.35" x14ac:dyDescent="0.5">
      <c r="A176" s="68" t="s">
        <v>475</v>
      </c>
      <c r="B176" s="68" t="s">
        <v>124</v>
      </c>
      <c r="C176" s="77"/>
      <c r="D176" s="81"/>
      <c r="E176" s="80"/>
      <c r="I176" s="79">
        <f t="shared" si="8"/>
        <v>0</v>
      </c>
      <c r="J176" s="78" t="s">
        <v>274</v>
      </c>
      <c r="K176" s="79">
        <f t="shared" si="9"/>
        <v>0</v>
      </c>
      <c r="M176" s="76"/>
      <c r="N176" s="76"/>
    </row>
    <row r="177" spans="1:14" s="78" customFormat="1" ht="14.35" x14ac:dyDescent="0.5">
      <c r="A177" s="68" t="s">
        <v>476</v>
      </c>
      <c r="B177" s="68" t="s">
        <v>259</v>
      </c>
      <c r="C177" s="77"/>
      <c r="D177" s="81"/>
      <c r="E177" s="80"/>
      <c r="I177" s="79">
        <f t="shared" si="8"/>
        <v>0</v>
      </c>
      <c r="J177" s="78" t="s">
        <v>274</v>
      </c>
      <c r="K177" s="79">
        <f t="shared" si="9"/>
        <v>0</v>
      </c>
      <c r="M177" s="76"/>
      <c r="N177" s="76"/>
    </row>
    <row r="178" spans="1:14" s="78" customFormat="1" ht="14.35" x14ac:dyDescent="0.5">
      <c r="A178" s="68" t="s">
        <v>619</v>
      </c>
      <c r="B178" s="68" t="s">
        <v>620</v>
      </c>
      <c r="C178" s="77"/>
      <c r="D178" s="81"/>
      <c r="E178" s="80"/>
      <c r="I178" s="79">
        <f t="shared" si="8"/>
        <v>0</v>
      </c>
      <c r="J178" s="78" t="s">
        <v>274</v>
      </c>
      <c r="K178" s="79">
        <f t="shared" si="9"/>
        <v>0</v>
      </c>
      <c r="M178" s="76"/>
      <c r="N178" s="76"/>
    </row>
    <row r="179" spans="1:14" s="78" customFormat="1" ht="14.35" x14ac:dyDescent="0.5">
      <c r="A179" s="68" t="s">
        <v>621</v>
      </c>
      <c r="B179" s="68" t="s">
        <v>622</v>
      </c>
      <c r="C179" s="77"/>
      <c r="D179" s="81"/>
      <c r="E179" s="80"/>
      <c r="I179" s="79">
        <f t="shared" si="8"/>
        <v>0</v>
      </c>
      <c r="J179" s="78" t="s">
        <v>274</v>
      </c>
      <c r="K179" s="79">
        <f t="shared" si="9"/>
        <v>0</v>
      </c>
      <c r="M179" s="76"/>
      <c r="N179" s="76"/>
    </row>
    <row r="180" spans="1:14" s="78" customFormat="1" ht="14.35" x14ac:dyDescent="0.5">
      <c r="A180" s="68" t="s">
        <v>636</v>
      </c>
      <c r="B180" s="68" t="s">
        <v>634</v>
      </c>
      <c r="C180" s="77"/>
      <c r="D180" s="81"/>
      <c r="E180" s="80"/>
      <c r="I180" s="79">
        <f t="shared" si="8"/>
        <v>0</v>
      </c>
      <c r="J180" s="78" t="s">
        <v>274</v>
      </c>
      <c r="K180" s="79">
        <f t="shared" si="9"/>
        <v>0</v>
      </c>
      <c r="M180" s="76"/>
      <c r="N180" s="76"/>
    </row>
    <row r="181" spans="1:14" s="78" customFormat="1" ht="14.35" x14ac:dyDescent="0.5">
      <c r="A181" s="68" t="s">
        <v>644</v>
      </c>
      <c r="B181" s="68" t="s">
        <v>643</v>
      </c>
      <c r="C181" s="77"/>
      <c r="D181" s="81"/>
      <c r="E181" s="80"/>
      <c r="I181" s="79">
        <f t="shared" si="8"/>
        <v>0</v>
      </c>
      <c r="J181" s="78" t="s">
        <v>274</v>
      </c>
      <c r="K181" s="79">
        <f t="shared" si="9"/>
        <v>0</v>
      </c>
      <c r="M181" s="76"/>
      <c r="N181" s="76"/>
    </row>
    <row r="182" spans="1:14" s="78" customFormat="1" ht="14.35" x14ac:dyDescent="0.5">
      <c r="A182" s="68" t="s">
        <v>648</v>
      </c>
      <c r="B182" s="68" t="s">
        <v>647</v>
      </c>
      <c r="C182" s="77"/>
      <c r="D182" s="81"/>
      <c r="E182" s="80"/>
      <c r="I182" s="79">
        <f t="shared" si="8"/>
        <v>0</v>
      </c>
      <c r="J182" s="78" t="s">
        <v>274</v>
      </c>
      <c r="K182" s="79">
        <f t="shared" si="9"/>
        <v>0</v>
      </c>
      <c r="M182" s="76"/>
      <c r="N182" s="76"/>
    </row>
    <row r="183" spans="1:14" s="78" customFormat="1" ht="14.35" x14ac:dyDescent="0.5">
      <c r="A183" s="27" t="s">
        <v>656</v>
      </c>
      <c r="B183" s="27" t="s">
        <v>657</v>
      </c>
      <c r="C183" s="77"/>
      <c r="D183" s="81"/>
      <c r="E183" s="80"/>
      <c r="F183" s="80"/>
      <c r="G183" s="80"/>
      <c r="H183" s="80"/>
      <c r="I183" s="79">
        <f t="shared" si="8"/>
        <v>0</v>
      </c>
      <c r="J183" s="78" t="s">
        <v>274</v>
      </c>
      <c r="K183" s="79">
        <f t="shared" si="9"/>
        <v>0</v>
      </c>
      <c r="M183" s="76"/>
      <c r="N183" s="76"/>
    </row>
    <row r="184" spans="1:14" s="78" customFormat="1" ht="14.35" x14ac:dyDescent="0.5">
      <c r="A184" s="27" t="s">
        <v>659</v>
      </c>
      <c r="B184" s="27" t="s">
        <v>660</v>
      </c>
      <c r="C184" s="77"/>
      <c r="D184" s="81"/>
      <c r="E184" s="80"/>
      <c r="F184" s="80"/>
      <c r="G184" s="80"/>
      <c r="H184" s="80"/>
      <c r="I184" s="79">
        <f t="shared" si="8"/>
        <v>0</v>
      </c>
      <c r="J184" s="78" t="s">
        <v>274</v>
      </c>
      <c r="K184" s="79">
        <f t="shared" si="9"/>
        <v>0</v>
      </c>
      <c r="M184" s="76"/>
      <c r="N184" s="76"/>
    </row>
    <row r="185" spans="1:14" s="78" customFormat="1" ht="14.35" x14ac:dyDescent="0.5">
      <c r="A185" s="100" t="s">
        <v>678</v>
      </c>
      <c r="B185" s="100" t="s">
        <v>675</v>
      </c>
      <c r="C185" s="77"/>
      <c r="D185" s="81"/>
      <c r="E185" s="80"/>
      <c r="F185" s="80"/>
      <c r="G185" s="80"/>
      <c r="H185" s="80"/>
      <c r="I185" s="79">
        <f t="shared" si="8"/>
        <v>0</v>
      </c>
      <c r="J185" s="78" t="s">
        <v>274</v>
      </c>
      <c r="K185" s="79">
        <f t="shared" si="9"/>
        <v>0</v>
      </c>
      <c r="M185" s="76"/>
      <c r="N185" s="76"/>
    </row>
    <row r="186" spans="1:14" s="78" customFormat="1" ht="14.35" x14ac:dyDescent="0.5">
      <c r="A186" s="100" t="s">
        <v>688</v>
      </c>
      <c r="B186" s="100" t="s">
        <v>689</v>
      </c>
      <c r="C186" s="77"/>
      <c r="D186" s="81"/>
      <c r="E186" s="80"/>
      <c r="F186" s="80"/>
      <c r="G186" s="80"/>
      <c r="H186" s="80"/>
      <c r="I186" s="79">
        <f t="shared" si="8"/>
        <v>0</v>
      </c>
      <c r="J186" s="78" t="s">
        <v>274</v>
      </c>
      <c r="K186" s="79">
        <f t="shared" si="9"/>
        <v>0</v>
      </c>
      <c r="M186" s="76"/>
      <c r="N186" s="76"/>
    </row>
    <row r="187" spans="1:14" s="78" customFormat="1" ht="14.35" x14ac:dyDescent="0.5">
      <c r="A187" s="100" t="s">
        <v>690</v>
      </c>
      <c r="B187" s="100" t="s">
        <v>691</v>
      </c>
      <c r="C187" s="77"/>
      <c r="D187" s="81"/>
      <c r="E187" s="80"/>
      <c r="F187" s="80"/>
      <c r="G187" s="80"/>
      <c r="H187" s="80"/>
      <c r="I187" s="79">
        <f t="shared" si="8"/>
        <v>0</v>
      </c>
      <c r="J187" s="78" t="s">
        <v>274</v>
      </c>
      <c r="K187" s="79">
        <f t="shared" si="9"/>
        <v>0</v>
      </c>
      <c r="M187" s="76"/>
      <c r="N187" s="76"/>
    </row>
    <row r="188" spans="1:14" s="78" customFormat="1" ht="14.35" x14ac:dyDescent="0.5">
      <c r="A188" s="100" t="s">
        <v>679</v>
      </c>
      <c r="B188" s="100" t="s">
        <v>677</v>
      </c>
      <c r="C188" s="77"/>
      <c r="D188" s="81"/>
      <c r="E188" s="80"/>
      <c r="F188" s="80"/>
      <c r="G188" s="80"/>
      <c r="H188" s="80"/>
      <c r="I188" s="79">
        <f t="shared" si="8"/>
        <v>0</v>
      </c>
      <c r="J188" s="78" t="s">
        <v>274</v>
      </c>
      <c r="K188" s="79">
        <f t="shared" si="9"/>
        <v>0</v>
      </c>
      <c r="M188" s="76"/>
      <c r="N188" s="76"/>
    </row>
    <row r="189" spans="1:14" s="78" customFormat="1" ht="14.35" x14ac:dyDescent="0.5">
      <c r="A189" s="71" t="s">
        <v>766</v>
      </c>
      <c r="B189" s="71" t="s">
        <v>763</v>
      </c>
      <c r="C189" s="77"/>
      <c r="D189" s="81"/>
      <c r="E189" s="80"/>
      <c r="F189" s="80"/>
      <c r="G189" s="80"/>
      <c r="H189" s="80"/>
      <c r="I189" s="79">
        <f t="shared" si="8"/>
        <v>0</v>
      </c>
      <c r="J189" s="78" t="s">
        <v>274</v>
      </c>
      <c r="K189" s="79">
        <f t="shared" si="9"/>
        <v>0</v>
      </c>
      <c r="M189" s="76"/>
      <c r="N189" s="76"/>
    </row>
    <row r="190" spans="1:14" s="78" customFormat="1" ht="14.35" x14ac:dyDescent="0.5">
      <c r="A190" s="71" t="s">
        <v>767</v>
      </c>
      <c r="B190" s="71" t="s">
        <v>765</v>
      </c>
      <c r="C190" s="77"/>
      <c r="D190" s="81"/>
      <c r="E190" s="80"/>
      <c r="F190" s="80"/>
      <c r="G190" s="80"/>
      <c r="H190" s="80"/>
      <c r="I190" s="79">
        <f t="shared" si="8"/>
        <v>0</v>
      </c>
      <c r="J190" s="78" t="s">
        <v>274</v>
      </c>
      <c r="K190" s="79">
        <f t="shared" si="9"/>
        <v>0</v>
      </c>
      <c r="M190" s="76"/>
      <c r="N190" s="76"/>
    </row>
    <row r="191" spans="1:14" s="78" customFormat="1" ht="14.35" x14ac:dyDescent="0.5">
      <c r="A191" s="71" t="s">
        <v>779</v>
      </c>
      <c r="B191" s="100" t="s">
        <v>776</v>
      </c>
      <c r="C191" s="77"/>
      <c r="D191" s="81"/>
      <c r="E191" s="80"/>
      <c r="F191" s="80"/>
      <c r="G191" s="80"/>
      <c r="H191" s="80"/>
      <c r="I191" s="79">
        <f t="shared" si="8"/>
        <v>0</v>
      </c>
      <c r="J191" s="78" t="s">
        <v>274</v>
      </c>
      <c r="K191" s="79">
        <f t="shared" si="9"/>
        <v>0</v>
      </c>
      <c r="M191" s="76"/>
      <c r="N191" s="76"/>
    </row>
    <row r="192" spans="1:14" s="78" customFormat="1" ht="14.35" x14ac:dyDescent="0.5">
      <c r="A192" s="71" t="s">
        <v>780</v>
      </c>
      <c r="B192" s="100" t="s">
        <v>778</v>
      </c>
      <c r="C192" s="77"/>
      <c r="D192" s="81"/>
      <c r="E192" s="80"/>
      <c r="F192" s="80"/>
      <c r="G192" s="80"/>
      <c r="H192" s="80"/>
      <c r="I192" s="79">
        <f t="shared" si="8"/>
        <v>0</v>
      </c>
      <c r="J192" s="78" t="s">
        <v>274</v>
      </c>
      <c r="K192" s="79">
        <f t="shared" si="9"/>
        <v>0</v>
      </c>
      <c r="M192" s="76"/>
      <c r="N192" s="76"/>
    </row>
    <row r="193" spans="1:14" s="78" customFormat="1" ht="14.35" x14ac:dyDescent="0.5">
      <c r="A193" s="100" t="s">
        <v>792</v>
      </c>
      <c r="B193" s="100" t="s">
        <v>789</v>
      </c>
      <c r="C193" s="77"/>
      <c r="D193" s="81"/>
      <c r="E193" s="80"/>
      <c r="F193" s="80"/>
      <c r="G193" s="80"/>
      <c r="H193" s="80"/>
      <c r="I193" s="79">
        <f t="shared" si="8"/>
        <v>0</v>
      </c>
      <c r="J193" s="78" t="s">
        <v>274</v>
      </c>
      <c r="K193" s="79">
        <f t="shared" si="9"/>
        <v>0</v>
      </c>
      <c r="M193" s="76"/>
      <c r="N193" s="76"/>
    </row>
    <row r="194" spans="1:14" s="78" customFormat="1" ht="14.35" x14ac:dyDescent="0.5">
      <c r="A194" s="100" t="s">
        <v>793</v>
      </c>
      <c r="B194" s="100" t="s">
        <v>791</v>
      </c>
      <c r="C194" s="77"/>
      <c r="D194" s="81"/>
      <c r="E194" s="80"/>
      <c r="F194" s="80"/>
      <c r="G194" s="80"/>
      <c r="H194" s="80"/>
      <c r="I194" s="79">
        <f t="shared" si="8"/>
        <v>0</v>
      </c>
      <c r="J194" s="78" t="s">
        <v>274</v>
      </c>
      <c r="K194" s="79">
        <f t="shared" si="9"/>
        <v>0</v>
      </c>
      <c r="M194" s="76"/>
      <c r="N194" s="76"/>
    </row>
    <row r="195" spans="1:14" s="78" customFormat="1" ht="14.35" x14ac:dyDescent="0.5">
      <c r="A195" s="100" t="s">
        <v>807</v>
      </c>
      <c r="B195" s="100" t="s">
        <v>804</v>
      </c>
      <c r="C195" s="77"/>
      <c r="D195" s="81"/>
      <c r="E195" s="80"/>
      <c r="F195" s="80"/>
      <c r="G195" s="80"/>
      <c r="H195" s="80"/>
      <c r="I195" s="79">
        <f t="shared" si="8"/>
        <v>0</v>
      </c>
      <c r="J195" s="78" t="s">
        <v>274</v>
      </c>
      <c r="K195" s="79">
        <f t="shared" si="9"/>
        <v>0</v>
      </c>
      <c r="M195" s="76"/>
      <c r="N195" s="76"/>
    </row>
    <row r="196" spans="1:14" s="78" customFormat="1" ht="14.35" x14ac:dyDescent="0.5">
      <c r="A196" s="100" t="s">
        <v>816</v>
      </c>
      <c r="B196" s="100" t="s">
        <v>815</v>
      </c>
      <c r="C196" s="77"/>
      <c r="D196" s="81"/>
      <c r="E196" s="80"/>
      <c r="F196" s="80"/>
      <c r="G196" s="80"/>
      <c r="H196" s="80"/>
      <c r="I196" s="79">
        <f t="shared" si="8"/>
        <v>0</v>
      </c>
      <c r="J196" s="78" t="s">
        <v>274</v>
      </c>
      <c r="K196" s="79">
        <f t="shared" si="9"/>
        <v>0</v>
      </c>
      <c r="M196" s="76"/>
      <c r="N196" s="76"/>
    </row>
    <row r="197" spans="1:14" s="78" customFormat="1" ht="14.35" x14ac:dyDescent="0.5">
      <c r="A197" s="100" t="s">
        <v>865</v>
      </c>
      <c r="B197" s="100" t="s">
        <v>864</v>
      </c>
      <c r="C197" s="77"/>
      <c r="D197" s="81"/>
      <c r="E197" s="80"/>
      <c r="F197" s="80"/>
      <c r="G197" s="80"/>
      <c r="H197" s="80"/>
      <c r="I197" s="79">
        <f t="shared" si="8"/>
        <v>0</v>
      </c>
      <c r="J197" s="78" t="s">
        <v>274</v>
      </c>
      <c r="K197" s="79">
        <f t="shared" si="9"/>
        <v>0</v>
      </c>
      <c r="M197" s="76"/>
      <c r="N197" s="76"/>
    </row>
    <row r="198" spans="1:14" s="78" customFormat="1" ht="14.35" x14ac:dyDescent="0.5">
      <c r="A198" s="100" t="s">
        <v>873</v>
      </c>
      <c r="B198" s="100" t="s">
        <v>872</v>
      </c>
      <c r="C198" s="77"/>
      <c r="D198" s="81"/>
      <c r="E198" s="80"/>
      <c r="F198" s="80"/>
      <c r="G198" s="80"/>
      <c r="H198" s="80"/>
      <c r="I198" s="79">
        <f t="shared" si="8"/>
        <v>0</v>
      </c>
      <c r="J198" s="78" t="s">
        <v>274</v>
      </c>
      <c r="K198" s="79">
        <f t="shared" si="9"/>
        <v>0</v>
      </c>
      <c r="M198" s="76"/>
      <c r="N198" s="76"/>
    </row>
    <row r="199" spans="1:14" s="78" customFormat="1" ht="14.35" x14ac:dyDescent="0.5">
      <c r="A199" s="100" t="s">
        <v>882</v>
      </c>
      <c r="B199" s="100" t="s">
        <v>881</v>
      </c>
      <c r="C199" s="77"/>
      <c r="D199" s="81"/>
      <c r="E199" s="80"/>
      <c r="F199" s="80"/>
      <c r="G199" s="80"/>
      <c r="H199" s="80"/>
      <c r="I199" s="79">
        <f t="shared" si="8"/>
        <v>0</v>
      </c>
      <c r="J199" s="78" t="s">
        <v>274</v>
      </c>
      <c r="K199" s="79">
        <f t="shared" si="9"/>
        <v>0</v>
      </c>
      <c r="M199" s="76"/>
      <c r="N199" s="76"/>
    </row>
    <row r="200" spans="1:14" s="78" customFormat="1" ht="14.35" x14ac:dyDescent="0.5">
      <c r="A200" s="91">
        <v>27250</v>
      </c>
      <c r="B200" s="68" t="s">
        <v>772</v>
      </c>
      <c r="C200" s="77"/>
      <c r="D200" s="89"/>
      <c r="E200" s="80"/>
      <c r="G200" s="78">
        <f>-D200</f>
        <v>0</v>
      </c>
      <c r="I200" s="79">
        <f t="shared" si="8"/>
        <v>0</v>
      </c>
      <c r="J200" s="78" t="s">
        <v>267</v>
      </c>
      <c r="K200" s="79">
        <f t="shared" si="9"/>
        <v>0</v>
      </c>
      <c r="M200" s="76"/>
      <c r="N200" s="76"/>
    </row>
    <row r="201" spans="1:14" s="78" customFormat="1" ht="14.35" x14ac:dyDescent="0.5">
      <c r="A201" s="69" t="s">
        <v>770</v>
      </c>
      <c r="B201" s="68" t="s">
        <v>771</v>
      </c>
      <c r="C201" s="77"/>
      <c r="D201" s="81"/>
      <c r="G201" s="78">
        <f>-E201</f>
        <v>0</v>
      </c>
      <c r="I201" s="79">
        <f t="shared" si="8"/>
        <v>0</v>
      </c>
      <c r="J201" s="78" t="s">
        <v>267</v>
      </c>
      <c r="K201" s="79">
        <f t="shared" si="9"/>
        <v>0</v>
      </c>
      <c r="M201" s="76"/>
      <c r="N201" s="76"/>
    </row>
    <row r="202" spans="1:14" s="78" customFormat="1" ht="14.35" x14ac:dyDescent="0.5">
      <c r="A202" s="68" t="s">
        <v>477</v>
      </c>
      <c r="B202" s="68" t="s">
        <v>137</v>
      </c>
      <c r="C202" s="77"/>
      <c r="D202" s="81"/>
      <c r="E202" s="80"/>
      <c r="I202" s="79">
        <f t="shared" si="8"/>
        <v>0</v>
      </c>
      <c r="J202" s="78" t="s">
        <v>861</v>
      </c>
      <c r="K202" s="79">
        <f t="shared" si="9"/>
        <v>0</v>
      </c>
      <c r="M202" s="76"/>
      <c r="N202" s="76"/>
    </row>
    <row r="203" spans="1:14" s="78" customFormat="1" ht="14.35" x14ac:dyDescent="0.5">
      <c r="A203" s="69" t="s">
        <v>773</v>
      </c>
      <c r="B203" s="68" t="s">
        <v>605</v>
      </c>
      <c r="C203" s="77"/>
      <c r="D203" s="89"/>
      <c r="E203" s="80"/>
      <c r="I203" s="79">
        <f t="shared" si="8"/>
        <v>0</v>
      </c>
      <c r="J203" s="78" t="s">
        <v>278</v>
      </c>
      <c r="K203" s="79">
        <f t="shared" si="9"/>
        <v>0</v>
      </c>
      <c r="M203" s="76"/>
      <c r="N203" s="76"/>
    </row>
    <row r="204" spans="1:14" s="78" customFormat="1" ht="14.35" x14ac:dyDescent="0.5">
      <c r="A204" s="69" t="s">
        <v>774</v>
      </c>
      <c r="B204" s="68" t="s">
        <v>606</v>
      </c>
      <c r="C204" s="77"/>
      <c r="D204" s="89"/>
      <c r="E204" s="80"/>
      <c r="H204" s="78">
        <f>'P&amp;L-Detail 12.18'!H149</f>
        <v>0</v>
      </c>
      <c r="I204" s="79">
        <f>SUM(C204:H204)</f>
        <v>0</v>
      </c>
      <c r="J204" s="78" t="s">
        <v>278</v>
      </c>
      <c r="K204" s="79">
        <f t="shared" si="9"/>
        <v>0</v>
      </c>
      <c r="M204" s="76"/>
      <c r="N204" s="76"/>
    </row>
    <row r="205" spans="1:14" s="78" customFormat="1" x14ac:dyDescent="0.4">
      <c r="A205" s="68" t="s">
        <v>478</v>
      </c>
      <c r="B205" s="68" t="s">
        <v>138</v>
      </c>
      <c r="C205" s="77"/>
      <c r="D205" s="89"/>
      <c r="I205" s="79">
        <f t="shared" si="8"/>
        <v>0</v>
      </c>
      <c r="J205" s="78" t="s">
        <v>278</v>
      </c>
      <c r="K205" s="79">
        <f t="shared" si="9"/>
        <v>0</v>
      </c>
      <c r="M205" s="76"/>
      <c r="N205" s="76"/>
    </row>
    <row r="206" spans="1:14" s="78" customFormat="1" x14ac:dyDescent="0.4">
      <c r="A206" s="68" t="s">
        <v>479</v>
      </c>
      <c r="B206" s="68" t="s">
        <v>139</v>
      </c>
      <c r="C206" s="77"/>
      <c r="D206" s="89"/>
      <c r="F206" s="78">
        <f>-E206-D206</f>
        <v>0</v>
      </c>
      <c r="I206" s="79">
        <f t="shared" si="8"/>
        <v>0</v>
      </c>
      <c r="J206" s="78" t="s">
        <v>276</v>
      </c>
      <c r="K206" s="79">
        <f t="shared" si="9"/>
        <v>0</v>
      </c>
      <c r="M206" s="76"/>
      <c r="N206" s="76"/>
    </row>
    <row r="207" spans="1:14" s="78" customFormat="1" ht="14.35" x14ac:dyDescent="0.5">
      <c r="A207" s="68" t="s">
        <v>480</v>
      </c>
      <c r="B207" s="68" t="s">
        <v>140</v>
      </c>
      <c r="C207" s="77"/>
      <c r="D207" s="81"/>
      <c r="E207" s="80"/>
      <c r="I207" s="79">
        <f t="shared" si="8"/>
        <v>0</v>
      </c>
      <c r="J207" s="78" t="s">
        <v>275</v>
      </c>
      <c r="K207" s="79">
        <f t="shared" si="9"/>
        <v>0</v>
      </c>
      <c r="M207" s="76"/>
      <c r="N207" s="76"/>
    </row>
    <row r="208" spans="1:14" s="78" customFormat="1" ht="14.35" x14ac:dyDescent="0.5">
      <c r="A208" s="68" t="s">
        <v>481</v>
      </c>
      <c r="B208" s="68" t="s">
        <v>141</v>
      </c>
      <c r="C208" s="77"/>
      <c r="D208" s="81"/>
      <c r="E208" s="80"/>
      <c r="I208" s="79">
        <f t="shared" si="8"/>
        <v>0</v>
      </c>
      <c r="J208" s="78" t="s">
        <v>277</v>
      </c>
      <c r="K208" s="79">
        <f t="shared" si="9"/>
        <v>0</v>
      </c>
      <c r="M208" s="76"/>
      <c r="N208" s="76"/>
    </row>
    <row r="209" spans="1:14" s="78" customFormat="1" x14ac:dyDescent="0.4">
      <c r="A209" s="68" t="s">
        <v>304</v>
      </c>
      <c r="B209" s="68" t="s">
        <v>142</v>
      </c>
      <c r="C209" s="77"/>
      <c r="D209" s="89"/>
      <c r="I209" s="79">
        <f>SUM(C209:H209)</f>
        <v>0</v>
      </c>
      <c r="J209" s="78" t="s">
        <v>278</v>
      </c>
      <c r="K209" s="79">
        <f t="shared" si="9"/>
        <v>0</v>
      </c>
      <c r="M209" s="76"/>
      <c r="N209" s="76"/>
    </row>
    <row r="210" spans="1:14" s="78" customFormat="1" x14ac:dyDescent="0.4">
      <c r="A210" s="76" t="s">
        <v>483</v>
      </c>
      <c r="B210" s="8"/>
      <c r="C210" s="110">
        <f>SUM(C6:C87)+SUM(C88:C209)</f>
        <v>0</v>
      </c>
      <c r="D210" s="119">
        <f t="shared" ref="D210:K210" si="10">SUM(D6:D87)+SUM(D88:D209)</f>
        <v>0</v>
      </c>
      <c r="E210" s="20">
        <f t="shared" si="10"/>
        <v>0</v>
      </c>
      <c r="F210" s="20">
        <f t="shared" si="10"/>
        <v>0</v>
      </c>
      <c r="G210" s="20">
        <f t="shared" si="10"/>
        <v>0</v>
      </c>
      <c r="H210" s="20">
        <f t="shared" si="10"/>
        <v>0</v>
      </c>
      <c r="I210" s="20">
        <f>SUM(I6:I87)+SUM(I88:I209)</f>
        <v>0</v>
      </c>
      <c r="J210" s="20">
        <f t="shared" si="10"/>
        <v>0</v>
      </c>
      <c r="K210" s="20">
        <f t="shared" si="10"/>
        <v>0</v>
      </c>
      <c r="M210" s="76"/>
      <c r="N210" s="76"/>
    </row>
    <row r="211" spans="1:14" s="78" customFormat="1" x14ac:dyDescent="0.4">
      <c r="A211" s="76"/>
      <c r="B211" s="8"/>
      <c r="D211" s="89"/>
      <c r="I211" s="79"/>
      <c r="K211" s="79"/>
      <c r="M211" s="76"/>
      <c r="N211" s="76"/>
    </row>
    <row r="212" spans="1:14" s="78" customFormat="1" x14ac:dyDescent="0.4">
      <c r="A212" s="76"/>
      <c r="B212" s="8" t="s">
        <v>261</v>
      </c>
      <c r="D212" s="89"/>
      <c r="I212" s="79"/>
      <c r="K212" s="79"/>
      <c r="M212" s="76"/>
      <c r="N212" s="76"/>
    </row>
    <row r="213" spans="1:14" s="78" customFormat="1" x14ac:dyDescent="0.4">
      <c r="A213" s="76"/>
      <c r="B213" s="76" t="s">
        <v>285</v>
      </c>
      <c r="C213" s="78">
        <f>SUM(C6:C87)</f>
        <v>0</v>
      </c>
      <c r="D213" s="89">
        <f>SUM(D6:D87)</f>
        <v>0</v>
      </c>
      <c r="E213" s="78">
        <f>SUM(E6:E87)</f>
        <v>0</v>
      </c>
      <c r="I213" s="79"/>
      <c r="K213" s="78">
        <f>SUM(K6:K87)</f>
        <v>0</v>
      </c>
      <c r="M213" s="76"/>
      <c r="N213" s="76"/>
    </row>
    <row r="214" spans="1:14" s="78" customFormat="1" x14ac:dyDescent="0.4">
      <c r="A214" s="76"/>
      <c r="B214" s="76" t="s">
        <v>286</v>
      </c>
      <c r="C214" s="78">
        <f>SUM(C88:C202)</f>
        <v>0</v>
      </c>
      <c r="D214" s="89">
        <f>SUM(D88:D202)</f>
        <v>0</v>
      </c>
      <c r="E214" s="78">
        <f>SUM(E88:E202)</f>
        <v>0</v>
      </c>
      <c r="H214" s="78">
        <f>374064.27+C209</f>
        <v>374064.27</v>
      </c>
      <c r="I214" s="79"/>
      <c r="K214" s="78">
        <f>SUM(K88:K202)</f>
        <v>0</v>
      </c>
      <c r="M214" s="76"/>
      <c r="N214" s="76"/>
    </row>
    <row r="215" spans="1:14" s="78" customFormat="1" x14ac:dyDescent="0.4">
      <c r="A215" s="76"/>
      <c r="B215" s="76" t="s">
        <v>607</v>
      </c>
      <c r="C215" s="78">
        <f>SUM(C203:C209)</f>
        <v>0</v>
      </c>
      <c r="D215" s="89">
        <f>SUM(D203:D209)</f>
        <v>0</v>
      </c>
      <c r="E215" s="78">
        <f>SUM(E203:E209)</f>
        <v>0</v>
      </c>
      <c r="I215" s="79"/>
      <c r="K215" s="78">
        <f>SUM(K203:K209)</f>
        <v>0</v>
      </c>
      <c r="M215" s="76"/>
      <c r="N215" s="76"/>
    </row>
    <row r="216" spans="1:14" s="78" customFormat="1" x14ac:dyDescent="0.4">
      <c r="A216" s="76"/>
      <c r="B216" s="76" t="s">
        <v>483</v>
      </c>
      <c r="C216" s="78">
        <f>SUM(C213:C215)</f>
        <v>0</v>
      </c>
      <c r="D216" s="89">
        <f>SUM(D213:D215)</f>
        <v>0</v>
      </c>
      <c r="E216" s="78">
        <f>SUM(E213:E215)</f>
        <v>0</v>
      </c>
      <c r="I216" s="79"/>
      <c r="K216" s="78">
        <f>SUM(K213:K215)</f>
        <v>0</v>
      </c>
      <c r="M216" s="76"/>
      <c r="N216" s="76"/>
    </row>
    <row r="217" spans="1:14" s="78" customFormat="1" x14ac:dyDescent="0.4">
      <c r="A217" s="68"/>
      <c r="B217" s="68"/>
      <c r="C217" s="77"/>
      <c r="D217" s="77"/>
      <c r="E217" s="76"/>
      <c r="I217" s="79"/>
      <c r="K217" s="79"/>
      <c r="M217" s="76"/>
      <c r="N217" s="76"/>
    </row>
    <row r="218" spans="1:14" s="78" customFormat="1" x14ac:dyDescent="0.4">
      <c r="A218" s="68"/>
      <c r="B218" s="68"/>
      <c r="C218" s="77"/>
      <c r="D218" s="77"/>
      <c r="E218" s="76"/>
      <c r="I218" s="79"/>
      <c r="K218" s="79"/>
      <c r="M218" s="76"/>
      <c r="N218" s="76"/>
    </row>
    <row r="219" spans="1:14" s="78" customFormat="1" x14ac:dyDescent="0.4">
      <c r="A219" s="68"/>
      <c r="B219" s="68"/>
      <c r="C219" s="77"/>
      <c r="D219" s="77"/>
      <c r="E219" s="76"/>
      <c r="I219" s="79"/>
      <c r="K219" s="79"/>
      <c r="M219" s="76"/>
      <c r="N219" s="76"/>
    </row>
    <row r="220" spans="1:14" s="78" customFormat="1" x14ac:dyDescent="0.4">
      <c r="A220" s="68"/>
      <c r="B220" s="68"/>
      <c r="C220" s="77"/>
      <c r="D220" s="77"/>
      <c r="E220" s="76"/>
      <c r="I220" s="79"/>
      <c r="K220" s="79"/>
      <c r="M220" s="76"/>
      <c r="N220" s="76"/>
    </row>
    <row r="221" spans="1:14" s="78" customFormat="1" x14ac:dyDescent="0.4">
      <c r="A221" s="68"/>
      <c r="B221" s="68"/>
      <c r="C221" s="77"/>
      <c r="D221" s="77"/>
      <c r="E221" s="76"/>
      <c r="I221" s="79"/>
      <c r="K221" s="79"/>
      <c r="M221" s="76"/>
      <c r="N221" s="76"/>
    </row>
    <row r="222" spans="1:14" s="78" customFormat="1" x14ac:dyDescent="0.4">
      <c r="A222" s="68"/>
      <c r="B222" s="68"/>
      <c r="C222" s="77"/>
      <c r="D222" s="77"/>
      <c r="E222" s="76"/>
      <c r="I222" s="79"/>
      <c r="K222" s="79"/>
      <c r="M222" s="76"/>
      <c r="N222" s="76"/>
    </row>
    <row r="223" spans="1:14" s="78" customFormat="1" x14ac:dyDescent="0.4">
      <c r="A223" s="68"/>
      <c r="B223" s="68"/>
      <c r="C223" s="77"/>
      <c r="D223" s="77"/>
      <c r="E223" s="76"/>
      <c r="I223" s="79"/>
      <c r="K223" s="79"/>
      <c r="M223" s="76"/>
      <c r="N223" s="76"/>
    </row>
    <row r="224" spans="1:14" s="78" customFormat="1" x14ac:dyDescent="0.4">
      <c r="A224" s="100"/>
      <c r="B224" s="100"/>
      <c r="C224" s="77"/>
      <c r="D224" s="77"/>
      <c r="E224" s="76"/>
      <c r="I224" s="79"/>
      <c r="K224" s="79"/>
      <c r="M224" s="76"/>
      <c r="N224" s="76"/>
    </row>
    <row r="225" spans="1:16" s="78" customFormat="1" x14ac:dyDescent="0.4">
      <c r="A225" s="100"/>
      <c r="B225" s="100"/>
      <c r="C225" s="77"/>
      <c r="D225" s="77"/>
      <c r="E225" s="76"/>
      <c r="I225" s="79"/>
      <c r="K225" s="79"/>
      <c r="M225" s="76"/>
      <c r="N225" s="76"/>
      <c r="P225" s="76"/>
    </row>
    <row r="226" spans="1:16" x14ac:dyDescent="0.4">
      <c r="A226" s="100"/>
      <c r="B226" s="100"/>
      <c r="C226" s="77"/>
      <c r="D226" s="77"/>
      <c r="E226" s="76"/>
    </row>
    <row r="227" spans="1:16" x14ac:dyDescent="0.4">
      <c r="A227" s="100"/>
      <c r="B227" s="100"/>
      <c r="C227" s="77"/>
      <c r="D227" s="77"/>
      <c r="E227" s="76"/>
    </row>
    <row r="228" spans="1:16" x14ac:dyDescent="0.4">
      <c r="A228" s="100"/>
      <c r="B228" s="100"/>
      <c r="C228" s="77"/>
      <c r="D228" s="77"/>
      <c r="E228" s="76"/>
    </row>
    <row r="229" spans="1:16" x14ac:dyDescent="0.4">
      <c r="A229" s="100"/>
      <c r="B229" s="100"/>
      <c r="C229" s="77"/>
      <c r="D229" s="77"/>
      <c r="E229" s="76"/>
    </row>
    <row r="230" spans="1:16" x14ac:dyDescent="0.4">
      <c r="A230" s="100"/>
      <c r="B230" s="100"/>
      <c r="C230" s="77"/>
      <c r="D230" s="77"/>
      <c r="E230" s="76"/>
    </row>
    <row r="231" spans="1:16" x14ac:dyDescent="0.4">
      <c r="A231" s="100"/>
      <c r="B231" s="100"/>
      <c r="C231" s="77"/>
      <c r="D231" s="77"/>
      <c r="E231" s="76"/>
    </row>
    <row r="232" spans="1:16" x14ac:dyDescent="0.4">
      <c r="A232" s="100"/>
      <c r="B232" s="100"/>
      <c r="C232" s="77"/>
      <c r="D232" s="77"/>
      <c r="E232" s="76"/>
    </row>
    <row r="233" spans="1:16" x14ac:dyDescent="0.4">
      <c r="A233" s="100"/>
      <c r="B233" s="100"/>
      <c r="C233" s="77"/>
      <c r="D233" s="77"/>
      <c r="E233" s="76"/>
    </row>
    <row r="234" spans="1:16" x14ac:dyDescent="0.4">
      <c r="A234" s="100"/>
      <c r="B234" s="100"/>
      <c r="C234" s="77"/>
      <c r="D234" s="77"/>
      <c r="E234" s="76"/>
    </row>
    <row r="235" spans="1:16" x14ac:dyDescent="0.4">
      <c r="A235" s="100"/>
      <c r="B235" s="100"/>
      <c r="C235" s="77"/>
      <c r="D235" s="77"/>
      <c r="E235" s="76"/>
    </row>
    <row r="236" spans="1:16" x14ac:dyDescent="0.4">
      <c r="B236" s="68"/>
      <c r="C236" s="77"/>
      <c r="D236" s="77"/>
    </row>
    <row r="237" spans="1:16" x14ac:dyDescent="0.4">
      <c r="B237" s="68"/>
      <c r="C237" s="77"/>
      <c r="E237" s="76"/>
    </row>
    <row r="238" spans="1:16" x14ac:dyDescent="0.4">
      <c r="A238" s="68"/>
      <c r="B238" s="68"/>
      <c r="C238" s="77"/>
      <c r="D238" s="77"/>
    </row>
    <row r="239" spans="1:16" x14ac:dyDescent="0.4">
      <c r="A239" s="68"/>
      <c r="B239" s="68"/>
      <c r="C239" s="77"/>
      <c r="D239" s="77"/>
      <c r="E239" s="76"/>
    </row>
    <row r="240" spans="1:16" x14ac:dyDescent="0.4">
      <c r="A240" s="68"/>
      <c r="B240" s="68"/>
      <c r="C240" s="77"/>
      <c r="E240" s="76"/>
    </row>
    <row r="241" spans="1:12" x14ac:dyDescent="0.4">
      <c r="A241" s="68"/>
      <c r="B241" s="68"/>
      <c r="C241" s="77"/>
      <c r="E241" s="76"/>
    </row>
    <row r="242" spans="1:12" x14ac:dyDescent="0.4">
      <c r="A242" s="68"/>
      <c r="B242" s="68"/>
      <c r="C242" s="77"/>
    </row>
    <row r="243" spans="1:12" x14ac:dyDescent="0.4">
      <c r="D243" s="77"/>
      <c r="E243" s="76"/>
      <c r="F243" s="76"/>
      <c r="G243" s="76"/>
      <c r="H243" s="76"/>
      <c r="I243" s="76"/>
      <c r="J243" s="76"/>
      <c r="K243" s="76"/>
      <c r="L243" s="76"/>
    </row>
    <row r="244" spans="1:12" x14ac:dyDescent="0.4">
      <c r="D244" s="77"/>
      <c r="E244" s="76"/>
      <c r="F244" s="76"/>
      <c r="G244" s="76"/>
      <c r="H244" s="76"/>
      <c r="I244" s="76"/>
      <c r="J244" s="76"/>
      <c r="K244" s="76"/>
      <c r="L244" s="76"/>
    </row>
    <row r="245" spans="1:12" x14ac:dyDescent="0.4">
      <c r="D245" s="77"/>
      <c r="E245" s="76"/>
      <c r="F245" s="76"/>
      <c r="G245" s="76"/>
      <c r="H245" s="76"/>
      <c r="I245" s="76"/>
      <c r="J245" s="76"/>
      <c r="K245" s="76"/>
      <c r="L245" s="76"/>
    </row>
    <row r="246" spans="1:12" x14ac:dyDescent="0.4">
      <c r="D246" s="77"/>
      <c r="E246" s="76"/>
      <c r="F246" s="76"/>
      <c r="G246" s="76"/>
      <c r="H246" s="76"/>
      <c r="I246" s="76"/>
      <c r="J246" s="76"/>
      <c r="K246" s="76"/>
      <c r="L246" s="76"/>
    </row>
    <row r="247" spans="1:12" x14ac:dyDescent="0.4">
      <c r="D247" s="77"/>
      <c r="E247" s="76"/>
      <c r="F247" s="76"/>
      <c r="G247" s="76"/>
      <c r="H247" s="76"/>
      <c r="I247" s="76"/>
      <c r="J247" s="76"/>
      <c r="K247" s="76"/>
      <c r="L247" s="76"/>
    </row>
    <row r="248" spans="1:12" x14ac:dyDescent="0.4">
      <c r="D248" s="77"/>
      <c r="E248" s="76"/>
      <c r="F248" s="76"/>
      <c r="G248" s="76"/>
      <c r="H248" s="76"/>
      <c r="I248" s="76"/>
      <c r="J248" s="76"/>
      <c r="K248" s="76"/>
      <c r="L248" s="76"/>
    </row>
    <row r="249" spans="1:12" x14ac:dyDescent="0.4">
      <c r="D249" s="77"/>
      <c r="E249" s="76"/>
      <c r="F249" s="76"/>
      <c r="G249" s="76"/>
      <c r="H249" s="76"/>
      <c r="I249" s="76"/>
      <c r="J249" s="76"/>
      <c r="K249" s="77">
        <f>SUM(K95:K110)+SUM(K121:K150)+SUM(K158:K198)</f>
        <v>0</v>
      </c>
      <c r="L249" s="76"/>
    </row>
    <row r="250" spans="1:12" x14ac:dyDescent="0.4">
      <c r="D250" s="77"/>
      <c r="E250" s="76"/>
      <c r="F250" s="76"/>
      <c r="G250" s="76"/>
      <c r="H250" s="76"/>
      <c r="I250" s="76"/>
      <c r="J250" s="76"/>
      <c r="K250" s="76"/>
      <c r="L250" s="76"/>
    </row>
    <row r="251" spans="1:12" x14ac:dyDescent="0.4">
      <c r="D251" s="77"/>
      <c r="E251" s="76"/>
      <c r="F251" s="76"/>
      <c r="G251" s="76"/>
      <c r="H251" s="76"/>
      <c r="I251" s="76"/>
      <c r="J251" s="76"/>
      <c r="K251" s="76"/>
      <c r="L251" s="76"/>
    </row>
    <row r="252" spans="1:12" x14ac:dyDescent="0.4">
      <c r="D252" s="77"/>
      <c r="E252" s="76"/>
      <c r="F252" s="76"/>
      <c r="G252" s="76"/>
      <c r="H252" s="76"/>
      <c r="I252" s="76"/>
      <c r="J252" s="76"/>
      <c r="K252" s="76"/>
      <c r="L252" s="76"/>
    </row>
    <row r="253" spans="1:12" x14ac:dyDescent="0.4">
      <c r="D253" s="77"/>
      <c r="E253" s="76"/>
      <c r="F253" s="76"/>
      <c r="G253" s="76"/>
      <c r="H253" s="76"/>
      <c r="I253" s="76"/>
      <c r="J253" s="76"/>
      <c r="K253" s="76"/>
      <c r="L253" s="76"/>
    </row>
    <row r="254" spans="1:12" x14ac:dyDescent="0.4">
      <c r="D254" s="77"/>
      <c r="E254" s="76"/>
      <c r="F254" s="76"/>
      <c r="G254" s="76"/>
      <c r="H254" s="76"/>
      <c r="I254" s="76"/>
      <c r="J254" s="76"/>
      <c r="K254" s="76"/>
      <c r="L254" s="76"/>
    </row>
    <row r="462" spans="1:16" x14ac:dyDescent="0.4">
      <c r="P462" s="78"/>
    </row>
    <row r="463" spans="1:16" s="78" customFormat="1" x14ac:dyDescent="0.4">
      <c r="A463" s="76"/>
      <c r="B463" s="76"/>
      <c r="D463" s="89"/>
      <c r="I463" s="79"/>
      <c r="K463" s="79"/>
      <c r="M463" s="76"/>
      <c r="N463" s="76"/>
    </row>
    <row r="464" spans="1:16" s="78" customFormat="1" x14ac:dyDescent="0.4">
      <c r="A464" s="76"/>
      <c r="B464" s="76"/>
      <c r="D464" s="89"/>
      <c r="I464" s="79"/>
      <c r="K464" s="79"/>
      <c r="M464" s="76"/>
      <c r="N464" s="76"/>
    </row>
    <row r="465" spans="1:14" s="78" customFormat="1" x14ac:dyDescent="0.4">
      <c r="A465" s="76"/>
      <c r="B465" s="76"/>
      <c r="D465" s="89"/>
      <c r="I465" s="79"/>
      <c r="K465" s="79"/>
      <c r="M465" s="76"/>
      <c r="N465" s="76"/>
    </row>
    <row r="466" spans="1:14" s="78" customFormat="1" x14ac:dyDescent="0.4">
      <c r="A466" s="76"/>
      <c r="B466" s="76"/>
      <c r="D466" s="89"/>
      <c r="I466" s="79"/>
      <c r="K466" s="79"/>
      <c r="M466" s="76"/>
      <c r="N466" s="76"/>
    </row>
    <row r="467" spans="1:14" s="78" customFormat="1" x14ac:dyDescent="0.4">
      <c r="A467" s="76"/>
      <c r="B467" s="76"/>
      <c r="C467" s="14"/>
      <c r="D467" s="120"/>
      <c r="I467" s="79"/>
      <c r="K467" s="79"/>
      <c r="M467" s="76"/>
      <c r="N467" s="76"/>
    </row>
    <row r="468" spans="1:14" s="78" customFormat="1" x14ac:dyDescent="0.4">
      <c r="A468" s="76"/>
      <c r="B468" s="76"/>
      <c r="C468" s="14"/>
      <c r="D468" s="120"/>
      <c r="I468" s="79"/>
      <c r="K468" s="79"/>
      <c r="M468" s="76"/>
      <c r="N468" s="76"/>
    </row>
    <row r="469" spans="1:14" s="78" customFormat="1" x14ac:dyDescent="0.4">
      <c r="A469" s="76"/>
      <c r="B469" s="76"/>
      <c r="C469" s="14"/>
      <c r="D469" s="120"/>
      <c r="I469" s="79"/>
      <c r="K469" s="79"/>
      <c r="M469" s="76"/>
      <c r="N469" s="76"/>
    </row>
    <row r="470" spans="1:14" s="78" customFormat="1" x14ac:dyDescent="0.4">
      <c r="A470" s="76"/>
      <c r="B470" s="76"/>
      <c r="C470" s="14"/>
      <c r="D470" s="120"/>
      <c r="I470" s="79"/>
      <c r="K470" s="79"/>
      <c r="M470" s="76"/>
      <c r="N470" s="76"/>
    </row>
    <row r="471" spans="1:14" s="78" customFormat="1" x14ac:dyDescent="0.4">
      <c r="A471" s="76"/>
      <c r="B471" s="76"/>
      <c r="C471" s="14"/>
      <c r="D471" s="120"/>
      <c r="I471" s="79"/>
      <c r="K471" s="79"/>
      <c r="M471" s="76"/>
      <c r="N471" s="76"/>
    </row>
    <row r="472" spans="1:14" s="78" customFormat="1" x14ac:dyDescent="0.4">
      <c r="A472" s="76"/>
      <c r="B472" s="76"/>
      <c r="C472" s="14"/>
      <c r="D472" s="120"/>
      <c r="I472" s="79"/>
      <c r="K472" s="79"/>
      <c r="M472" s="76"/>
      <c r="N472" s="76"/>
    </row>
    <row r="473" spans="1:14" s="78" customFormat="1" x14ac:dyDescent="0.4">
      <c r="A473" s="76"/>
      <c r="B473" s="76"/>
      <c r="C473" s="14"/>
      <c r="D473" s="120"/>
      <c r="I473" s="79"/>
      <c r="K473" s="79"/>
      <c r="M473" s="76"/>
      <c r="N473" s="76"/>
    </row>
    <row r="474" spans="1:14" s="78" customFormat="1" x14ac:dyDescent="0.4">
      <c r="A474" s="76"/>
      <c r="B474" s="76"/>
      <c r="C474" s="14"/>
      <c r="D474" s="120"/>
      <c r="I474" s="79"/>
      <c r="K474" s="79"/>
      <c r="M474" s="76"/>
      <c r="N474" s="76"/>
    </row>
    <row r="475" spans="1:14" s="78" customFormat="1" x14ac:dyDescent="0.4">
      <c r="A475" s="76"/>
      <c r="B475" s="76"/>
      <c r="C475" s="14"/>
      <c r="D475" s="120"/>
      <c r="I475" s="79"/>
      <c r="K475" s="79"/>
      <c r="M475" s="76"/>
      <c r="N475" s="76"/>
    </row>
    <row r="476" spans="1:14" s="78" customFormat="1" x14ac:dyDescent="0.4">
      <c r="A476" s="76"/>
      <c r="B476" s="76"/>
      <c r="C476" s="14"/>
      <c r="D476" s="120"/>
      <c r="I476" s="79"/>
      <c r="K476" s="79"/>
      <c r="M476" s="76"/>
      <c r="N476" s="76"/>
    </row>
    <row r="477" spans="1:14" s="78" customFormat="1" x14ac:dyDescent="0.4">
      <c r="A477" s="76"/>
      <c r="B477" s="76"/>
      <c r="C477" s="14"/>
      <c r="D477" s="120"/>
      <c r="I477" s="79"/>
      <c r="K477" s="79"/>
      <c r="M477" s="76"/>
      <c r="N477" s="76"/>
    </row>
    <row r="478" spans="1:14" s="78" customFormat="1" x14ac:dyDescent="0.4">
      <c r="A478" s="76"/>
      <c r="B478" s="76"/>
      <c r="C478" s="14"/>
      <c r="D478" s="120"/>
      <c r="I478" s="79"/>
      <c r="K478" s="79"/>
      <c r="M478" s="76"/>
      <c r="N478" s="76"/>
    </row>
    <row r="479" spans="1:14" s="78" customFormat="1" x14ac:dyDescent="0.4">
      <c r="A479" s="76"/>
      <c r="B479" s="76"/>
      <c r="C479" s="14"/>
      <c r="D479" s="120"/>
      <c r="I479" s="79"/>
      <c r="K479" s="79"/>
      <c r="M479" s="76"/>
      <c r="N479" s="76"/>
    </row>
    <row r="480" spans="1:14" s="78" customFormat="1" x14ac:dyDescent="0.4">
      <c r="A480" s="76"/>
      <c r="B480" s="76"/>
      <c r="C480" s="14"/>
      <c r="D480" s="120"/>
      <c r="I480" s="79"/>
      <c r="K480" s="79"/>
      <c r="M480" s="76"/>
      <c r="N480" s="76"/>
    </row>
    <row r="481" spans="1:16" s="78" customFormat="1" x14ac:dyDescent="0.4">
      <c r="A481" s="76"/>
      <c r="B481" s="76"/>
      <c r="C481" s="14"/>
      <c r="D481" s="120"/>
      <c r="I481" s="79"/>
      <c r="K481" s="79"/>
      <c r="M481" s="76"/>
      <c r="N481" s="76"/>
    </row>
    <row r="482" spans="1:16" s="78" customFormat="1" x14ac:dyDescent="0.4">
      <c r="A482" s="76"/>
      <c r="B482" s="76"/>
      <c r="C482" s="14"/>
      <c r="D482" s="120"/>
      <c r="I482" s="79"/>
      <c r="K482" s="79"/>
      <c r="M482" s="76"/>
      <c r="N482" s="76"/>
    </row>
    <row r="483" spans="1:16" s="78" customFormat="1" x14ac:dyDescent="0.4">
      <c r="A483" s="76"/>
      <c r="B483" s="76"/>
      <c r="C483" s="14"/>
      <c r="D483" s="120"/>
      <c r="I483" s="79"/>
      <c r="K483" s="79"/>
      <c r="M483" s="76"/>
      <c r="N483" s="76"/>
    </row>
    <row r="484" spans="1:16" s="78" customFormat="1" x14ac:dyDescent="0.4">
      <c r="A484" s="76"/>
      <c r="B484" s="76"/>
      <c r="C484" s="14"/>
      <c r="D484" s="120"/>
      <c r="I484" s="79"/>
      <c r="K484" s="79"/>
      <c r="M484" s="76"/>
      <c r="N484" s="76"/>
    </row>
    <row r="485" spans="1:16" s="78" customFormat="1" x14ac:dyDescent="0.4">
      <c r="A485" s="76"/>
      <c r="B485" s="76"/>
      <c r="C485" s="14"/>
      <c r="D485" s="120"/>
      <c r="I485" s="79"/>
      <c r="K485" s="79"/>
      <c r="M485" s="76"/>
      <c r="N485" s="76"/>
    </row>
    <row r="486" spans="1:16" s="78" customFormat="1" x14ac:dyDescent="0.4">
      <c r="A486" s="76"/>
      <c r="B486" s="76"/>
      <c r="C486" s="14"/>
      <c r="D486" s="120"/>
      <c r="I486" s="79"/>
      <c r="K486" s="79"/>
      <c r="M486" s="76"/>
      <c r="N486" s="76"/>
    </row>
    <row r="487" spans="1:16" s="78" customFormat="1" x14ac:dyDescent="0.4">
      <c r="A487" s="76"/>
      <c r="B487" s="76"/>
      <c r="C487" s="14"/>
      <c r="D487" s="120"/>
      <c r="I487" s="79"/>
      <c r="K487" s="79"/>
      <c r="M487" s="76"/>
      <c r="N487" s="76"/>
    </row>
    <row r="488" spans="1:16" s="78" customFormat="1" x14ac:dyDescent="0.4">
      <c r="A488" s="76"/>
      <c r="B488" s="76"/>
      <c r="C488" s="14"/>
      <c r="D488" s="120"/>
      <c r="I488" s="79"/>
      <c r="K488" s="79"/>
      <c r="M488" s="76"/>
      <c r="N488" s="76"/>
    </row>
    <row r="489" spans="1:16" s="78" customFormat="1" x14ac:dyDescent="0.4">
      <c r="A489" s="76"/>
      <c r="B489" s="76"/>
      <c r="C489" s="14"/>
      <c r="D489" s="120"/>
      <c r="I489" s="79"/>
      <c r="K489" s="79"/>
      <c r="M489" s="76"/>
      <c r="N489" s="76"/>
    </row>
    <row r="490" spans="1:16" s="78" customFormat="1" x14ac:dyDescent="0.4">
      <c r="A490" s="76"/>
      <c r="B490" s="76"/>
      <c r="C490" s="14"/>
      <c r="D490" s="120"/>
      <c r="I490" s="79"/>
      <c r="K490" s="79"/>
      <c r="M490" s="76"/>
      <c r="N490" s="76"/>
    </row>
    <row r="491" spans="1:16" s="78" customFormat="1" x14ac:dyDescent="0.4">
      <c r="A491" s="76"/>
      <c r="B491" s="76"/>
      <c r="C491" s="14"/>
      <c r="D491" s="120"/>
      <c r="I491" s="79"/>
      <c r="K491" s="79"/>
      <c r="M491" s="76"/>
      <c r="N491" s="76"/>
      <c r="P491" s="76"/>
    </row>
    <row r="492" spans="1:16" x14ac:dyDescent="0.4">
      <c r="C492" s="14"/>
      <c r="D492" s="120"/>
    </row>
    <row r="493" spans="1:16" x14ac:dyDescent="0.4">
      <c r="C493" s="14"/>
      <c r="D493" s="120"/>
    </row>
    <row r="494" spans="1:16" x14ac:dyDescent="0.4">
      <c r="C494" s="14"/>
      <c r="D494" s="120"/>
    </row>
    <row r="495" spans="1:16" x14ac:dyDescent="0.4">
      <c r="C495" s="14"/>
      <c r="D495" s="120"/>
    </row>
    <row r="496" spans="1:16" x14ac:dyDescent="0.4">
      <c r="C496" s="14"/>
      <c r="D496" s="120"/>
    </row>
    <row r="497" spans="3:4" x14ac:dyDescent="0.4">
      <c r="C497" s="14"/>
      <c r="D497" s="120"/>
    </row>
    <row r="498" spans="3:4" x14ac:dyDescent="0.4">
      <c r="C498" s="14"/>
      <c r="D498" s="120"/>
    </row>
  </sheetData>
  <pageMargins left="0.7" right="0.7" top="0.75" bottom="0.75" header="0.3" footer="0.3"/>
  <pageSetup orientation="portrait"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64"/>
  <sheetViews>
    <sheetView workbookViewId="0">
      <selection activeCell="O10" sqref="O10"/>
    </sheetView>
  </sheetViews>
  <sheetFormatPr defaultColWidth="9.05859375" defaultRowHeight="12.7" outlineLevelCol="1" x14ac:dyDescent="0.4"/>
  <cols>
    <col min="1" max="1" width="8.46875" style="21" bestFit="1" customWidth="1"/>
    <col min="2" max="2" width="43.64453125" style="9" bestFit="1" customWidth="1"/>
    <col min="3" max="3" width="13.64453125" style="10" hidden="1" customWidth="1" outlineLevel="1"/>
    <col min="4" max="4" width="13.52734375" style="10" hidden="1" customWidth="1" outlineLevel="1"/>
    <col min="5" max="5" width="11.3515625" style="78" hidden="1" customWidth="1" outlineLevel="1"/>
    <col min="6" max="7" width="11" style="78" hidden="1" customWidth="1" outlineLevel="1"/>
    <col min="8" max="8" width="12.64453125" style="78" hidden="1" customWidth="1" outlineLevel="1"/>
    <col min="9" max="9" width="15.64453125" style="105" hidden="1" customWidth="1" outlineLevel="1"/>
    <col min="10" max="10" width="15.46875" style="21" hidden="1" customWidth="1" outlineLevel="1"/>
    <col min="11" max="11" width="13.52734375" style="79" customWidth="1" collapsed="1"/>
    <col min="12" max="12" width="10" style="21" customWidth="1"/>
    <col min="13" max="13" width="11.64453125" style="21" customWidth="1"/>
    <col min="14" max="14" width="13.17578125" style="21" customWidth="1"/>
    <col min="15" max="15" width="12.17578125" style="10" customWidth="1"/>
    <col min="16" max="16384" width="9.05859375" style="21"/>
  </cols>
  <sheetData>
    <row r="1" spans="1:15" x14ac:dyDescent="0.4">
      <c r="A1" s="433" t="s">
        <v>0</v>
      </c>
      <c r="B1" s="433"/>
      <c r="M1" s="76"/>
      <c r="N1" s="76"/>
    </row>
    <row r="2" spans="1:15" x14ac:dyDescent="0.4">
      <c r="A2" s="434" t="s">
        <v>603</v>
      </c>
      <c r="B2" s="434"/>
      <c r="M2" s="76"/>
      <c r="N2" s="76"/>
    </row>
    <row r="3" spans="1:15" x14ac:dyDescent="0.4">
      <c r="A3" s="434" t="s">
        <v>896</v>
      </c>
      <c r="B3" s="434"/>
      <c r="D3" s="10" t="s">
        <v>261</v>
      </c>
      <c r="E3" s="78" t="s">
        <v>261</v>
      </c>
      <c r="F3" s="10"/>
      <c r="G3" s="10"/>
      <c r="H3" s="10" t="s">
        <v>261</v>
      </c>
      <c r="I3" s="105" t="s">
        <v>261</v>
      </c>
      <c r="J3" s="107"/>
      <c r="M3" s="76"/>
      <c r="N3" s="76"/>
    </row>
    <row r="5" spans="1:15" s="10" customFormat="1" x14ac:dyDescent="0.4">
      <c r="A5" s="21" t="s">
        <v>484</v>
      </c>
      <c r="B5" s="9" t="s">
        <v>279</v>
      </c>
      <c r="C5" s="108" t="s">
        <v>0</v>
      </c>
      <c r="D5" s="108" t="s">
        <v>2</v>
      </c>
      <c r="E5" s="78" t="s">
        <v>3</v>
      </c>
      <c r="F5" s="108" t="s">
        <v>485</v>
      </c>
      <c r="G5" s="108" t="s">
        <v>486</v>
      </c>
      <c r="H5" s="108" t="s">
        <v>487</v>
      </c>
      <c r="I5" s="105" t="s">
        <v>1</v>
      </c>
      <c r="J5" s="21" t="s">
        <v>280</v>
      </c>
      <c r="K5" s="19" t="s">
        <v>281</v>
      </c>
      <c r="M5" s="78"/>
      <c r="N5" s="413" t="s">
        <v>282</v>
      </c>
      <c r="O5" s="423" t="s">
        <v>284</v>
      </c>
    </row>
    <row r="6" spans="1:15" s="10" customFormat="1" x14ac:dyDescent="0.4">
      <c r="A6" s="121" t="s">
        <v>488</v>
      </c>
      <c r="B6" s="12" t="s">
        <v>143</v>
      </c>
      <c r="C6" s="13"/>
      <c r="D6" s="78"/>
      <c r="E6" s="78"/>
      <c r="F6" s="78"/>
      <c r="G6" s="78"/>
      <c r="H6" s="78"/>
      <c r="I6" s="79">
        <f t="shared" ref="I6:I73" si="0">SUM(C6:H6)</f>
        <v>0</v>
      </c>
      <c r="J6" s="78" t="s">
        <v>287</v>
      </c>
      <c r="K6" s="79">
        <f>I6*1</f>
        <v>0</v>
      </c>
      <c r="L6" s="78"/>
      <c r="M6" s="78"/>
      <c r="N6" s="414" t="s">
        <v>287</v>
      </c>
      <c r="O6" s="423">
        <v>0</v>
      </c>
    </row>
    <row r="7" spans="1:15" s="10" customFormat="1" x14ac:dyDescent="0.4">
      <c r="A7" s="121" t="s">
        <v>489</v>
      </c>
      <c r="B7" s="12" t="s">
        <v>144</v>
      </c>
      <c r="C7" s="13"/>
      <c r="D7" s="78"/>
      <c r="E7" s="78"/>
      <c r="F7" s="78"/>
      <c r="G7" s="78"/>
      <c r="H7" s="78"/>
      <c r="I7" s="79">
        <f t="shared" si="0"/>
        <v>0</v>
      </c>
      <c r="J7" s="78" t="s">
        <v>287</v>
      </c>
      <c r="K7" s="79">
        <f t="shared" ref="K7:K73" si="1">I7*1</f>
        <v>0</v>
      </c>
      <c r="L7" s="78"/>
      <c r="M7" s="78"/>
      <c r="N7" s="414" t="s">
        <v>288</v>
      </c>
      <c r="O7" s="423">
        <v>0</v>
      </c>
    </row>
    <row r="8" spans="1:15" s="10" customFormat="1" x14ac:dyDescent="0.4">
      <c r="A8" s="121" t="s">
        <v>490</v>
      </c>
      <c r="B8" s="12" t="s">
        <v>145</v>
      </c>
      <c r="C8" s="13"/>
      <c r="D8" s="78"/>
      <c r="E8" s="78"/>
      <c r="F8" s="78"/>
      <c r="G8" s="78"/>
      <c r="H8" s="78"/>
      <c r="I8" s="79">
        <f t="shared" si="0"/>
        <v>0</v>
      </c>
      <c r="J8" s="78" t="s">
        <v>287</v>
      </c>
      <c r="K8" s="79">
        <f t="shared" si="1"/>
        <v>0</v>
      </c>
      <c r="L8" s="78"/>
      <c r="M8" s="78"/>
      <c r="N8" s="414" t="s">
        <v>292</v>
      </c>
      <c r="O8" s="423">
        <v>0</v>
      </c>
    </row>
    <row r="9" spans="1:15" s="10" customFormat="1" x14ac:dyDescent="0.4">
      <c r="A9" s="121" t="s">
        <v>491</v>
      </c>
      <c r="B9" s="12" t="s">
        <v>146</v>
      </c>
      <c r="C9" s="13"/>
      <c r="D9" s="78"/>
      <c r="E9" s="78"/>
      <c r="F9" s="78"/>
      <c r="G9" s="78"/>
      <c r="H9" s="78"/>
      <c r="I9" s="79">
        <f t="shared" si="0"/>
        <v>0</v>
      </c>
      <c r="J9" s="78" t="s">
        <v>287</v>
      </c>
      <c r="K9" s="79">
        <f t="shared" si="1"/>
        <v>0</v>
      </c>
      <c r="L9" s="78"/>
      <c r="M9" s="78"/>
      <c r="N9" s="414" t="s">
        <v>291</v>
      </c>
      <c r="O9" s="423">
        <v>0</v>
      </c>
    </row>
    <row r="10" spans="1:15" s="10" customFormat="1" x14ac:dyDescent="0.4">
      <c r="A10" s="121" t="s">
        <v>492</v>
      </c>
      <c r="B10" s="12" t="s">
        <v>147</v>
      </c>
      <c r="C10" s="13"/>
      <c r="D10" s="78"/>
      <c r="E10" s="78"/>
      <c r="F10" s="78"/>
      <c r="G10" s="78"/>
      <c r="H10" s="78"/>
      <c r="I10" s="79">
        <f t="shared" si="0"/>
        <v>0</v>
      </c>
      <c r="J10" s="78" t="s">
        <v>287</v>
      </c>
      <c r="K10" s="79">
        <f t="shared" si="1"/>
        <v>0</v>
      </c>
      <c r="L10" s="78"/>
      <c r="M10" s="78"/>
      <c r="N10" s="414" t="s">
        <v>289</v>
      </c>
      <c r="O10" s="423">
        <v>0</v>
      </c>
    </row>
    <row r="11" spans="1:15" s="10" customFormat="1" x14ac:dyDescent="0.4">
      <c r="A11" s="69" t="s">
        <v>757</v>
      </c>
      <c r="B11" s="12" t="s">
        <v>758</v>
      </c>
      <c r="C11" s="13"/>
      <c r="D11" s="78"/>
      <c r="E11" s="78"/>
      <c r="F11" s="78"/>
      <c r="G11" s="78"/>
      <c r="H11" s="78">
        <f>-D11</f>
        <v>0</v>
      </c>
      <c r="I11" s="79">
        <f t="shared" si="0"/>
        <v>0</v>
      </c>
      <c r="J11" s="78" t="s">
        <v>287</v>
      </c>
      <c r="K11" s="79">
        <f t="shared" si="1"/>
        <v>0</v>
      </c>
      <c r="L11" s="78"/>
      <c r="M11" s="78"/>
      <c r="N11" s="414" t="s">
        <v>290</v>
      </c>
      <c r="O11" s="423">
        <v>0</v>
      </c>
    </row>
    <row r="12" spans="1:15" s="78" customFormat="1" x14ac:dyDescent="0.4">
      <c r="A12" s="121" t="s">
        <v>493</v>
      </c>
      <c r="B12" s="100" t="s">
        <v>148</v>
      </c>
      <c r="C12" s="13"/>
      <c r="I12" s="79">
        <f t="shared" si="0"/>
        <v>0</v>
      </c>
      <c r="J12" s="78" t="s">
        <v>287</v>
      </c>
      <c r="K12" s="79">
        <f t="shared" si="1"/>
        <v>0</v>
      </c>
      <c r="N12" s="414" t="s">
        <v>299</v>
      </c>
      <c r="O12" s="423">
        <v>0</v>
      </c>
    </row>
    <row r="13" spans="1:15" s="78" customFormat="1" x14ac:dyDescent="0.4">
      <c r="A13" s="121" t="s">
        <v>494</v>
      </c>
      <c r="B13" s="12" t="s">
        <v>149</v>
      </c>
      <c r="C13" s="13"/>
      <c r="I13" s="79">
        <f t="shared" si="0"/>
        <v>0</v>
      </c>
      <c r="J13" s="78" t="s">
        <v>287</v>
      </c>
      <c r="K13" s="79">
        <f t="shared" si="1"/>
        <v>0</v>
      </c>
      <c r="N13" s="414" t="s">
        <v>862</v>
      </c>
      <c r="O13" s="423">
        <v>0</v>
      </c>
    </row>
    <row r="14" spans="1:15" s="78" customFormat="1" x14ac:dyDescent="0.4">
      <c r="A14" s="121" t="s">
        <v>495</v>
      </c>
      <c r="B14" s="12" t="s">
        <v>150</v>
      </c>
      <c r="C14" s="13"/>
      <c r="I14" s="79">
        <f t="shared" si="0"/>
        <v>0</v>
      </c>
      <c r="J14" s="78" t="s">
        <v>287</v>
      </c>
      <c r="K14" s="79">
        <f t="shared" si="1"/>
        <v>0</v>
      </c>
      <c r="N14" s="414" t="s">
        <v>283</v>
      </c>
      <c r="O14" s="423">
        <v>0</v>
      </c>
    </row>
    <row r="15" spans="1:15" s="10" customFormat="1" ht="14.35" x14ac:dyDescent="0.5">
      <c r="A15" s="121" t="s">
        <v>496</v>
      </c>
      <c r="B15" s="12" t="s">
        <v>151</v>
      </c>
      <c r="C15" s="13"/>
      <c r="D15" s="78"/>
      <c r="E15" s="78"/>
      <c r="F15" s="78"/>
      <c r="G15" s="78"/>
      <c r="H15" s="78"/>
      <c r="I15" s="79">
        <f t="shared" si="0"/>
        <v>0</v>
      </c>
      <c r="J15" s="78" t="s">
        <v>287</v>
      </c>
      <c r="K15" s="79">
        <f t="shared" si="1"/>
        <v>0</v>
      </c>
      <c r="L15" s="78"/>
      <c r="M15" s="78"/>
      <c r="N15" s="98"/>
      <c r="O15" s="98"/>
    </row>
    <row r="16" spans="1:15" s="10" customFormat="1" ht="14.35" x14ac:dyDescent="0.5">
      <c r="A16" s="121" t="s">
        <v>497</v>
      </c>
      <c r="B16" s="12" t="s">
        <v>152</v>
      </c>
      <c r="C16" s="13"/>
      <c r="D16" s="78"/>
      <c r="E16" s="78"/>
      <c r="F16" s="78"/>
      <c r="G16" s="78"/>
      <c r="H16" s="78"/>
      <c r="I16" s="79">
        <f t="shared" si="0"/>
        <v>0</v>
      </c>
      <c r="J16" s="78" t="s">
        <v>287</v>
      </c>
      <c r="K16" s="79">
        <f t="shared" si="1"/>
        <v>0</v>
      </c>
      <c r="M16" s="78"/>
      <c r="N16" s="98"/>
      <c r="O16" s="98"/>
    </row>
    <row r="17" spans="1:15" s="10" customFormat="1" x14ac:dyDescent="0.4">
      <c r="A17" s="121" t="s">
        <v>498</v>
      </c>
      <c r="B17" s="12" t="s">
        <v>153</v>
      </c>
      <c r="C17" s="13"/>
      <c r="D17" s="78"/>
      <c r="E17" s="78"/>
      <c r="F17" s="78"/>
      <c r="G17" s="78"/>
      <c r="H17" s="78"/>
      <c r="I17" s="79">
        <f t="shared" si="0"/>
        <v>0</v>
      </c>
      <c r="J17" s="78" t="s">
        <v>287</v>
      </c>
      <c r="K17" s="79">
        <f t="shared" si="1"/>
        <v>0</v>
      </c>
      <c r="M17" s="78"/>
      <c r="N17" s="21"/>
    </row>
    <row r="18" spans="1:15" s="10" customFormat="1" x14ac:dyDescent="0.4">
      <c r="A18" s="121" t="s">
        <v>637</v>
      </c>
      <c r="B18" s="12" t="s">
        <v>638</v>
      </c>
      <c r="C18" s="13"/>
      <c r="D18" s="78"/>
      <c r="E18" s="78"/>
      <c r="F18" s="78"/>
      <c r="G18" s="78"/>
      <c r="H18" s="78"/>
      <c r="I18" s="79">
        <f t="shared" si="0"/>
        <v>0</v>
      </c>
      <c r="J18" s="78" t="s">
        <v>287</v>
      </c>
      <c r="K18" s="79">
        <f t="shared" si="1"/>
        <v>0</v>
      </c>
      <c r="M18" s="78"/>
      <c r="N18" s="21"/>
    </row>
    <row r="19" spans="1:15" s="10" customFormat="1" x14ac:dyDescent="0.4">
      <c r="A19" s="121" t="s">
        <v>499</v>
      </c>
      <c r="B19" s="12" t="s">
        <v>154</v>
      </c>
      <c r="C19" s="13"/>
      <c r="D19" s="78"/>
      <c r="E19" s="78"/>
      <c r="F19" s="78"/>
      <c r="G19" s="78"/>
      <c r="H19" s="78"/>
      <c r="I19" s="79">
        <f t="shared" si="0"/>
        <v>0</v>
      </c>
      <c r="J19" s="78" t="s">
        <v>287</v>
      </c>
      <c r="K19" s="79">
        <f t="shared" si="1"/>
        <v>0</v>
      </c>
      <c r="M19" s="78"/>
      <c r="N19" s="21"/>
    </row>
    <row r="20" spans="1:15" s="10" customFormat="1" x14ac:dyDescent="0.4">
      <c r="A20" s="121" t="s">
        <v>639</v>
      </c>
      <c r="B20" s="12" t="s">
        <v>640</v>
      </c>
      <c r="C20" s="13"/>
      <c r="D20" s="78"/>
      <c r="E20" s="78"/>
      <c r="F20" s="78"/>
      <c r="G20" s="78"/>
      <c r="H20" s="78"/>
      <c r="I20" s="79">
        <f t="shared" si="0"/>
        <v>0</v>
      </c>
      <c r="J20" s="78" t="s">
        <v>287</v>
      </c>
      <c r="K20" s="79">
        <f t="shared" si="1"/>
        <v>0</v>
      </c>
      <c r="M20" s="78"/>
      <c r="N20" s="21"/>
    </row>
    <row r="21" spans="1:15" s="10" customFormat="1" x14ac:dyDescent="0.4">
      <c r="A21" s="121" t="s">
        <v>500</v>
      </c>
      <c r="B21" s="12" t="s">
        <v>155</v>
      </c>
      <c r="C21" s="13"/>
      <c r="D21" s="78"/>
      <c r="E21" s="78"/>
      <c r="F21" s="78"/>
      <c r="G21" s="78"/>
      <c r="H21" s="78"/>
      <c r="I21" s="79">
        <f t="shared" si="0"/>
        <v>0</v>
      </c>
      <c r="J21" s="78" t="s">
        <v>287</v>
      </c>
      <c r="K21" s="79">
        <f t="shared" si="1"/>
        <v>0</v>
      </c>
      <c r="M21" s="78"/>
      <c r="N21" s="21"/>
    </row>
    <row r="22" spans="1:15" s="10" customFormat="1" x14ac:dyDescent="0.4">
      <c r="A22" s="121" t="s">
        <v>501</v>
      </c>
      <c r="B22" s="12" t="s">
        <v>156</v>
      </c>
      <c r="C22" s="13"/>
      <c r="D22" s="78"/>
      <c r="E22" s="78"/>
      <c r="F22" s="78"/>
      <c r="G22" s="78"/>
      <c r="H22" s="78"/>
      <c r="I22" s="79">
        <f t="shared" si="0"/>
        <v>0</v>
      </c>
      <c r="J22" s="78" t="s">
        <v>287</v>
      </c>
      <c r="K22" s="79">
        <f t="shared" si="1"/>
        <v>0</v>
      </c>
      <c r="M22" s="78"/>
      <c r="N22" s="21"/>
    </row>
    <row r="23" spans="1:15" s="10" customFormat="1" x14ac:dyDescent="0.4">
      <c r="A23" s="88" t="s">
        <v>662</v>
      </c>
      <c r="B23" s="100" t="s">
        <v>663</v>
      </c>
      <c r="C23" s="13"/>
      <c r="D23" s="78"/>
      <c r="E23" s="78"/>
      <c r="F23" s="78"/>
      <c r="G23" s="78"/>
      <c r="H23" s="78"/>
      <c r="I23" s="79">
        <f t="shared" si="0"/>
        <v>0</v>
      </c>
      <c r="J23" s="78" t="s">
        <v>287</v>
      </c>
      <c r="K23" s="79">
        <f t="shared" si="1"/>
        <v>0</v>
      </c>
      <c r="M23" s="78"/>
      <c r="N23" s="78"/>
    </row>
    <row r="24" spans="1:15" s="10" customFormat="1" x14ac:dyDescent="0.4">
      <c r="A24" s="121" t="s">
        <v>502</v>
      </c>
      <c r="B24" s="12" t="s">
        <v>157</v>
      </c>
      <c r="C24" s="13"/>
      <c r="D24" s="78"/>
      <c r="E24" s="78"/>
      <c r="F24" s="78"/>
      <c r="G24" s="78"/>
      <c r="H24" s="78"/>
      <c r="I24" s="79">
        <f t="shared" si="0"/>
        <v>0</v>
      </c>
      <c r="J24" s="78" t="s">
        <v>287</v>
      </c>
      <c r="K24" s="79">
        <f t="shared" si="1"/>
        <v>0</v>
      </c>
      <c r="M24" s="78"/>
      <c r="N24" s="78"/>
    </row>
    <row r="25" spans="1:15" s="10" customFormat="1" x14ac:dyDescent="0.4">
      <c r="A25" s="121" t="s">
        <v>699</v>
      </c>
      <c r="B25" s="27" t="s">
        <v>698</v>
      </c>
      <c r="C25" s="13"/>
      <c r="D25" s="78"/>
      <c r="E25" s="78"/>
      <c r="F25" s="78"/>
      <c r="G25" s="78"/>
      <c r="H25" s="78"/>
      <c r="I25" s="79">
        <f t="shared" si="0"/>
        <v>0</v>
      </c>
      <c r="J25" s="78" t="s">
        <v>287</v>
      </c>
      <c r="K25" s="79">
        <f t="shared" si="1"/>
        <v>0</v>
      </c>
      <c r="M25" s="78"/>
      <c r="N25" s="78"/>
    </row>
    <row r="26" spans="1:15" s="10" customFormat="1" x14ac:dyDescent="0.4">
      <c r="A26" s="121" t="s">
        <v>503</v>
      </c>
      <c r="B26" s="12" t="s">
        <v>158</v>
      </c>
      <c r="C26" s="13"/>
      <c r="D26" s="78"/>
      <c r="E26" s="78"/>
      <c r="F26" s="78"/>
      <c r="G26" s="78"/>
      <c r="H26" s="78"/>
      <c r="I26" s="79">
        <f t="shared" si="0"/>
        <v>0</v>
      </c>
      <c r="J26" s="78" t="s">
        <v>287</v>
      </c>
      <c r="K26" s="79">
        <f t="shared" si="1"/>
        <v>0</v>
      </c>
      <c r="M26" s="78"/>
      <c r="N26" s="78"/>
    </row>
    <row r="27" spans="1:15" s="10" customFormat="1" x14ac:dyDescent="0.4">
      <c r="A27" s="121" t="s">
        <v>504</v>
      </c>
      <c r="B27" s="12" t="s">
        <v>159</v>
      </c>
      <c r="C27" s="13"/>
      <c r="D27" s="78"/>
      <c r="E27" s="78"/>
      <c r="F27" s="78"/>
      <c r="G27" s="78"/>
      <c r="H27" s="78"/>
      <c r="I27" s="79">
        <f t="shared" si="0"/>
        <v>0</v>
      </c>
      <c r="J27" s="78" t="s">
        <v>287</v>
      </c>
      <c r="K27" s="79">
        <f t="shared" si="1"/>
        <v>0</v>
      </c>
      <c r="M27" s="78"/>
      <c r="N27" s="78"/>
    </row>
    <row r="28" spans="1:15" s="10" customFormat="1" x14ac:dyDescent="0.4">
      <c r="A28" s="100" t="s">
        <v>680</v>
      </c>
      <c r="B28" s="100" t="s">
        <v>681</v>
      </c>
      <c r="C28" s="13"/>
      <c r="D28" s="78"/>
      <c r="E28" s="78"/>
      <c r="F28" s="78"/>
      <c r="G28" s="78"/>
      <c r="H28" s="78"/>
      <c r="I28" s="79">
        <f t="shared" si="0"/>
        <v>0</v>
      </c>
      <c r="J28" s="78" t="s">
        <v>287</v>
      </c>
      <c r="K28" s="79">
        <f t="shared" si="1"/>
        <v>0</v>
      </c>
      <c r="M28" s="78"/>
      <c r="N28" s="78"/>
    </row>
    <row r="29" spans="1:15" s="10" customFormat="1" x14ac:dyDescent="0.4">
      <c r="A29" s="121" t="s">
        <v>505</v>
      </c>
      <c r="B29" s="12" t="s">
        <v>160</v>
      </c>
      <c r="C29" s="13"/>
      <c r="D29" s="78"/>
      <c r="E29" s="78"/>
      <c r="F29" s="78"/>
      <c r="G29" s="78"/>
      <c r="H29" s="78"/>
      <c r="I29" s="79">
        <f t="shared" si="0"/>
        <v>0</v>
      </c>
      <c r="J29" s="78" t="s">
        <v>287</v>
      </c>
      <c r="K29" s="79">
        <f t="shared" si="1"/>
        <v>0</v>
      </c>
      <c r="M29" s="78"/>
      <c r="N29" s="78"/>
    </row>
    <row r="30" spans="1:15" s="10" customFormat="1" x14ac:dyDescent="0.4">
      <c r="A30" s="121" t="s">
        <v>506</v>
      </c>
      <c r="B30" s="12" t="s">
        <v>161</v>
      </c>
      <c r="C30" s="13"/>
      <c r="D30" s="78"/>
      <c r="E30" s="78"/>
      <c r="F30" s="78"/>
      <c r="G30" s="78"/>
      <c r="H30" s="78"/>
      <c r="I30" s="79">
        <f t="shared" si="0"/>
        <v>0</v>
      </c>
      <c r="J30" s="78" t="s">
        <v>287</v>
      </c>
      <c r="K30" s="79">
        <f t="shared" si="1"/>
        <v>0</v>
      </c>
      <c r="M30" s="78"/>
      <c r="N30" s="78"/>
    </row>
    <row r="31" spans="1:15" s="10" customFormat="1" x14ac:dyDescent="0.4">
      <c r="A31" s="121" t="s">
        <v>507</v>
      </c>
      <c r="B31" s="12" t="s">
        <v>162</v>
      </c>
      <c r="C31" s="13"/>
      <c r="D31" s="78"/>
      <c r="E31" s="78"/>
      <c r="F31" s="78"/>
      <c r="G31" s="78"/>
      <c r="H31" s="78"/>
      <c r="I31" s="79">
        <f t="shared" si="0"/>
        <v>0</v>
      </c>
      <c r="J31" s="78" t="s">
        <v>287</v>
      </c>
      <c r="K31" s="79">
        <f t="shared" si="1"/>
        <v>0</v>
      </c>
      <c r="M31" s="78"/>
      <c r="N31" s="78"/>
    </row>
    <row r="32" spans="1:15" s="78" customFormat="1" x14ac:dyDescent="0.4">
      <c r="A32" s="121" t="s">
        <v>508</v>
      </c>
      <c r="B32" s="12" t="s">
        <v>163</v>
      </c>
      <c r="C32" s="13"/>
      <c r="I32" s="79">
        <f t="shared" si="0"/>
        <v>0</v>
      </c>
      <c r="J32" s="78" t="s">
        <v>287</v>
      </c>
      <c r="K32" s="79">
        <f t="shared" si="1"/>
        <v>0</v>
      </c>
      <c r="L32" s="10"/>
      <c r="M32" s="78">
        <f>SUM(K6:K32)</f>
        <v>0</v>
      </c>
      <c r="O32" s="10"/>
    </row>
    <row r="33" spans="1:15" s="78" customFormat="1" x14ac:dyDescent="0.4">
      <c r="A33" s="121" t="s">
        <v>509</v>
      </c>
      <c r="B33" s="12" t="s">
        <v>164</v>
      </c>
      <c r="C33" s="82"/>
      <c r="I33" s="79">
        <f t="shared" si="0"/>
        <v>0</v>
      </c>
      <c r="J33" s="78" t="s">
        <v>288</v>
      </c>
      <c r="K33" s="79">
        <f t="shared" si="1"/>
        <v>0</v>
      </c>
      <c r="L33" s="10"/>
      <c r="O33" s="10"/>
    </row>
    <row r="34" spans="1:15" s="78" customFormat="1" x14ac:dyDescent="0.4">
      <c r="A34" s="121" t="s">
        <v>510</v>
      </c>
      <c r="B34" s="12" t="s">
        <v>165</v>
      </c>
      <c r="C34" s="82"/>
      <c r="I34" s="79">
        <f t="shared" si="0"/>
        <v>0</v>
      </c>
      <c r="J34" s="78" t="s">
        <v>288</v>
      </c>
      <c r="K34" s="79">
        <f t="shared" si="1"/>
        <v>0</v>
      </c>
    </row>
    <row r="35" spans="1:15" s="10" customFormat="1" x14ac:dyDescent="0.4">
      <c r="A35" s="121" t="s">
        <v>511</v>
      </c>
      <c r="B35" s="12" t="s">
        <v>166</v>
      </c>
      <c r="C35" s="82"/>
      <c r="D35" s="78"/>
      <c r="E35" s="78"/>
      <c r="F35" s="78"/>
      <c r="G35" s="78"/>
      <c r="H35" s="78"/>
      <c r="I35" s="79">
        <f t="shared" si="0"/>
        <v>0</v>
      </c>
      <c r="J35" s="78" t="s">
        <v>288</v>
      </c>
      <c r="K35" s="79">
        <f t="shared" si="1"/>
        <v>0</v>
      </c>
      <c r="M35" s="78"/>
      <c r="N35" s="78"/>
    </row>
    <row r="36" spans="1:15" s="10" customFormat="1" x14ac:dyDescent="0.4">
      <c r="A36" s="68" t="s">
        <v>512</v>
      </c>
      <c r="B36" s="12" t="s">
        <v>167</v>
      </c>
      <c r="C36" s="82"/>
      <c r="D36" s="78"/>
      <c r="E36" s="78"/>
      <c r="F36" s="78"/>
      <c r="G36" s="78"/>
      <c r="H36" s="78"/>
      <c r="I36" s="79">
        <f t="shared" si="0"/>
        <v>0</v>
      </c>
      <c r="J36" s="78" t="s">
        <v>288</v>
      </c>
      <c r="K36" s="79">
        <f t="shared" si="1"/>
        <v>0</v>
      </c>
      <c r="M36" s="78"/>
      <c r="N36" s="78"/>
    </row>
    <row r="37" spans="1:15" s="10" customFormat="1" x14ac:dyDescent="0.4">
      <c r="A37" s="121" t="s">
        <v>513</v>
      </c>
      <c r="B37" s="12" t="s">
        <v>168</v>
      </c>
      <c r="C37" s="82"/>
      <c r="D37" s="78"/>
      <c r="E37" s="78"/>
      <c r="F37" s="78"/>
      <c r="G37" s="78"/>
      <c r="H37" s="78"/>
      <c r="I37" s="79">
        <f t="shared" si="0"/>
        <v>0</v>
      </c>
      <c r="J37" s="78" t="s">
        <v>288</v>
      </c>
      <c r="K37" s="79">
        <f t="shared" si="1"/>
        <v>0</v>
      </c>
      <c r="M37" s="78"/>
      <c r="N37" s="78"/>
    </row>
    <row r="38" spans="1:15" s="10" customFormat="1" x14ac:dyDescent="0.4">
      <c r="A38" s="121" t="s">
        <v>514</v>
      </c>
      <c r="B38" s="12" t="s">
        <v>169</v>
      </c>
      <c r="C38" s="82"/>
      <c r="D38" s="78"/>
      <c r="E38" s="78"/>
      <c r="F38" s="78"/>
      <c r="G38" s="78"/>
      <c r="H38" s="78"/>
      <c r="I38" s="79">
        <f t="shared" si="0"/>
        <v>0</v>
      </c>
      <c r="J38" s="78" t="s">
        <v>288</v>
      </c>
      <c r="K38" s="79">
        <f t="shared" si="1"/>
        <v>0</v>
      </c>
      <c r="M38" s="78"/>
      <c r="N38" s="78"/>
    </row>
    <row r="39" spans="1:15" s="10" customFormat="1" ht="14.35" x14ac:dyDescent="0.5">
      <c r="A39" s="69" t="s">
        <v>611</v>
      </c>
      <c r="B39" s="12" t="s">
        <v>610</v>
      </c>
      <c r="C39" s="73"/>
      <c r="D39" s="78"/>
      <c r="E39" s="78"/>
      <c r="F39" s="78"/>
      <c r="G39" s="78"/>
      <c r="H39" s="78"/>
      <c r="I39" s="79">
        <f t="shared" si="0"/>
        <v>0</v>
      </c>
      <c r="J39" s="78" t="s">
        <v>288</v>
      </c>
      <c r="K39" s="79">
        <f t="shared" si="1"/>
        <v>0</v>
      </c>
      <c r="M39" s="78"/>
      <c r="N39" s="78"/>
    </row>
    <row r="40" spans="1:15" s="10" customFormat="1" x14ac:dyDescent="0.4">
      <c r="A40" s="69"/>
      <c r="B40" s="12" t="s">
        <v>170</v>
      </c>
      <c r="C40" s="74"/>
      <c r="D40" s="79"/>
      <c r="E40" s="79"/>
      <c r="F40" s="79"/>
      <c r="G40" s="79"/>
      <c r="H40" s="79"/>
      <c r="I40" s="79">
        <f t="shared" si="0"/>
        <v>0</v>
      </c>
      <c r="J40" s="79" t="s">
        <v>288</v>
      </c>
      <c r="K40" s="79">
        <f t="shared" si="1"/>
        <v>0</v>
      </c>
      <c r="M40" s="78"/>
      <c r="N40" s="78"/>
    </row>
    <row r="41" spans="1:15" s="10" customFormat="1" ht="14.35" x14ac:dyDescent="0.5">
      <c r="A41" s="69"/>
      <c r="B41" s="12" t="s">
        <v>759</v>
      </c>
      <c r="C41" s="73"/>
      <c r="D41" s="79"/>
      <c r="E41" s="78"/>
      <c r="F41" s="78"/>
      <c r="G41" s="78"/>
      <c r="H41" s="79">
        <f>-D41</f>
        <v>0</v>
      </c>
      <c r="I41" s="79">
        <f t="shared" si="0"/>
        <v>0</v>
      </c>
      <c r="J41" s="78" t="s">
        <v>288</v>
      </c>
      <c r="K41" s="79">
        <f t="shared" si="1"/>
        <v>0</v>
      </c>
      <c r="L41" s="78"/>
      <c r="M41" s="78"/>
      <c r="N41" s="78"/>
    </row>
    <row r="42" spans="1:15" s="10" customFormat="1" x14ac:dyDescent="0.4">
      <c r="A42" s="121" t="s">
        <v>515</v>
      </c>
      <c r="B42" s="12" t="s">
        <v>171</v>
      </c>
      <c r="C42" s="82"/>
      <c r="D42" s="78"/>
      <c r="E42" s="78"/>
      <c r="F42" s="78"/>
      <c r="G42" s="78"/>
      <c r="H42" s="78"/>
      <c r="I42" s="79">
        <f t="shared" si="0"/>
        <v>0</v>
      </c>
      <c r="J42" s="78" t="s">
        <v>291</v>
      </c>
      <c r="K42" s="79">
        <f t="shared" si="1"/>
        <v>0</v>
      </c>
      <c r="L42" s="78"/>
      <c r="M42" s="78"/>
      <c r="N42" s="78"/>
    </row>
    <row r="43" spans="1:15" s="10" customFormat="1" x14ac:dyDescent="0.4">
      <c r="A43" s="121" t="s">
        <v>516</v>
      </c>
      <c r="B43" s="12" t="s">
        <v>172</v>
      </c>
      <c r="C43" s="82"/>
      <c r="D43" s="78"/>
      <c r="E43" s="78"/>
      <c r="F43" s="78"/>
      <c r="G43" s="78"/>
      <c r="H43" s="78"/>
      <c r="I43" s="79">
        <f t="shared" si="0"/>
        <v>0</v>
      </c>
      <c r="J43" s="78" t="s">
        <v>291</v>
      </c>
      <c r="K43" s="79">
        <f t="shared" si="1"/>
        <v>0</v>
      </c>
      <c r="M43" s="78"/>
      <c r="N43" s="78"/>
    </row>
    <row r="44" spans="1:15" s="10" customFormat="1" x14ac:dyDescent="0.4">
      <c r="A44" s="100" t="s">
        <v>655</v>
      </c>
      <c r="B44" s="100" t="s">
        <v>654</v>
      </c>
      <c r="C44" s="82"/>
      <c r="D44" s="78"/>
      <c r="E44" s="78"/>
      <c r="F44" s="78"/>
      <c r="G44" s="78"/>
      <c r="H44" s="78"/>
      <c r="I44" s="79">
        <f t="shared" ref="I44" si="2">SUM(C44:H44)</f>
        <v>0</v>
      </c>
      <c r="J44" s="78" t="s">
        <v>291</v>
      </c>
      <c r="K44" s="79">
        <f t="shared" si="1"/>
        <v>0</v>
      </c>
      <c r="M44" s="78"/>
      <c r="N44" s="78"/>
    </row>
    <row r="45" spans="1:15" s="10" customFormat="1" x14ac:dyDescent="0.4">
      <c r="A45" s="121" t="s">
        <v>517</v>
      </c>
      <c r="B45" s="12" t="s">
        <v>173</v>
      </c>
      <c r="C45" s="82"/>
      <c r="D45" s="78"/>
      <c r="E45" s="78"/>
      <c r="F45" s="78"/>
      <c r="G45" s="78"/>
      <c r="H45" s="78"/>
      <c r="I45" s="79">
        <f t="shared" si="0"/>
        <v>0</v>
      </c>
      <c r="J45" s="78" t="s">
        <v>289</v>
      </c>
      <c r="K45" s="79">
        <f t="shared" si="1"/>
        <v>0</v>
      </c>
      <c r="M45" s="78"/>
      <c r="N45" s="78"/>
    </row>
    <row r="46" spans="1:15" s="10" customFormat="1" x14ac:dyDescent="0.4">
      <c r="A46" s="121" t="s">
        <v>518</v>
      </c>
      <c r="B46" s="12" t="s">
        <v>174</v>
      </c>
      <c r="C46" s="82"/>
      <c r="D46" s="78"/>
      <c r="E46" s="78"/>
      <c r="F46" s="78"/>
      <c r="G46" s="78"/>
      <c r="H46" s="78"/>
      <c r="I46" s="79">
        <f t="shared" si="0"/>
        <v>0</v>
      </c>
      <c r="J46" s="78" t="s">
        <v>292</v>
      </c>
      <c r="K46" s="79">
        <f t="shared" si="1"/>
        <v>0</v>
      </c>
      <c r="M46" s="78"/>
      <c r="N46" s="78"/>
    </row>
    <row r="47" spans="1:15" s="10" customFormat="1" x14ac:dyDescent="0.4">
      <c r="A47" s="121" t="s">
        <v>519</v>
      </c>
      <c r="B47" s="12" t="s">
        <v>175</v>
      </c>
      <c r="C47" s="82"/>
      <c r="D47" s="78"/>
      <c r="E47" s="78"/>
      <c r="F47" s="78"/>
      <c r="G47" s="78"/>
      <c r="H47" s="78"/>
      <c r="I47" s="79">
        <f t="shared" si="0"/>
        <v>0</v>
      </c>
      <c r="J47" s="78" t="s">
        <v>288</v>
      </c>
      <c r="K47" s="79">
        <f t="shared" si="1"/>
        <v>0</v>
      </c>
      <c r="M47" s="78"/>
      <c r="N47" s="78"/>
    </row>
    <row r="48" spans="1:15" s="10" customFormat="1" x14ac:dyDescent="0.4">
      <c r="A48" s="121" t="s">
        <v>520</v>
      </c>
      <c r="B48" s="12" t="s">
        <v>176</v>
      </c>
      <c r="C48" s="82"/>
      <c r="D48" s="78"/>
      <c r="E48" s="78"/>
      <c r="F48" s="78"/>
      <c r="G48" s="78"/>
      <c r="H48" s="78"/>
      <c r="I48" s="79">
        <f t="shared" si="0"/>
        <v>0</v>
      </c>
      <c r="J48" s="78" t="s">
        <v>288</v>
      </c>
      <c r="K48" s="79">
        <f t="shared" si="1"/>
        <v>0</v>
      </c>
      <c r="M48" s="78"/>
      <c r="N48" s="78"/>
    </row>
    <row r="49" spans="1:14" s="10" customFormat="1" x14ac:dyDescent="0.4">
      <c r="A49" s="121" t="s">
        <v>521</v>
      </c>
      <c r="B49" s="12" t="s">
        <v>177</v>
      </c>
      <c r="C49" s="82"/>
      <c r="D49" s="78"/>
      <c r="E49" s="78"/>
      <c r="F49" s="78"/>
      <c r="G49" s="78"/>
      <c r="H49" s="78"/>
      <c r="I49" s="79">
        <f t="shared" si="0"/>
        <v>0</v>
      </c>
      <c r="J49" s="78" t="s">
        <v>288</v>
      </c>
      <c r="K49" s="79">
        <f t="shared" si="1"/>
        <v>0</v>
      </c>
      <c r="M49" s="78"/>
      <c r="N49" s="78"/>
    </row>
    <row r="50" spans="1:14" s="10" customFormat="1" x14ac:dyDescent="0.4">
      <c r="A50" s="121" t="s">
        <v>522</v>
      </c>
      <c r="B50" s="12" t="s">
        <v>178</v>
      </c>
      <c r="C50" s="82"/>
      <c r="D50" s="78"/>
      <c r="E50" s="78"/>
      <c r="F50" s="78"/>
      <c r="G50" s="78"/>
      <c r="H50" s="78"/>
      <c r="I50" s="79">
        <f t="shared" si="0"/>
        <v>0</v>
      </c>
      <c r="J50" s="78" t="s">
        <v>292</v>
      </c>
      <c r="K50" s="79">
        <f t="shared" si="1"/>
        <v>0</v>
      </c>
      <c r="M50" s="78"/>
      <c r="N50" s="78"/>
    </row>
    <row r="51" spans="1:14" s="10" customFormat="1" x14ac:dyDescent="0.4">
      <c r="A51" s="121" t="s">
        <v>523</v>
      </c>
      <c r="B51" s="12" t="s">
        <v>179</v>
      </c>
      <c r="C51" s="82"/>
      <c r="D51" s="78"/>
      <c r="E51" s="78"/>
      <c r="F51" s="78"/>
      <c r="G51" s="78"/>
      <c r="H51" s="78"/>
      <c r="I51" s="79">
        <f t="shared" si="0"/>
        <v>0</v>
      </c>
      <c r="J51" s="78" t="s">
        <v>292</v>
      </c>
      <c r="K51" s="79">
        <f t="shared" si="1"/>
        <v>0</v>
      </c>
      <c r="M51" s="78"/>
      <c r="N51" s="78"/>
    </row>
    <row r="52" spans="1:14" s="10" customFormat="1" x14ac:dyDescent="0.4">
      <c r="A52" s="121" t="s">
        <v>524</v>
      </c>
      <c r="B52" s="12" t="s">
        <v>180</v>
      </c>
      <c r="C52" s="82"/>
      <c r="D52" s="78"/>
      <c r="E52" s="78"/>
      <c r="F52" s="78"/>
      <c r="G52" s="78"/>
      <c r="H52" s="78"/>
      <c r="I52" s="79">
        <f t="shared" si="0"/>
        <v>0</v>
      </c>
      <c r="J52" s="78" t="s">
        <v>292</v>
      </c>
      <c r="K52" s="79">
        <f t="shared" si="1"/>
        <v>0</v>
      </c>
      <c r="M52" s="78"/>
      <c r="N52" s="78"/>
    </row>
    <row r="53" spans="1:14" s="10" customFormat="1" x14ac:dyDescent="0.4">
      <c r="A53" s="121" t="s">
        <v>525</v>
      </c>
      <c r="B53" s="12" t="s">
        <v>254</v>
      </c>
      <c r="C53" s="82"/>
      <c r="D53" s="78"/>
      <c r="E53" s="78"/>
      <c r="F53" s="78"/>
      <c r="G53" s="78"/>
      <c r="H53" s="78"/>
      <c r="I53" s="79">
        <f t="shared" si="0"/>
        <v>0</v>
      </c>
      <c r="J53" s="78" t="s">
        <v>292</v>
      </c>
      <c r="K53" s="79">
        <f t="shared" si="1"/>
        <v>0</v>
      </c>
      <c r="M53" s="78"/>
      <c r="N53" s="78"/>
    </row>
    <row r="54" spans="1:14" s="10" customFormat="1" x14ac:dyDescent="0.4">
      <c r="A54" s="88" t="s">
        <v>783</v>
      </c>
      <c r="B54" s="100" t="s">
        <v>784</v>
      </c>
      <c r="C54" s="82"/>
      <c r="D54" s="78"/>
      <c r="E54" s="78"/>
      <c r="F54" s="78"/>
      <c r="G54" s="78"/>
      <c r="H54" s="78"/>
      <c r="I54" s="79">
        <f>SUM(C54:H54)</f>
        <v>0</v>
      </c>
      <c r="J54" s="78" t="s">
        <v>292</v>
      </c>
      <c r="K54" s="79">
        <f t="shared" si="1"/>
        <v>0</v>
      </c>
      <c r="M54" s="78"/>
      <c r="N54" s="78"/>
    </row>
    <row r="55" spans="1:14" s="10" customFormat="1" x14ac:dyDescent="0.4">
      <c r="A55" s="100" t="s">
        <v>526</v>
      </c>
      <c r="B55" s="100" t="s">
        <v>255</v>
      </c>
      <c r="C55" s="82"/>
      <c r="D55" s="78"/>
      <c r="E55" s="78"/>
      <c r="F55" s="78"/>
      <c r="G55" s="78"/>
      <c r="H55" s="78"/>
      <c r="I55" s="79">
        <f>SUM(C55:H55)</f>
        <v>0</v>
      </c>
      <c r="J55" s="78" t="s">
        <v>292</v>
      </c>
      <c r="K55" s="79">
        <f t="shared" si="1"/>
        <v>0</v>
      </c>
      <c r="M55" s="78"/>
      <c r="N55" s="78"/>
    </row>
    <row r="56" spans="1:14" s="10" customFormat="1" x14ac:dyDescent="0.4">
      <c r="A56" s="121" t="s">
        <v>527</v>
      </c>
      <c r="B56" s="12" t="s">
        <v>181</v>
      </c>
      <c r="C56" s="82"/>
      <c r="D56" s="78"/>
      <c r="E56" s="78"/>
      <c r="F56" s="78"/>
      <c r="G56" s="78"/>
      <c r="H56" s="78"/>
      <c r="I56" s="79">
        <f t="shared" si="0"/>
        <v>0</v>
      </c>
      <c r="J56" s="78" t="s">
        <v>292</v>
      </c>
      <c r="K56" s="79">
        <f t="shared" si="1"/>
        <v>0</v>
      </c>
      <c r="M56" s="78"/>
      <c r="N56" s="78"/>
    </row>
    <row r="57" spans="1:14" s="10" customFormat="1" x14ac:dyDescent="0.4">
      <c r="A57" s="121" t="s">
        <v>528</v>
      </c>
      <c r="B57" s="12" t="s">
        <v>182</v>
      </c>
      <c r="C57" s="82"/>
      <c r="D57" s="78"/>
      <c r="E57" s="78"/>
      <c r="F57" s="78"/>
      <c r="G57" s="78"/>
      <c r="H57" s="78"/>
      <c r="I57" s="79">
        <f t="shared" si="0"/>
        <v>0</v>
      </c>
      <c r="J57" s="78" t="s">
        <v>292</v>
      </c>
      <c r="K57" s="79">
        <f t="shared" si="1"/>
        <v>0</v>
      </c>
      <c r="M57" s="78"/>
      <c r="N57" s="78"/>
    </row>
    <row r="58" spans="1:14" s="10" customFormat="1" x14ac:dyDescent="0.4">
      <c r="A58" s="121" t="s">
        <v>529</v>
      </c>
      <c r="B58" s="12" t="s">
        <v>183</v>
      </c>
      <c r="C58" s="82"/>
      <c r="D58" s="78"/>
      <c r="E58" s="78"/>
      <c r="F58" s="78"/>
      <c r="G58" s="78"/>
      <c r="H58" s="78"/>
      <c r="I58" s="79">
        <f t="shared" si="0"/>
        <v>0</v>
      </c>
      <c r="J58" s="78" t="s">
        <v>292</v>
      </c>
      <c r="K58" s="79">
        <f t="shared" si="1"/>
        <v>0</v>
      </c>
      <c r="M58" s="78"/>
      <c r="N58" s="78"/>
    </row>
    <row r="59" spans="1:14" s="10" customFormat="1" x14ac:dyDescent="0.4">
      <c r="A59" s="121" t="s">
        <v>530</v>
      </c>
      <c r="B59" s="12" t="s">
        <v>256</v>
      </c>
      <c r="C59" s="82"/>
      <c r="D59" s="78"/>
      <c r="E59" s="78"/>
      <c r="F59" s="78"/>
      <c r="G59" s="78"/>
      <c r="H59" s="78"/>
      <c r="I59" s="79">
        <f t="shared" si="0"/>
        <v>0</v>
      </c>
      <c r="J59" s="78" t="s">
        <v>292</v>
      </c>
      <c r="K59" s="79">
        <f t="shared" si="1"/>
        <v>0</v>
      </c>
      <c r="M59" s="78"/>
      <c r="N59" s="78"/>
    </row>
    <row r="60" spans="1:14" s="10" customFormat="1" x14ac:dyDescent="0.4">
      <c r="A60" s="121" t="s">
        <v>531</v>
      </c>
      <c r="B60" s="12" t="s">
        <v>184</v>
      </c>
      <c r="C60" s="82"/>
      <c r="D60" s="78"/>
      <c r="E60" s="78"/>
      <c r="F60" s="78"/>
      <c r="G60" s="78"/>
      <c r="H60" s="78"/>
      <c r="I60" s="79">
        <f t="shared" si="0"/>
        <v>0</v>
      </c>
      <c r="J60" s="78" t="s">
        <v>292</v>
      </c>
      <c r="K60" s="79">
        <f t="shared" si="1"/>
        <v>0</v>
      </c>
      <c r="M60" s="78"/>
      <c r="N60" s="78"/>
    </row>
    <row r="61" spans="1:14" s="10" customFormat="1" x14ac:dyDescent="0.4">
      <c r="A61" s="121" t="s">
        <v>532</v>
      </c>
      <c r="B61" s="12" t="s">
        <v>185</v>
      </c>
      <c r="C61" s="82"/>
      <c r="D61" s="78"/>
      <c r="E61" s="78"/>
      <c r="F61" s="78"/>
      <c r="G61" s="78"/>
      <c r="H61" s="78"/>
      <c r="I61" s="79">
        <f t="shared" si="0"/>
        <v>0</v>
      </c>
      <c r="J61" s="78" t="s">
        <v>289</v>
      </c>
      <c r="K61" s="79">
        <f t="shared" si="1"/>
        <v>0</v>
      </c>
      <c r="M61" s="78"/>
      <c r="N61" s="78"/>
    </row>
    <row r="62" spans="1:14" s="10" customFormat="1" x14ac:dyDescent="0.4">
      <c r="A62" s="121" t="s">
        <v>533</v>
      </c>
      <c r="B62" s="12" t="s">
        <v>186</v>
      </c>
      <c r="C62" s="82"/>
      <c r="D62" s="78"/>
      <c r="E62" s="78"/>
      <c r="F62" s="78"/>
      <c r="G62" s="78"/>
      <c r="H62" s="78"/>
      <c r="I62" s="79">
        <f t="shared" si="0"/>
        <v>0</v>
      </c>
      <c r="J62" s="78" t="s">
        <v>292</v>
      </c>
      <c r="K62" s="79">
        <f t="shared" si="1"/>
        <v>0</v>
      </c>
      <c r="M62" s="78"/>
      <c r="N62" s="78"/>
    </row>
    <row r="63" spans="1:14" s="10" customFormat="1" x14ac:dyDescent="0.4">
      <c r="A63" s="121" t="s">
        <v>534</v>
      </c>
      <c r="B63" s="12" t="s">
        <v>187</v>
      </c>
      <c r="C63" s="82"/>
      <c r="D63" s="78"/>
      <c r="E63" s="78"/>
      <c r="F63" s="78"/>
      <c r="G63" s="78"/>
      <c r="H63" s="78"/>
      <c r="I63" s="79">
        <f t="shared" si="0"/>
        <v>0</v>
      </c>
      <c r="J63" s="78" t="s">
        <v>292</v>
      </c>
      <c r="K63" s="79">
        <f t="shared" si="1"/>
        <v>0</v>
      </c>
      <c r="M63" s="78"/>
      <c r="N63" s="78"/>
    </row>
    <row r="64" spans="1:14" s="10" customFormat="1" x14ac:dyDescent="0.4">
      <c r="A64" s="121" t="s">
        <v>535</v>
      </c>
      <c r="B64" s="12" t="s">
        <v>188</v>
      </c>
      <c r="C64" s="82"/>
      <c r="D64" s="78"/>
      <c r="E64" s="78"/>
      <c r="F64" s="78"/>
      <c r="G64" s="78"/>
      <c r="H64" s="78"/>
      <c r="I64" s="79">
        <f t="shared" si="0"/>
        <v>0</v>
      </c>
      <c r="J64" s="78" t="s">
        <v>292</v>
      </c>
      <c r="K64" s="79">
        <f t="shared" si="1"/>
        <v>0</v>
      </c>
      <c r="M64" s="78"/>
      <c r="N64" s="78"/>
    </row>
    <row r="65" spans="1:14" s="10" customFormat="1" x14ac:dyDescent="0.4">
      <c r="A65" s="121" t="s">
        <v>536</v>
      </c>
      <c r="B65" s="12" t="s">
        <v>189</v>
      </c>
      <c r="C65" s="82"/>
      <c r="D65" s="78"/>
      <c r="E65" s="78"/>
      <c r="F65" s="78"/>
      <c r="G65" s="78"/>
      <c r="H65" s="78"/>
      <c r="I65" s="79">
        <f t="shared" si="0"/>
        <v>0</v>
      </c>
      <c r="J65" s="78" t="s">
        <v>292</v>
      </c>
      <c r="K65" s="79">
        <f t="shared" si="1"/>
        <v>0</v>
      </c>
      <c r="M65" s="78"/>
      <c r="N65" s="78"/>
    </row>
    <row r="66" spans="1:14" s="10" customFormat="1" x14ac:dyDescent="0.4">
      <c r="A66" s="121" t="s">
        <v>537</v>
      </c>
      <c r="B66" s="12" t="s">
        <v>190</v>
      </c>
      <c r="C66" s="82"/>
      <c r="D66" s="78"/>
      <c r="E66" s="78"/>
      <c r="F66" s="78"/>
      <c r="G66" s="78"/>
      <c r="H66" s="78"/>
      <c r="I66" s="79">
        <f t="shared" si="0"/>
        <v>0</v>
      </c>
      <c r="J66" s="78" t="s">
        <v>292</v>
      </c>
      <c r="K66" s="79">
        <f t="shared" si="1"/>
        <v>0</v>
      </c>
      <c r="M66" s="78"/>
      <c r="N66" s="78"/>
    </row>
    <row r="67" spans="1:14" s="10" customFormat="1" x14ac:dyDescent="0.4">
      <c r="A67" s="100" t="s">
        <v>785</v>
      </c>
      <c r="B67" s="100" t="s">
        <v>616</v>
      </c>
      <c r="C67" s="82"/>
      <c r="D67" s="78"/>
      <c r="E67" s="78"/>
      <c r="F67" s="78"/>
      <c r="G67" s="78"/>
      <c r="H67" s="78"/>
      <c r="I67" s="79">
        <f t="shared" ref="I67" si="3">SUM(C67:H67)</f>
        <v>0</v>
      </c>
      <c r="J67" s="78" t="s">
        <v>292</v>
      </c>
      <c r="K67" s="79">
        <f t="shared" si="1"/>
        <v>0</v>
      </c>
      <c r="M67" s="78"/>
      <c r="N67" s="78"/>
    </row>
    <row r="68" spans="1:14" s="10" customFormat="1" x14ac:dyDescent="0.4">
      <c r="A68" s="121" t="s">
        <v>538</v>
      </c>
      <c r="B68" s="12" t="s">
        <v>191</v>
      </c>
      <c r="C68" s="82"/>
      <c r="D68" s="78"/>
      <c r="E68" s="78"/>
      <c r="F68" s="78"/>
      <c r="G68" s="78"/>
      <c r="H68" s="78"/>
      <c r="I68" s="79">
        <f t="shared" si="0"/>
        <v>0</v>
      </c>
      <c r="J68" s="78" t="s">
        <v>292</v>
      </c>
      <c r="K68" s="79">
        <f t="shared" si="1"/>
        <v>0</v>
      </c>
      <c r="M68" s="78"/>
      <c r="N68" s="78"/>
    </row>
    <row r="69" spans="1:14" s="10" customFormat="1" x14ac:dyDescent="0.4">
      <c r="A69" s="121" t="s">
        <v>539</v>
      </c>
      <c r="B69" s="12" t="s">
        <v>192</v>
      </c>
      <c r="C69" s="82"/>
      <c r="D69" s="78"/>
      <c r="E69" s="78"/>
      <c r="F69" s="78"/>
      <c r="G69" s="78"/>
      <c r="H69" s="78"/>
      <c r="I69" s="79">
        <f t="shared" si="0"/>
        <v>0</v>
      </c>
      <c r="J69" s="78" t="s">
        <v>292</v>
      </c>
      <c r="K69" s="79">
        <f t="shared" si="1"/>
        <v>0</v>
      </c>
      <c r="M69" s="78"/>
      <c r="N69" s="78"/>
    </row>
    <row r="70" spans="1:14" s="10" customFormat="1" x14ac:dyDescent="0.4">
      <c r="A70" s="121" t="s">
        <v>540</v>
      </c>
      <c r="B70" s="12" t="s">
        <v>193</v>
      </c>
      <c r="C70" s="82"/>
      <c r="D70" s="78"/>
      <c r="E70" s="78"/>
      <c r="F70" s="78"/>
      <c r="G70" s="78"/>
      <c r="H70" s="78"/>
      <c r="I70" s="79">
        <f t="shared" si="0"/>
        <v>0</v>
      </c>
      <c r="J70" s="78" t="s">
        <v>292</v>
      </c>
      <c r="K70" s="79">
        <f t="shared" si="1"/>
        <v>0</v>
      </c>
      <c r="M70" s="78"/>
      <c r="N70" s="78"/>
    </row>
    <row r="71" spans="1:14" s="10" customFormat="1" x14ac:dyDescent="0.4">
      <c r="A71" s="121" t="s">
        <v>541</v>
      </c>
      <c r="B71" s="12" t="s">
        <v>194</v>
      </c>
      <c r="C71" s="82"/>
      <c r="D71" s="78"/>
      <c r="E71" s="78"/>
      <c r="F71" s="78"/>
      <c r="G71" s="78"/>
      <c r="H71" s="78"/>
      <c r="I71" s="79">
        <f t="shared" si="0"/>
        <v>0</v>
      </c>
      <c r="J71" s="78" t="s">
        <v>292</v>
      </c>
      <c r="K71" s="79">
        <f t="shared" si="1"/>
        <v>0</v>
      </c>
      <c r="M71" s="78"/>
      <c r="N71" s="78"/>
    </row>
    <row r="72" spans="1:14" s="10" customFormat="1" x14ac:dyDescent="0.4">
      <c r="A72" s="121" t="s">
        <v>542</v>
      </c>
      <c r="B72" s="12" t="s">
        <v>195</v>
      </c>
      <c r="C72" s="82"/>
      <c r="D72" s="78"/>
      <c r="E72" s="78"/>
      <c r="F72" s="78"/>
      <c r="G72" s="78"/>
      <c r="H72" s="78"/>
      <c r="I72" s="79">
        <f t="shared" si="0"/>
        <v>0</v>
      </c>
      <c r="J72" s="78" t="s">
        <v>292</v>
      </c>
      <c r="K72" s="79">
        <f t="shared" si="1"/>
        <v>0</v>
      </c>
      <c r="M72" s="78"/>
      <c r="N72" s="78"/>
    </row>
    <row r="73" spans="1:14" s="10" customFormat="1" x14ac:dyDescent="0.4">
      <c r="A73" s="121" t="s">
        <v>543</v>
      </c>
      <c r="B73" s="12" t="s">
        <v>196</v>
      </c>
      <c r="C73" s="82"/>
      <c r="D73" s="78"/>
      <c r="E73" s="78"/>
      <c r="F73" s="78"/>
      <c r="G73" s="78"/>
      <c r="H73" s="78"/>
      <c r="I73" s="79">
        <f t="shared" si="0"/>
        <v>0</v>
      </c>
      <c r="J73" s="78" t="s">
        <v>292</v>
      </c>
      <c r="K73" s="79">
        <f t="shared" si="1"/>
        <v>0</v>
      </c>
      <c r="M73" s="78"/>
      <c r="N73" s="78"/>
    </row>
    <row r="74" spans="1:14" s="10" customFormat="1" x14ac:dyDescent="0.4">
      <c r="A74" s="123" t="s">
        <v>893</v>
      </c>
      <c r="B74" s="12" t="s">
        <v>894</v>
      </c>
      <c r="C74" s="82"/>
      <c r="D74" s="78"/>
      <c r="E74" s="78"/>
      <c r="F74" s="78"/>
      <c r="G74" s="78"/>
      <c r="H74" s="78"/>
      <c r="I74" s="79">
        <f t="shared" ref="I74" si="4">SUM(C74:H74)</f>
        <v>0</v>
      </c>
      <c r="J74" s="78" t="s">
        <v>292</v>
      </c>
      <c r="K74" s="79">
        <f t="shared" ref="K74" si="5">I74*1</f>
        <v>0</v>
      </c>
      <c r="M74" s="78"/>
      <c r="N74" s="78"/>
    </row>
    <row r="75" spans="1:14" s="10" customFormat="1" x14ac:dyDescent="0.4">
      <c r="A75" s="121" t="s">
        <v>544</v>
      </c>
      <c r="B75" s="12" t="s">
        <v>197</v>
      </c>
      <c r="C75" s="82"/>
      <c r="D75" s="78"/>
      <c r="E75" s="78"/>
      <c r="F75" s="78"/>
      <c r="G75" s="78"/>
      <c r="H75" s="78"/>
      <c r="I75" s="79">
        <f t="shared" ref="I75:I140" si="6">SUM(C75:H75)</f>
        <v>0</v>
      </c>
      <c r="J75" s="78" t="s">
        <v>290</v>
      </c>
      <c r="K75" s="79">
        <f t="shared" ref="K75:K144" si="7">I75*1</f>
        <v>0</v>
      </c>
      <c r="M75" s="78"/>
      <c r="N75" s="78"/>
    </row>
    <row r="76" spans="1:14" s="10" customFormat="1" x14ac:dyDescent="0.4">
      <c r="A76" s="121" t="s">
        <v>545</v>
      </c>
      <c r="B76" s="12" t="s">
        <v>198</v>
      </c>
      <c r="C76" s="82"/>
      <c r="D76" s="78"/>
      <c r="E76" s="78"/>
      <c r="F76" s="78"/>
      <c r="G76" s="78"/>
      <c r="H76" s="78"/>
      <c r="I76" s="79">
        <f t="shared" si="6"/>
        <v>0</v>
      </c>
      <c r="J76" s="78" t="s">
        <v>292</v>
      </c>
      <c r="K76" s="79">
        <f t="shared" si="7"/>
        <v>0</v>
      </c>
      <c r="M76" s="78"/>
      <c r="N76" s="78"/>
    </row>
    <row r="77" spans="1:14" s="10" customFormat="1" x14ac:dyDescent="0.4">
      <c r="A77" s="121" t="s">
        <v>546</v>
      </c>
      <c r="B77" s="12" t="s">
        <v>199</v>
      </c>
      <c r="C77" s="82"/>
      <c r="D77" s="78"/>
      <c r="E77" s="78"/>
      <c r="F77" s="78"/>
      <c r="G77" s="78"/>
      <c r="H77" s="78"/>
      <c r="I77" s="79">
        <f t="shared" si="6"/>
        <v>0</v>
      </c>
      <c r="J77" s="78" t="s">
        <v>292</v>
      </c>
      <c r="K77" s="79">
        <f t="shared" si="7"/>
        <v>0</v>
      </c>
      <c r="M77" s="78"/>
      <c r="N77" s="78"/>
    </row>
    <row r="78" spans="1:14" s="10" customFormat="1" x14ac:dyDescent="0.4">
      <c r="A78" s="121" t="s">
        <v>547</v>
      </c>
      <c r="B78" s="12" t="s">
        <v>200</v>
      </c>
      <c r="C78" s="82"/>
      <c r="D78" s="78"/>
      <c r="E78" s="78"/>
      <c r="F78" s="78"/>
      <c r="G78" s="78"/>
      <c r="H78" s="78"/>
      <c r="I78" s="79">
        <f t="shared" si="6"/>
        <v>0</v>
      </c>
      <c r="J78" s="78" t="s">
        <v>292</v>
      </c>
      <c r="K78" s="79">
        <f t="shared" si="7"/>
        <v>0</v>
      </c>
      <c r="M78" s="78"/>
      <c r="N78" s="78"/>
    </row>
    <row r="79" spans="1:14" s="10" customFormat="1" x14ac:dyDescent="0.4">
      <c r="A79" s="100" t="s">
        <v>874</v>
      </c>
      <c r="B79" s="100" t="s">
        <v>875</v>
      </c>
      <c r="C79" s="82"/>
      <c r="D79" s="78"/>
      <c r="E79" s="78"/>
      <c r="F79" s="78"/>
      <c r="G79" s="78"/>
      <c r="H79" s="78"/>
      <c r="I79" s="79">
        <f t="shared" si="6"/>
        <v>0</v>
      </c>
      <c r="J79" s="78" t="s">
        <v>292</v>
      </c>
      <c r="K79" s="79">
        <f t="shared" si="7"/>
        <v>0</v>
      </c>
      <c r="M79" s="78"/>
      <c r="N79" s="78"/>
    </row>
    <row r="80" spans="1:14" s="10" customFormat="1" x14ac:dyDescent="0.4">
      <c r="A80" s="100" t="s">
        <v>548</v>
      </c>
      <c r="B80" s="100" t="s">
        <v>201</v>
      </c>
      <c r="C80" s="82"/>
      <c r="D80" s="78"/>
      <c r="E80" s="78"/>
      <c r="F80" s="78"/>
      <c r="G80" s="78"/>
      <c r="H80" s="78"/>
      <c r="I80" s="79">
        <f t="shared" si="6"/>
        <v>0</v>
      </c>
      <c r="J80" s="78" t="s">
        <v>292</v>
      </c>
      <c r="K80" s="79">
        <f t="shared" si="7"/>
        <v>0</v>
      </c>
      <c r="M80" s="78"/>
      <c r="N80" s="78"/>
    </row>
    <row r="81" spans="1:14" s="10" customFormat="1" x14ac:dyDescent="0.4">
      <c r="A81" s="121" t="s">
        <v>549</v>
      </c>
      <c r="B81" s="12" t="s">
        <v>202</v>
      </c>
      <c r="C81" s="82"/>
      <c r="D81" s="78"/>
      <c r="E81" s="78"/>
      <c r="F81" s="78"/>
      <c r="G81" s="78"/>
      <c r="H81" s="78"/>
      <c r="I81" s="79">
        <f t="shared" si="6"/>
        <v>0</v>
      </c>
      <c r="J81" s="78" t="s">
        <v>292</v>
      </c>
      <c r="K81" s="79">
        <f t="shared" si="7"/>
        <v>0</v>
      </c>
      <c r="M81" s="78"/>
      <c r="N81" s="78"/>
    </row>
    <row r="82" spans="1:14" s="10" customFormat="1" x14ac:dyDescent="0.4">
      <c r="A82" s="121" t="s">
        <v>550</v>
      </c>
      <c r="B82" s="12" t="s">
        <v>203</v>
      </c>
      <c r="C82" s="82"/>
      <c r="D82" s="78"/>
      <c r="E82" s="78"/>
      <c r="F82" s="78"/>
      <c r="G82" s="78"/>
      <c r="H82" s="78"/>
      <c r="I82" s="79">
        <f t="shared" si="6"/>
        <v>0</v>
      </c>
      <c r="J82" s="78" t="s">
        <v>292</v>
      </c>
      <c r="K82" s="79">
        <f t="shared" si="7"/>
        <v>0</v>
      </c>
      <c r="M82" s="78"/>
      <c r="N82" s="78"/>
    </row>
    <row r="83" spans="1:14" s="10" customFormat="1" x14ac:dyDescent="0.4">
      <c r="A83" s="121" t="s">
        <v>551</v>
      </c>
      <c r="B83" s="12" t="s">
        <v>204</v>
      </c>
      <c r="C83" s="82"/>
      <c r="D83" s="78"/>
      <c r="E83" s="78"/>
      <c r="F83" s="78"/>
      <c r="G83" s="78"/>
      <c r="H83" s="78"/>
      <c r="I83" s="79">
        <f t="shared" si="6"/>
        <v>0</v>
      </c>
      <c r="J83" s="78" t="s">
        <v>292</v>
      </c>
      <c r="K83" s="79">
        <f t="shared" si="7"/>
        <v>0</v>
      </c>
      <c r="M83" s="78"/>
      <c r="N83" s="78"/>
    </row>
    <row r="84" spans="1:14" s="10" customFormat="1" x14ac:dyDescent="0.4">
      <c r="A84" s="121" t="s">
        <v>552</v>
      </c>
      <c r="B84" s="12" t="s">
        <v>205</v>
      </c>
      <c r="C84" s="82"/>
      <c r="D84" s="78"/>
      <c r="E84" s="78"/>
      <c r="F84" s="78"/>
      <c r="G84" s="78"/>
      <c r="H84" s="78"/>
      <c r="I84" s="79">
        <f t="shared" si="6"/>
        <v>0</v>
      </c>
      <c r="J84" s="78" t="s">
        <v>292</v>
      </c>
      <c r="K84" s="79">
        <f t="shared" si="7"/>
        <v>0</v>
      </c>
      <c r="M84" s="78"/>
      <c r="N84" s="78"/>
    </row>
    <row r="85" spans="1:14" s="10" customFormat="1" x14ac:dyDescent="0.4">
      <c r="A85" s="121" t="s">
        <v>553</v>
      </c>
      <c r="B85" s="12" t="s">
        <v>206</v>
      </c>
      <c r="C85" s="82"/>
      <c r="D85" s="78"/>
      <c r="E85" s="78"/>
      <c r="F85" s="78"/>
      <c r="G85" s="78"/>
      <c r="H85" s="78"/>
      <c r="I85" s="79">
        <f t="shared" si="6"/>
        <v>0</v>
      </c>
      <c r="J85" s="78" t="s">
        <v>292</v>
      </c>
      <c r="K85" s="79">
        <f t="shared" si="7"/>
        <v>0</v>
      </c>
      <c r="M85" s="78"/>
      <c r="N85" s="78"/>
    </row>
    <row r="86" spans="1:14" s="10" customFormat="1" x14ac:dyDescent="0.4">
      <c r="A86" s="100" t="s">
        <v>799</v>
      </c>
      <c r="B86" s="100" t="s">
        <v>800</v>
      </c>
      <c r="C86" s="82"/>
      <c r="D86" s="78"/>
      <c r="E86" s="78"/>
      <c r="F86" s="78"/>
      <c r="G86" s="78"/>
      <c r="H86" s="78"/>
      <c r="I86" s="79">
        <f t="shared" si="6"/>
        <v>0</v>
      </c>
      <c r="J86" s="78" t="s">
        <v>292</v>
      </c>
      <c r="K86" s="79">
        <f t="shared" si="7"/>
        <v>0</v>
      </c>
      <c r="M86" s="78"/>
      <c r="N86" s="78"/>
    </row>
    <row r="87" spans="1:14" s="10" customFormat="1" x14ac:dyDescent="0.4">
      <c r="A87" s="121" t="s">
        <v>554</v>
      </c>
      <c r="B87" s="12" t="s">
        <v>207</v>
      </c>
      <c r="C87" s="82"/>
      <c r="D87" s="78"/>
      <c r="E87" s="78"/>
      <c r="F87" s="78"/>
      <c r="G87" s="78"/>
      <c r="H87" s="78"/>
      <c r="I87" s="79">
        <f t="shared" si="6"/>
        <v>0</v>
      </c>
      <c r="J87" s="78" t="s">
        <v>299</v>
      </c>
      <c r="K87" s="79">
        <f t="shared" si="7"/>
        <v>0</v>
      </c>
      <c r="M87" s="78"/>
      <c r="N87" s="78"/>
    </row>
    <row r="88" spans="1:14" s="10" customFormat="1" x14ac:dyDescent="0.4">
      <c r="A88" s="121" t="s">
        <v>555</v>
      </c>
      <c r="B88" s="12" t="s">
        <v>208</v>
      </c>
      <c r="C88" s="82"/>
      <c r="D88" s="78"/>
      <c r="E88" s="78"/>
      <c r="F88" s="78"/>
      <c r="G88" s="78"/>
      <c r="H88" s="78"/>
      <c r="I88" s="79">
        <f t="shared" si="6"/>
        <v>0</v>
      </c>
      <c r="J88" s="78" t="s">
        <v>292</v>
      </c>
      <c r="K88" s="79">
        <f t="shared" si="7"/>
        <v>0</v>
      </c>
      <c r="M88" s="78"/>
      <c r="N88" s="78"/>
    </row>
    <row r="89" spans="1:14" s="10" customFormat="1" x14ac:dyDescent="0.4">
      <c r="A89" s="121" t="s">
        <v>556</v>
      </c>
      <c r="B89" s="12" t="s">
        <v>209</v>
      </c>
      <c r="C89" s="82"/>
      <c r="D89" s="78"/>
      <c r="E89" s="78"/>
      <c r="F89" s="78"/>
      <c r="G89" s="78"/>
      <c r="H89" s="78"/>
      <c r="I89" s="79">
        <f t="shared" si="6"/>
        <v>0</v>
      </c>
      <c r="J89" s="78" t="s">
        <v>292</v>
      </c>
      <c r="K89" s="79">
        <f t="shared" si="7"/>
        <v>0</v>
      </c>
      <c r="M89" s="78"/>
      <c r="N89" s="78"/>
    </row>
    <row r="90" spans="1:14" s="10" customFormat="1" x14ac:dyDescent="0.4">
      <c r="A90" s="121" t="s">
        <v>557</v>
      </c>
      <c r="B90" s="12" t="s">
        <v>210</v>
      </c>
      <c r="C90" s="82"/>
      <c r="D90" s="78"/>
      <c r="E90" s="78"/>
      <c r="F90" s="78"/>
      <c r="G90" s="78"/>
      <c r="H90" s="78"/>
      <c r="I90" s="79">
        <f t="shared" si="6"/>
        <v>0</v>
      </c>
      <c r="J90" s="78" t="s">
        <v>292</v>
      </c>
      <c r="K90" s="79">
        <f t="shared" si="7"/>
        <v>0</v>
      </c>
      <c r="M90" s="78"/>
      <c r="N90" s="78"/>
    </row>
    <row r="91" spans="1:14" s="10" customFormat="1" x14ac:dyDescent="0.4">
      <c r="A91" s="121" t="s">
        <v>558</v>
      </c>
      <c r="B91" s="12" t="s">
        <v>211</v>
      </c>
      <c r="C91" s="82"/>
      <c r="D91" s="78"/>
      <c r="E91" s="78"/>
      <c r="F91" s="78"/>
      <c r="G91" s="78"/>
      <c r="H91" s="78"/>
      <c r="I91" s="79">
        <f t="shared" si="6"/>
        <v>0</v>
      </c>
      <c r="J91" s="78" t="s">
        <v>292</v>
      </c>
      <c r="K91" s="79">
        <f t="shared" si="7"/>
        <v>0</v>
      </c>
      <c r="M91" s="78"/>
      <c r="N91" s="78"/>
    </row>
    <row r="92" spans="1:14" s="10" customFormat="1" x14ac:dyDescent="0.4">
      <c r="A92" s="121" t="s">
        <v>559</v>
      </c>
      <c r="B92" s="12" t="s">
        <v>212</v>
      </c>
      <c r="C92" s="82"/>
      <c r="D92" s="78"/>
      <c r="E92" s="78"/>
      <c r="F92" s="78"/>
      <c r="G92" s="78"/>
      <c r="H92" s="78"/>
      <c r="I92" s="79">
        <f t="shared" si="6"/>
        <v>0</v>
      </c>
      <c r="J92" s="78" t="s">
        <v>292</v>
      </c>
      <c r="K92" s="79">
        <f t="shared" si="7"/>
        <v>0</v>
      </c>
      <c r="M92" s="78"/>
      <c r="N92" s="78"/>
    </row>
    <row r="93" spans="1:14" s="10" customFormat="1" x14ac:dyDescent="0.4">
      <c r="A93" s="121" t="s">
        <v>560</v>
      </c>
      <c r="B93" s="12" t="s">
        <v>213</v>
      </c>
      <c r="C93" s="82"/>
      <c r="D93" s="78"/>
      <c r="E93" s="78"/>
      <c r="F93" s="78"/>
      <c r="G93" s="78"/>
      <c r="H93" s="78"/>
      <c r="I93" s="79">
        <f t="shared" si="6"/>
        <v>0</v>
      </c>
      <c r="J93" s="78" t="s">
        <v>292</v>
      </c>
      <c r="K93" s="79">
        <f t="shared" si="7"/>
        <v>0</v>
      </c>
      <c r="M93" s="78"/>
      <c r="N93" s="78"/>
    </row>
    <row r="94" spans="1:14" s="10" customFormat="1" x14ac:dyDescent="0.4">
      <c r="A94" s="100" t="s">
        <v>561</v>
      </c>
      <c r="B94" s="100" t="s">
        <v>214</v>
      </c>
      <c r="C94" s="82"/>
      <c r="D94" s="78"/>
      <c r="E94" s="78"/>
      <c r="F94" s="78"/>
      <c r="G94" s="78"/>
      <c r="H94" s="78"/>
      <c r="I94" s="79">
        <f t="shared" si="6"/>
        <v>0</v>
      </c>
      <c r="J94" s="78" t="s">
        <v>292</v>
      </c>
      <c r="K94" s="79">
        <f t="shared" si="7"/>
        <v>0</v>
      </c>
      <c r="M94" s="78"/>
      <c r="N94" s="78"/>
    </row>
    <row r="95" spans="1:14" s="10" customFormat="1" x14ac:dyDescent="0.4">
      <c r="A95" s="100" t="s">
        <v>641</v>
      </c>
      <c r="B95" s="100" t="s">
        <v>642</v>
      </c>
      <c r="C95" s="82"/>
      <c r="D95" s="78"/>
      <c r="E95" s="78"/>
      <c r="F95" s="78"/>
      <c r="G95" s="78"/>
      <c r="H95" s="78"/>
      <c r="I95" s="79">
        <f t="shared" si="6"/>
        <v>0</v>
      </c>
      <c r="J95" s="78" t="s">
        <v>292</v>
      </c>
      <c r="K95" s="79">
        <f t="shared" si="7"/>
        <v>0</v>
      </c>
      <c r="M95" s="78"/>
      <c r="N95" s="78"/>
    </row>
    <row r="96" spans="1:14" s="10" customFormat="1" x14ac:dyDescent="0.4">
      <c r="A96" s="121" t="s">
        <v>562</v>
      </c>
      <c r="B96" s="12" t="s">
        <v>257</v>
      </c>
      <c r="C96" s="82"/>
      <c r="D96" s="78"/>
      <c r="E96" s="78"/>
      <c r="F96" s="78"/>
      <c r="G96" s="78"/>
      <c r="H96" s="78"/>
      <c r="I96" s="79">
        <f t="shared" si="6"/>
        <v>0</v>
      </c>
      <c r="J96" s="78" t="s">
        <v>292</v>
      </c>
      <c r="K96" s="79">
        <f t="shared" si="7"/>
        <v>0</v>
      </c>
      <c r="M96" s="78"/>
      <c r="N96" s="78"/>
    </row>
    <row r="97" spans="1:16" s="10" customFormat="1" x14ac:dyDescent="0.4">
      <c r="A97" s="68" t="s">
        <v>563</v>
      </c>
      <c r="B97" s="12" t="s">
        <v>215</v>
      </c>
      <c r="C97" s="82"/>
      <c r="D97" s="78"/>
      <c r="E97" s="78"/>
      <c r="F97" s="78"/>
      <c r="G97" s="78"/>
      <c r="H97" s="78"/>
      <c r="I97" s="79">
        <f t="shared" si="6"/>
        <v>0</v>
      </c>
      <c r="J97" s="78" t="s">
        <v>292</v>
      </c>
      <c r="K97" s="79">
        <f t="shared" si="7"/>
        <v>0</v>
      </c>
      <c r="M97" s="78"/>
      <c r="N97" s="78"/>
    </row>
    <row r="98" spans="1:16" s="10" customFormat="1" x14ac:dyDescent="0.4">
      <c r="A98" s="71" t="s">
        <v>624</v>
      </c>
      <c r="B98" s="71" t="s">
        <v>625</v>
      </c>
      <c r="C98" s="82"/>
      <c r="D98" s="78"/>
      <c r="E98" s="78"/>
      <c r="F98" s="78"/>
      <c r="G98" s="78"/>
      <c r="H98" s="78"/>
      <c r="I98" s="79">
        <f t="shared" si="6"/>
        <v>0</v>
      </c>
      <c r="J98" s="78" t="s">
        <v>292</v>
      </c>
      <c r="K98" s="79">
        <f t="shared" si="7"/>
        <v>0</v>
      </c>
      <c r="M98" s="78"/>
      <c r="N98" s="78"/>
    </row>
    <row r="99" spans="1:16" s="10" customFormat="1" x14ac:dyDescent="0.4">
      <c r="A99" s="121" t="s">
        <v>564</v>
      </c>
      <c r="B99" s="12" t="s">
        <v>216</v>
      </c>
      <c r="C99" s="82"/>
      <c r="D99" s="78"/>
      <c r="E99" s="78"/>
      <c r="F99" s="78"/>
      <c r="G99" s="78"/>
      <c r="H99" s="78"/>
      <c r="I99" s="79">
        <f t="shared" si="6"/>
        <v>0</v>
      </c>
      <c r="J99" s="78" t="s">
        <v>292</v>
      </c>
      <c r="K99" s="79">
        <f t="shared" si="7"/>
        <v>0</v>
      </c>
      <c r="M99" s="78"/>
      <c r="N99" s="78"/>
    </row>
    <row r="100" spans="1:16" s="10" customFormat="1" x14ac:dyDescent="0.4">
      <c r="A100" s="121" t="s">
        <v>565</v>
      </c>
      <c r="B100" s="12" t="s">
        <v>217</v>
      </c>
      <c r="C100" s="82"/>
      <c r="D100" s="78"/>
      <c r="E100" s="78"/>
      <c r="F100" s="78"/>
      <c r="G100" s="78"/>
      <c r="H100" s="78"/>
      <c r="I100" s="79">
        <f t="shared" si="6"/>
        <v>0</v>
      </c>
      <c r="J100" s="78" t="s">
        <v>292</v>
      </c>
      <c r="K100" s="79">
        <f t="shared" si="7"/>
        <v>0</v>
      </c>
      <c r="M100" s="78"/>
      <c r="N100" s="78"/>
    </row>
    <row r="101" spans="1:16" s="10" customFormat="1" x14ac:dyDescent="0.4">
      <c r="A101" s="121" t="s">
        <v>566</v>
      </c>
      <c r="B101" s="12" t="s">
        <v>218</v>
      </c>
      <c r="C101" s="82"/>
      <c r="D101" s="78"/>
      <c r="E101" s="78"/>
      <c r="F101" s="78"/>
      <c r="G101" s="78"/>
      <c r="H101" s="78"/>
      <c r="I101" s="79">
        <f t="shared" si="6"/>
        <v>0</v>
      </c>
      <c r="J101" s="78" t="s">
        <v>292</v>
      </c>
      <c r="K101" s="79">
        <f t="shared" si="7"/>
        <v>0</v>
      </c>
      <c r="M101" s="78"/>
      <c r="N101" s="78"/>
    </row>
    <row r="102" spans="1:16" s="10" customFormat="1" x14ac:dyDescent="0.4">
      <c r="A102" s="121" t="s">
        <v>567</v>
      </c>
      <c r="B102" s="12" t="s">
        <v>219</v>
      </c>
      <c r="C102" s="82"/>
      <c r="D102" s="78"/>
      <c r="E102" s="78"/>
      <c r="F102" s="78"/>
      <c r="G102" s="78"/>
      <c r="H102" s="78"/>
      <c r="I102" s="79">
        <f t="shared" si="6"/>
        <v>0</v>
      </c>
      <c r="J102" s="78" t="s">
        <v>292</v>
      </c>
      <c r="K102" s="79">
        <f t="shared" si="7"/>
        <v>0</v>
      </c>
      <c r="M102" s="78"/>
      <c r="N102" s="78"/>
    </row>
    <row r="103" spans="1:16" s="10" customFormat="1" x14ac:dyDescent="0.4">
      <c r="A103" s="121" t="s">
        <v>568</v>
      </c>
      <c r="B103" s="12" t="s">
        <v>220</v>
      </c>
      <c r="C103" s="82"/>
      <c r="D103" s="78"/>
      <c r="E103" s="78"/>
      <c r="F103" s="78"/>
      <c r="G103" s="78"/>
      <c r="H103" s="78"/>
      <c r="I103" s="79">
        <f t="shared" si="6"/>
        <v>0</v>
      </c>
      <c r="J103" s="78" t="s">
        <v>292</v>
      </c>
      <c r="K103" s="79">
        <f t="shared" si="7"/>
        <v>0</v>
      </c>
      <c r="M103" s="78"/>
      <c r="N103" s="78"/>
    </row>
    <row r="104" spans="1:16" s="10" customFormat="1" x14ac:dyDescent="0.4">
      <c r="A104" s="121" t="s">
        <v>569</v>
      </c>
      <c r="B104" s="12" t="s">
        <v>221</v>
      </c>
      <c r="C104" s="82"/>
      <c r="D104" s="78"/>
      <c r="E104" s="78"/>
      <c r="F104" s="78"/>
      <c r="G104" s="78"/>
      <c r="H104" s="78"/>
      <c r="I104" s="79">
        <f t="shared" si="6"/>
        <v>0</v>
      </c>
      <c r="J104" s="78" t="s">
        <v>292</v>
      </c>
      <c r="K104" s="79">
        <f t="shared" si="7"/>
        <v>0</v>
      </c>
      <c r="M104" s="78"/>
      <c r="N104" s="78"/>
    </row>
    <row r="105" spans="1:16" s="10" customFormat="1" x14ac:dyDescent="0.4">
      <c r="A105" s="121" t="s">
        <v>570</v>
      </c>
      <c r="B105" s="12" t="s">
        <v>222</v>
      </c>
      <c r="C105" s="82"/>
      <c r="D105" s="78"/>
      <c r="E105" s="78"/>
      <c r="F105" s="78"/>
      <c r="G105" s="78"/>
      <c r="H105" s="78"/>
      <c r="I105" s="79">
        <f t="shared" si="6"/>
        <v>0</v>
      </c>
      <c r="J105" s="78" t="s">
        <v>292</v>
      </c>
      <c r="K105" s="79">
        <f t="shared" si="7"/>
        <v>0</v>
      </c>
      <c r="M105" s="78"/>
      <c r="N105" s="78"/>
    </row>
    <row r="106" spans="1:16" s="10" customFormat="1" x14ac:dyDescent="0.4">
      <c r="A106" s="121" t="s">
        <v>571</v>
      </c>
      <c r="B106" s="12" t="s">
        <v>223</v>
      </c>
      <c r="C106" s="82"/>
      <c r="D106" s="78"/>
      <c r="E106" s="78"/>
      <c r="F106" s="78"/>
      <c r="G106" s="78"/>
      <c r="H106" s="78"/>
      <c r="I106" s="79">
        <f t="shared" si="6"/>
        <v>0</v>
      </c>
      <c r="J106" s="78" t="s">
        <v>292</v>
      </c>
      <c r="K106" s="79">
        <f t="shared" si="7"/>
        <v>0</v>
      </c>
      <c r="M106" s="78"/>
      <c r="N106" s="78"/>
    </row>
    <row r="107" spans="1:16" s="10" customFormat="1" x14ac:dyDescent="0.4">
      <c r="A107" s="121" t="s">
        <v>572</v>
      </c>
      <c r="B107" s="12" t="s">
        <v>224</v>
      </c>
      <c r="C107" s="82"/>
      <c r="D107" s="78"/>
      <c r="E107" s="78"/>
      <c r="F107" s="78"/>
      <c r="G107" s="78"/>
      <c r="H107" s="78"/>
      <c r="I107" s="79">
        <f t="shared" si="6"/>
        <v>0</v>
      </c>
      <c r="J107" s="78" t="s">
        <v>292</v>
      </c>
      <c r="K107" s="79">
        <f t="shared" si="7"/>
        <v>0</v>
      </c>
      <c r="M107" s="78"/>
      <c r="N107" s="78"/>
    </row>
    <row r="108" spans="1:16" s="78" customFormat="1" x14ac:dyDescent="0.4">
      <c r="A108" s="121" t="s">
        <v>573</v>
      </c>
      <c r="B108" s="12" t="s">
        <v>225</v>
      </c>
      <c r="C108" s="82"/>
      <c r="I108" s="79">
        <f t="shared" si="6"/>
        <v>0</v>
      </c>
      <c r="J108" s="78" t="s">
        <v>292</v>
      </c>
      <c r="K108" s="79">
        <f t="shared" si="7"/>
        <v>0</v>
      </c>
      <c r="L108" s="10"/>
      <c r="O108" s="10"/>
      <c r="P108" s="10"/>
    </row>
    <row r="109" spans="1:16" s="78" customFormat="1" x14ac:dyDescent="0.4">
      <c r="A109" s="121" t="s">
        <v>574</v>
      </c>
      <c r="B109" s="12" t="s">
        <v>226</v>
      </c>
      <c r="C109" s="82"/>
      <c r="I109" s="79">
        <f t="shared" si="6"/>
        <v>0</v>
      </c>
      <c r="J109" s="78" t="s">
        <v>292</v>
      </c>
      <c r="K109" s="79">
        <f t="shared" si="7"/>
        <v>0</v>
      </c>
      <c r="L109" s="10"/>
      <c r="O109" s="10"/>
    </row>
    <row r="110" spans="1:16" s="10" customFormat="1" x14ac:dyDescent="0.4">
      <c r="A110" s="121" t="s">
        <v>575</v>
      </c>
      <c r="B110" s="12" t="s">
        <v>227</v>
      </c>
      <c r="C110" s="82"/>
      <c r="D110" s="78"/>
      <c r="E110" s="78"/>
      <c r="F110" s="78"/>
      <c r="G110" s="78"/>
      <c r="H110" s="78"/>
      <c r="I110" s="79">
        <f t="shared" si="6"/>
        <v>0</v>
      </c>
      <c r="J110" s="78" t="s">
        <v>292</v>
      </c>
      <c r="K110" s="79">
        <f t="shared" si="7"/>
        <v>0</v>
      </c>
      <c r="M110" s="78"/>
      <c r="N110" s="78"/>
      <c r="P110" s="78"/>
    </row>
    <row r="111" spans="1:16" s="78" customFormat="1" x14ac:dyDescent="0.4">
      <c r="A111" s="121" t="s">
        <v>576</v>
      </c>
      <c r="B111" s="12" t="s">
        <v>228</v>
      </c>
      <c r="C111" s="82"/>
      <c r="I111" s="79">
        <f t="shared" si="6"/>
        <v>0</v>
      </c>
      <c r="J111" s="78" t="s">
        <v>291</v>
      </c>
      <c r="K111" s="79">
        <f t="shared" si="7"/>
        <v>0</v>
      </c>
      <c r="L111" s="10"/>
      <c r="O111" s="10"/>
      <c r="P111" s="10"/>
    </row>
    <row r="112" spans="1:16" s="10" customFormat="1" x14ac:dyDescent="0.4">
      <c r="A112" s="121" t="s">
        <v>577</v>
      </c>
      <c r="B112" s="12" t="s">
        <v>229</v>
      </c>
      <c r="C112" s="82"/>
      <c r="D112" s="78"/>
      <c r="E112" s="78"/>
      <c r="F112" s="78"/>
      <c r="G112" s="78"/>
      <c r="H112" s="78"/>
      <c r="I112" s="79">
        <f t="shared" si="6"/>
        <v>0</v>
      </c>
      <c r="J112" s="78" t="s">
        <v>292</v>
      </c>
      <c r="K112" s="79">
        <f t="shared" si="7"/>
        <v>0</v>
      </c>
      <c r="M112" s="78"/>
      <c r="N112" s="78"/>
      <c r="P112" s="78"/>
    </row>
    <row r="113" spans="1:14" s="10" customFormat="1" x14ac:dyDescent="0.4">
      <c r="A113" s="121" t="s">
        <v>578</v>
      </c>
      <c r="B113" s="12" t="s">
        <v>230</v>
      </c>
      <c r="C113" s="82"/>
      <c r="D113" s="78"/>
      <c r="E113" s="78"/>
      <c r="F113" s="78"/>
      <c r="G113" s="78"/>
      <c r="H113" s="78"/>
      <c r="I113" s="79">
        <f t="shared" si="6"/>
        <v>0</v>
      </c>
      <c r="J113" s="78" t="s">
        <v>292</v>
      </c>
      <c r="K113" s="79">
        <f t="shared" si="7"/>
        <v>0</v>
      </c>
      <c r="M113" s="78"/>
      <c r="N113" s="78"/>
    </row>
    <row r="114" spans="1:14" s="10" customFormat="1" x14ac:dyDescent="0.4">
      <c r="A114" s="121" t="s">
        <v>579</v>
      </c>
      <c r="B114" s="12" t="s">
        <v>231</v>
      </c>
      <c r="C114" s="82"/>
      <c r="D114" s="78"/>
      <c r="E114" s="78"/>
      <c r="F114" s="78"/>
      <c r="G114" s="78"/>
      <c r="H114" s="78"/>
      <c r="I114" s="79">
        <f t="shared" si="6"/>
        <v>0</v>
      </c>
      <c r="J114" s="78" t="s">
        <v>288</v>
      </c>
      <c r="K114" s="79">
        <f t="shared" si="7"/>
        <v>0</v>
      </c>
      <c r="M114" s="78"/>
      <c r="N114" s="78"/>
    </row>
    <row r="115" spans="1:14" s="10" customFormat="1" x14ac:dyDescent="0.4">
      <c r="A115" s="121" t="s">
        <v>580</v>
      </c>
      <c r="B115" s="12" t="s">
        <v>232</v>
      </c>
      <c r="C115" s="82"/>
      <c r="D115" s="78"/>
      <c r="E115" s="78"/>
      <c r="F115" s="78"/>
      <c r="G115" s="78"/>
      <c r="H115" s="78"/>
      <c r="I115" s="79">
        <f t="shared" si="6"/>
        <v>0</v>
      </c>
      <c r="J115" s="78" t="s">
        <v>292</v>
      </c>
      <c r="K115" s="79">
        <f t="shared" si="7"/>
        <v>0</v>
      </c>
      <c r="M115" s="78"/>
      <c r="N115" s="78"/>
    </row>
    <row r="116" spans="1:14" s="10" customFormat="1" x14ac:dyDescent="0.4">
      <c r="A116" s="121" t="s">
        <v>581</v>
      </c>
      <c r="B116" s="12" t="s">
        <v>233</v>
      </c>
      <c r="C116" s="82"/>
      <c r="D116" s="78"/>
      <c r="E116" s="78"/>
      <c r="F116" s="78"/>
      <c r="G116" s="78"/>
      <c r="H116" s="78"/>
      <c r="I116" s="79">
        <f t="shared" si="6"/>
        <v>0</v>
      </c>
      <c r="J116" s="78" t="s">
        <v>292</v>
      </c>
      <c r="K116" s="79">
        <f t="shared" si="7"/>
        <v>0</v>
      </c>
      <c r="M116" s="78"/>
      <c r="N116" s="78"/>
    </row>
    <row r="117" spans="1:14" s="10" customFormat="1" x14ac:dyDescent="0.4">
      <c r="A117" s="121" t="s">
        <v>582</v>
      </c>
      <c r="B117" s="12" t="s">
        <v>234</v>
      </c>
      <c r="C117" s="82"/>
      <c r="D117" s="78"/>
      <c r="E117" s="78"/>
      <c r="F117" s="78"/>
      <c r="G117" s="78"/>
      <c r="H117" s="78"/>
      <c r="I117" s="79">
        <f t="shared" si="6"/>
        <v>0</v>
      </c>
      <c r="J117" s="78" t="s">
        <v>288</v>
      </c>
      <c r="K117" s="79">
        <f t="shared" si="7"/>
        <v>0</v>
      </c>
      <c r="M117" s="78"/>
      <c r="N117" s="78"/>
    </row>
    <row r="118" spans="1:14" s="10" customFormat="1" x14ac:dyDescent="0.4">
      <c r="A118" s="100" t="s">
        <v>869</v>
      </c>
      <c r="B118" s="100" t="s">
        <v>870</v>
      </c>
      <c r="C118" s="82"/>
      <c r="D118" s="78"/>
      <c r="E118" s="78"/>
      <c r="F118" s="78"/>
      <c r="G118" s="78"/>
      <c r="H118" s="78"/>
      <c r="I118" s="79">
        <f t="shared" si="6"/>
        <v>0</v>
      </c>
      <c r="J118" s="78" t="s">
        <v>292</v>
      </c>
      <c r="K118" s="79">
        <f t="shared" si="7"/>
        <v>0</v>
      </c>
      <c r="M118" s="78"/>
      <c r="N118" s="78"/>
    </row>
    <row r="119" spans="1:14" s="10" customFormat="1" x14ac:dyDescent="0.4">
      <c r="A119" s="121" t="s">
        <v>583</v>
      </c>
      <c r="B119" s="12" t="s">
        <v>235</v>
      </c>
      <c r="C119" s="82"/>
      <c r="D119" s="78"/>
      <c r="E119" s="78"/>
      <c r="F119" s="78"/>
      <c r="G119" s="78"/>
      <c r="H119" s="78"/>
      <c r="I119" s="79">
        <f t="shared" si="6"/>
        <v>0</v>
      </c>
      <c r="J119" s="78" t="s">
        <v>292</v>
      </c>
      <c r="K119" s="79">
        <f t="shared" si="7"/>
        <v>0</v>
      </c>
      <c r="M119" s="78"/>
      <c r="N119" s="78"/>
    </row>
    <row r="120" spans="1:14" s="10" customFormat="1" x14ac:dyDescent="0.4">
      <c r="A120" s="100" t="s">
        <v>664</v>
      </c>
      <c r="B120" s="100" t="s">
        <v>665</v>
      </c>
      <c r="C120" s="82"/>
      <c r="D120" s="78"/>
      <c r="E120" s="78"/>
      <c r="F120" s="78"/>
      <c r="G120" s="78"/>
      <c r="H120" s="78"/>
      <c r="I120" s="79">
        <f t="shared" si="6"/>
        <v>0</v>
      </c>
      <c r="J120" s="78" t="s">
        <v>292</v>
      </c>
      <c r="K120" s="79">
        <f t="shared" si="7"/>
        <v>0</v>
      </c>
      <c r="M120" s="78"/>
      <c r="N120" s="78"/>
    </row>
    <row r="121" spans="1:14" s="10" customFormat="1" x14ac:dyDescent="0.4">
      <c r="A121" s="121" t="s">
        <v>584</v>
      </c>
      <c r="B121" s="12" t="s">
        <v>236</v>
      </c>
      <c r="C121" s="82"/>
      <c r="D121" s="78"/>
      <c r="E121" s="78"/>
      <c r="F121" s="78"/>
      <c r="G121" s="78"/>
      <c r="H121" s="78"/>
      <c r="I121" s="79">
        <f t="shared" si="6"/>
        <v>0</v>
      </c>
      <c r="J121" s="78" t="s">
        <v>292</v>
      </c>
      <c r="K121" s="79">
        <f t="shared" si="7"/>
        <v>0</v>
      </c>
      <c r="M121" s="78"/>
      <c r="N121" s="78"/>
    </row>
    <row r="122" spans="1:14" s="10" customFormat="1" x14ac:dyDescent="0.4">
      <c r="A122" s="121" t="s">
        <v>585</v>
      </c>
      <c r="B122" s="12" t="s">
        <v>237</v>
      </c>
      <c r="C122" s="82"/>
      <c r="D122" s="78"/>
      <c r="E122" s="78"/>
      <c r="F122" s="78"/>
      <c r="G122" s="78"/>
      <c r="H122" s="78"/>
      <c r="I122" s="79">
        <f t="shared" si="6"/>
        <v>0</v>
      </c>
      <c r="J122" s="78" t="s">
        <v>292</v>
      </c>
      <c r="K122" s="79">
        <f t="shared" si="7"/>
        <v>0</v>
      </c>
      <c r="M122" s="78"/>
      <c r="N122" s="78"/>
    </row>
    <row r="123" spans="1:14" s="10" customFormat="1" x14ac:dyDescent="0.4">
      <c r="A123" s="121" t="s">
        <v>626</v>
      </c>
      <c r="B123" s="12" t="s">
        <v>627</v>
      </c>
      <c r="C123" s="82"/>
      <c r="D123" s="78"/>
      <c r="E123" s="78"/>
      <c r="F123" s="78"/>
      <c r="G123" s="78"/>
      <c r="H123" s="78"/>
      <c r="I123" s="79">
        <f t="shared" si="6"/>
        <v>0</v>
      </c>
      <c r="J123" s="78" t="s">
        <v>292</v>
      </c>
      <c r="K123" s="79">
        <f t="shared" si="7"/>
        <v>0</v>
      </c>
      <c r="M123" s="78"/>
      <c r="N123" s="78"/>
    </row>
    <row r="124" spans="1:14" s="10" customFormat="1" x14ac:dyDescent="0.4">
      <c r="A124" s="121" t="s">
        <v>586</v>
      </c>
      <c r="B124" s="12" t="s">
        <v>238</v>
      </c>
      <c r="C124" s="82"/>
      <c r="D124" s="78"/>
      <c r="E124" s="78"/>
      <c r="F124" s="78"/>
      <c r="G124" s="78"/>
      <c r="H124" s="78"/>
      <c r="I124" s="79">
        <f t="shared" si="6"/>
        <v>0</v>
      </c>
      <c r="J124" s="78" t="s">
        <v>291</v>
      </c>
      <c r="K124" s="79">
        <f t="shared" si="7"/>
        <v>0</v>
      </c>
      <c r="M124" s="78"/>
      <c r="N124" s="78"/>
    </row>
    <row r="125" spans="1:14" s="10" customFormat="1" x14ac:dyDescent="0.4">
      <c r="A125" s="121" t="s">
        <v>587</v>
      </c>
      <c r="B125" s="12" t="s">
        <v>239</v>
      </c>
      <c r="C125" s="82"/>
      <c r="D125" s="78"/>
      <c r="E125" s="78"/>
      <c r="F125" s="78"/>
      <c r="G125" s="78"/>
      <c r="H125" s="78"/>
      <c r="I125" s="79">
        <f t="shared" si="6"/>
        <v>0</v>
      </c>
      <c r="J125" s="78" t="s">
        <v>292</v>
      </c>
      <c r="K125" s="79">
        <f t="shared" si="7"/>
        <v>0</v>
      </c>
      <c r="L125" s="78"/>
      <c r="M125" s="78"/>
      <c r="N125" s="78"/>
    </row>
    <row r="126" spans="1:14" s="10" customFormat="1" x14ac:dyDescent="0.4">
      <c r="A126" s="121" t="s">
        <v>588</v>
      </c>
      <c r="B126" s="12" t="s">
        <v>240</v>
      </c>
      <c r="C126" s="82"/>
      <c r="D126" s="78"/>
      <c r="E126" s="78"/>
      <c r="F126" s="78"/>
      <c r="G126" s="78"/>
      <c r="H126" s="78"/>
      <c r="I126" s="79">
        <f t="shared" si="6"/>
        <v>0</v>
      </c>
      <c r="J126" s="78" t="s">
        <v>292</v>
      </c>
      <c r="K126" s="79">
        <f t="shared" si="7"/>
        <v>0</v>
      </c>
      <c r="L126" s="78"/>
      <c r="M126" s="78"/>
      <c r="N126" s="78"/>
    </row>
    <row r="127" spans="1:14" s="10" customFormat="1" x14ac:dyDescent="0.4">
      <c r="A127" s="121" t="s">
        <v>589</v>
      </c>
      <c r="B127" s="12" t="s">
        <v>241</v>
      </c>
      <c r="C127" s="82"/>
      <c r="D127" s="78"/>
      <c r="E127" s="78"/>
      <c r="F127" s="78"/>
      <c r="G127" s="78"/>
      <c r="H127" s="78"/>
      <c r="I127" s="79">
        <f t="shared" si="6"/>
        <v>0</v>
      </c>
      <c r="J127" s="78" t="s">
        <v>288</v>
      </c>
      <c r="K127" s="79">
        <f t="shared" si="7"/>
        <v>0</v>
      </c>
      <c r="L127" s="78"/>
      <c r="M127" s="78"/>
      <c r="N127" s="78"/>
    </row>
    <row r="128" spans="1:14" s="10" customFormat="1" x14ac:dyDescent="0.4">
      <c r="A128" s="121" t="s">
        <v>590</v>
      </c>
      <c r="B128" s="12" t="s">
        <v>242</v>
      </c>
      <c r="C128" s="82"/>
      <c r="D128" s="78"/>
      <c r="E128" s="78"/>
      <c r="F128" s="78"/>
      <c r="G128" s="78"/>
      <c r="H128" s="78"/>
      <c r="I128" s="79">
        <f t="shared" si="6"/>
        <v>0</v>
      </c>
      <c r="J128" s="78" t="s">
        <v>292</v>
      </c>
      <c r="K128" s="79">
        <f t="shared" si="7"/>
        <v>0</v>
      </c>
      <c r="L128" s="78"/>
      <c r="M128" s="78"/>
      <c r="N128" s="78"/>
    </row>
    <row r="129" spans="1:16" x14ac:dyDescent="0.4">
      <c r="A129" s="121" t="s">
        <v>591</v>
      </c>
      <c r="B129" s="12" t="s">
        <v>243</v>
      </c>
      <c r="C129" s="82"/>
      <c r="D129" s="78"/>
      <c r="I129" s="79">
        <f t="shared" si="6"/>
        <v>0</v>
      </c>
      <c r="J129" s="78" t="s">
        <v>288</v>
      </c>
      <c r="K129" s="79">
        <f t="shared" si="7"/>
        <v>0</v>
      </c>
      <c r="L129" s="78"/>
      <c r="M129" s="78"/>
      <c r="N129" s="78"/>
      <c r="P129" s="10"/>
    </row>
    <row r="130" spans="1:16" x14ac:dyDescent="0.4">
      <c r="A130" s="121" t="s">
        <v>592</v>
      </c>
      <c r="B130" s="12" t="s">
        <v>244</v>
      </c>
      <c r="C130" s="82"/>
      <c r="D130" s="78"/>
      <c r="I130" s="79">
        <f t="shared" si="6"/>
        <v>0</v>
      </c>
      <c r="J130" s="78" t="s">
        <v>292</v>
      </c>
      <c r="K130" s="79">
        <f t="shared" si="7"/>
        <v>0</v>
      </c>
      <c r="L130" s="78"/>
      <c r="M130" s="78"/>
      <c r="N130" s="78"/>
    </row>
    <row r="131" spans="1:16" x14ac:dyDescent="0.4">
      <c r="A131" s="100" t="s">
        <v>866</v>
      </c>
      <c r="B131" s="100" t="s">
        <v>867</v>
      </c>
      <c r="C131" s="82"/>
      <c r="D131" s="78"/>
      <c r="I131" s="79">
        <f t="shared" si="6"/>
        <v>0</v>
      </c>
      <c r="J131" s="78" t="s">
        <v>292</v>
      </c>
      <c r="K131" s="79">
        <f t="shared" si="7"/>
        <v>0</v>
      </c>
      <c r="L131" s="10"/>
      <c r="M131" s="78"/>
      <c r="N131" s="78"/>
    </row>
    <row r="132" spans="1:16" x14ac:dyDescent="0.4">
      <c r="A132" s="121" t="s">
        <v>593</v>
      </c>
      <c r="B132" s="12" t="s">
        <v>245</v>
      </c>
      <c r="C132" s="82"/>
      <c r="D132" s="78"/>
      <c r="I132" s="79">
        <f t="shared" si="6"/>
        <v>0</v>
      </c>
      <c r="J132" s="78" t="s">
        <v>292</v>
      </c>
      <c r="K132" s="79">
        <f t="shared" si="7"/>
        <v>0</v>
      </c>
      <c r="L132" s="10"/>
      <c r="M132" s="78"/>
      <c r="N132" s="78"/>
    </row>
    <row r="133" spans="1:16" x14ac:dyDescent="0.4">
      <c r="A133" s="121" t="s">
        <v>594</v>
      </c>
      <c r="B133" s="12" t="s">
        <v>246</v>
      </c>
      <c r="C133" s="82"/>
      <c r="D133" s="78"/>
      <c r="I133" s="79">
        <f t="shared" si="6"/>
        <v>0</v>
      </c>
      <c r="J133" s="78" t="s">
        <v>292</v>
      </c>
      <c r="K133" s="79">
        <f t="shared" si="7"/>
        <v>0</v>
      </c>
      <c r="L133" s="10"/>
      <c r="M133" s="78"/>
      <c r="N133" s="78"/>
    </row>
    <row r="134" spans="1:16" x14ac:dyDescent="0.4">
      <c r="A134" s="100" t="s">
        <v>666</v>
      </c>
      <c r="B134" s="100" t="s">
        <v>667</v>
      </c>
      <c r="C134" s="82"/>
      <c r="D134" s="78"/>
      <c r="I134" s="79">
        <f t="shared" si="6"/>
        <v>0</v>
      </c>
      <c r="J134" s="78" t="s">
        <v>292</v>
      </c>
      <c r="K134" s="79">
        <f t="shared" si="7"/>
        <v>0</v>
      </c>
      <c r="L134" s="10"/>
      <c r="M134" s="78"/>
      <c r="N134" s="78"/>
    </row>
    <row r="135" spans="1:16" x14ac:dyDescent="0.4">
      <c r="A135" s="68" t="s">
        <v>595</v>
      </c>
      <c r="B135" s="12" t="s">
        <v>247</v>
      </c>
      <c r="C135" s="82"/>
      <c r="D135" s="78"/>
      <c r="F135" s="78">
        <f>-F141</f>
        <v>0</v>
      </c>
      <c r="G135" s="78">
        <v>0</v>
      </c>
      <c r="I135" s="79">
        <f t="shared" si="6"/>
        <v>0</v>
      </c>
      <c r="J135" s="78" t="s">
        <v>292</v>
      </c>
      <c r="K135" s="79">
        <f t="shared" si="7"/>
        <v>0</v>
      </c>
      <c r="L135" s="10"/>
      <c r="M135" s="78"/>
      <c r="N135" s="78"/>
    </row>
    <row r="136" spans="1:16" x14ac:dyDescent="0.4">
      <c r="A136" s="121" t="s">
        <v>596</v>
      </c>
      <c r="B136" s="12" t="s">
        <v>248</v>
      </c>
      <c r="C136" s="82"/>
      <c r="D136" s="78"/>
      <c r="F136" s="78" t="s">
        <v>261</v>
      </c>
      <c r="G136" s="78">
        <f>-C136</f>
        <v>0</v>
      </c>
      <c r="I136" s="79">
        <f t="shared" si="6"/>
        <v>0</v>
      </c>
      <c r="J136" s="78" t="s">
        <v>292</v>
      </c>
      <c r="K136" s="79">
        <f t="shared" si="7"/>
        <v>0</v>
      </c>
      <c r="L136" s="10"/>
      <c r="M136" s="78"/>
      <c r="N136" s="78"/>
    </row>
    <row r="137" spans="1:16" x14ac:dyDescent="0.4">
      <c r="A137" s="121" t="s">
        <v>597</v>
      </c>
      <c r="B137" s="12" t="s">
        <v>249</v>
      </c>
      <c r="C137" s="82"/>
      <c r="D137" s="78"/>
      <c r="F137" s="78" t="s">
        <v>261</v>
      </c>
      <c r="G137" s="78">
        <f>-C137</f>
        <v>0</v>
      </c>
      <c r="I137" s="79">
        <f t="shared" si="6"/>
        <v>0</v>
      </c>
      <c r="J137" s="78" t="s">
        <v>292</v>
      </c>
      <c r="K137" s="79">
        <f t="shared" si="7"/>
        <v>0</v>
      </c>
      <c r="L137" s="10"/>
      <c r="M137" s="78"/>
      <c r="N137" s="78"/>
    </row>
    <row r="138" spans="1:16" x14ac:dyDescent="0.4">
      <c r="A138" s="69" t="s">
        <v>754</v>
      </c>
      <c r="B138" s="12" t="s">
        <v>782</v>
      </c>
      <c r="C138" s="82"/>
      <c r="D138" s="78"/>
      <c r="F138" s="78" t="s">
        <v>261</v>
      </c>
      <c r="G138" s="78">
        <f>-E138-D138</f>
        <v>0</v>
      </c>
      <c r="I138" s="79">
        <f t="shared" si="6"/>
        <v>0</v>
      </c>
      <c r="J138" s="78" t="s">
        <v>292</v>
      </c>
      <c r="K138" s="79">
        <f t="shared" si="7"/>
        <v>0</v>
      </c>
      <c r="L138" s="10"/>
      <c r="M138" s="78"/>
      <c r="N138" s="78"/>
    </row>
    <row r="139" spans="1:16" x14ac:dyDescent="0.4">
      <c r="A139" s="69"/>
      <c r="B139" s="12" t="s">
        <v>755</v>
      </c>
      <c r="C139" s="82"/>
      <c r="D139" s="78"/>
      <c r="F139" s="78" t="s">
        <v>261</v>
      </c>
      <c r="G139" s="78">
        <f>-E139-D139</f>
        <v>0</v>
      </c>
      <c r="I139" s="79">
        <f t="shared" si="6"/>
        <v>0</v>
      </c>
      <c r="J139" s="78" t="s">
        <v>292</v>
      </c>
      <c r="K139" s="79">
        <f t="shared" si="7"/>
        <v>0</v>
      </c>
      <c r="L139" s="10"/>
      <c r="M139" s="78"/>
      <c r="N139" s="78"/>
    </row>
    <row r="140" spans="1:16" x14ac:dyDescent="0.4">
      <c r="A140" s="69"/>
      <c r="B140" s="12" t="s">
        <v>756</v>
      </c>
      <c r="C140" s="82"/>
      <c r="D140" s="78"/>
      <c r="F140" s="78" t="s">
        <v>261</v>
      </c>
      <c r="G140" s="78">
        <f>-E140-D140</f>
        <v>0</v>
      </c>
      <c r="I140" s="79">
        <f t="shared" si="6"/>
        <v>0</v>
      </c>
      <c r="J140" s="78" t="s">
        <v>292</v>
      </c>
      <c r="K140" s="79">
        <f t="shared" si="7"/>
        <v>0</v>
      </c>
      <c r="L140" s="10"/>
      <c r="M140" s="78"/>
      <c r="N140" s="78"/>
    </row>
    <row r="141" spans="1:16" x14ac:dyDescent="0.4">
      <c r="A141" s="121" t="s">
        <v>761</v>
      </c>
      <c r="B141" s="12" t="s">
        <v>760</v>
      </c>
      <c r="C141" s="82"/>
      <c r="D141" s="78"/>
      <c r="F141" s="78">
        <f>-E141-D141-C141</f>
        <v>0</v>
      </c>
      <c r="I141" s="79">
        <f t="shared" ref="I141:I148" si="8">SUM(C141:H141)</f>
        <v>0</v>
      </c>
      <c r="J141" s="78" t="s">
        <v>292</v>
      </c>
      <c r="K141" s="79">
        <f t="shared" si="7"/>
        <v>0</v>
      </c>
      <c r="L141" s="10"/>
      <c r="M141" s="78"/>
      <c r="N141" s="78"/>
    </row>
    <row r="142" spans="1:16" x14ac:dyDescent="0.4">
      <c r="A142" s="121" t="s">
        <v>598</v>
      </c>
      <c r="B142" s="12" t="s">
        <v>250</v>
      </c>
      <c r="C142" s="82"/>
      <c r="D142" s="78"/>
      <c r="I142" s="79">
        <f t="shared" si="8"/>
        <v>0</v>
      </c>
      <c r="J142" s="78" t="s">
        <v>292</v>
      </c>
      <c r="K142" s="79">
        <f t="shared" si="7"/>
        <v>0</v>
      </c>
      <c r="L142" s="10"/>
      <c r="M142" s="78"/>
      <c r="N142" s="78"/>
    </row>
    <row r="143" spans="1:16" x14ac:dyDescent="0.4">
      <c r="A143" s="69"/>
      <c r="B143" s="12" t="s">
        <v>260</v>
      </c>
      <c r="C143" s="82"/>
      <c r="D143" s="78"/>
      <c r="I143" s="79">
        <f t="shared" si="8"/>
        <v>0</v>
      </c>
      <c r="J143" s="78" t="s">
        <v>292</v>
      </c>
      <c r="K143" s="79">
        <f t="shared" si="7"/>
        <v>0</v>
      </c>
      <c r="L143" s="10"/>
      <c r="M143" s="78"/>
      <c r="N143" s="78"/>
    </row>
    <row r="144" spans="1:16" x14ac:dyDescent="0.4">
      <c r="A144" s="121" t="s">
        <v>599</v>
      </c>
      <c r="B144" s="12" t="s">
        <v>251</v>
      </c>
      <c r="C144" s="82"/>
      <c r="D144" s="78"/>
      <c r="I144" s="79">
        <f t="shared" si="8"/>
        <v>0</v>
      </c>
      <c r="J144" s="78" t="s">
        <v>292</v>
      </c>
      <c r="K144" s="79">
        <f t="shared" si="7"/>
        <v>0</v>
      </c>
      <c r="L144" s="10"/>
      <c r="M144" s="78"/>
      <c r="N144" s="78"/>
    </row>
    <row r="145" spans="1:14" x14ac:dyDescent="0.4">
      <c r="A145" s="121" t="s">
        <v>600</v>
      </c>
      <c r="B145" s="12" t="s">
        <v>252</v>
      </c>
      <c r="C145" s="82"/>
      <c r="D145" s="78"/>
      <c r="I145" s="79">
        <f t="shared" si="8"/>
        <v>0</v>
      </c>
      <c r="J145" s="78" t="s">
        <v>292</v>
      </c>
      <c r="K145" s="79">
        <f t="shared" ref="K145:K148" si="9">I145*1</f>
        <v>0</v>
      </c>
      <c r="L145" s="10"/>
      <c r="M145" s="78"/>
      <c r="N145" s="78"/>
    </row>
    <row r="146" spans="1:14" x14ac:dyDescent="0.4">
      <c r="A146" s="121" t="s">
        <v>601</v>
      </c>
      <c r="B146" s="12" t="s">
        <v>253</v>
      </c>
      <c r="C146" s="82"/>
      <c r="D146" s="78"/>
      <c r="I146" s="79">
        <f t="shared" si="8"/>
        <v>0</v>
      </c>
      <c r="J146" s="78" t="s">
        <v>292</v>
      </c>
      <c r="K146" s="79">
        <f t="shared" si="9"/>
        <v>0</v>
      </c>
      <c r="L146" s="10"/>
      <c r="M146" s="76"/>
      <c r="N146" s="78"/>
    </row>
    <row r="147" spans="1:14" x14ac:dyDescent="0.4">
      <c r="A147" s="121" t="s">
        <v>602</v>
      </c>
      <c r="B147" s="12" t="s">
        <v>258</v>
      </c>
      <c r="C147" s="82"/>
      <c r="D147" s="78"/>
      <c r="I147" s="79">
        <f t="shared" si="8"/>
        <v>0</v>
      </c>
      <c r="J147" s="78" t="s">
        <v>862</v>
      </c>
      <c r="K147" s="79">
        <f t="shared" si="9"/>
        <v>0</v>
      </c>
      <c r="L147" s="10"/>
      <c r="M147" s="76"/>
      <c r="N147" s="78"/>
    </row>
    <row r="148" spans="1:14" x14ac:dyDescent="0.4">
      <c r="A148" s="121" t="s">
        <v>615</v>
      </c>
      <c r="B148" s="12" t="s">
        <v>616</v>
      </c>
      <c r="C148" s="72"/>
      <c r="D148" s="78"/>
      <c r="I148" s="79">
        <f t="shared" si="8"/>
        <v>0</v>
      </c>
      <c r="J148" s="78" t="s">
        <v>292</v>
      </c>
      <c r="K148" s="79">
        <f t="shared" si="9"/>
        <v>0</v>
      </c>
      <c r="L148" s="10"/>
      <c r="M148" s="76"/>
      <c r="N148" s="78"/>
    </row>
    <row r="149" spans="1:14" x14ac:dyDescent="0.4">
      <c r="C149" s="109">
        <f t="shared" ref="C149:I149" si="10">SUM(C6:C148)</f>
        <v>0</v>
      </c>
      <c r="D149" s="109">
        <f t="shared" si="10"/>
        <v>0</v>
      </c>
      <c r="E149" s="110">
        <f t="shared" si="10"/>
        <v>0</v>
      </c>
      <c r="F149" s="109">
        <f t="shared" si="10"/>
        <v>0</v>
      </c>
      <c r="G149" s="109">
        <f t="shared" si="10"/>
        <v>0</v>
      </c>
      <c r="H149" s="109">
        <f t="shared" si="10"/>
        <v>0</v>
      </c>
      <c r="I149" s="109">
        <f t="shared" si="10"/>
        <v>0</v>
      </c>
      <c r="J149" s="111"/>
      <c r="K149" s="109">
        <f>SUM(K6:K148)</f>
        <v>0</v>
      </c>
      <c r="M149" s="76"/>
      <c r="N149" s="78"/>
    </row>
    <row r="150" spans="1:14" x14ac:dyDescent="0.4">
      <c r="C150" s="112"/>
      <c r="D150" s="113"/>
      <c r="M150" s="76"/>
      <c r="N150" s="78"/>
    </row>
    <row r="151" spans="1:14" x14ac:dyDescent="0.4">
      <c r="D151" s="113"/>
      <c r="K151" s="79">
        <f>K149-K75-K87-K61-K45</f>
        <v>0</v>
      </c>
      <c r="M151" s="76"/>
      <c r="N151" s="78"/>
    </row>
    <row r="152" spans="1:14" x14ac:dyDescent="0.4">
      <c r="C152" s="112"/>
      <c r="D152" s="113"/>
      <c r="M152" s="76"/>
      <c r="N152" s="78"/>
    </row>
    <row r="153" spans="1:14" x14ac:dyDescent="0.4">
      <c r="C153" s="112"/>
      <c r="D153" s="113" t="s">
        <v>261</v>
      </c>
      <c r="M153" s="76"/>
      <c r="N153" s="78"/>
    </row>
    <row r="154" spans="1:14" x14ac:dyDescent="0.4">
      <c r="C154" s="112"/>
      <c r="D154" s="113" t="s">
        <v>261</v>
      </c>
      <c r="M154" s="76"/>
      <c r="N154" s="76"/>
    </row>
    <row r="155" spans="1:14" x14ac:dyDescent="0.4">
      <c r="C155" s="112"/>
      <c r="D155" s="113"/>
    </row>
    <row r="156" spans="1:14" x14ac:dyDescent="0.4">
      <c r="C156" s="112"/>
      <c r="D156" s="113"/>
    </row>
    <row r="157" spans="1:14" x14ac:dyDescent="0.4">
      <c r="C157" s="112"/>
      <c r="D157" s="113"/>
    </row>
    <row r="158" spans="1:14" x14ac:dyDescent="0.4">
      <c r="C158" s="112"/>
      <c r="D158" s="113"/>
    </row>
    <row r="159" spans="1:14" x14ac:dyDescent="0.4">
      <c r="C159" s="112"/>
      <c r="D159" s="113"/>
      <c r="F159" s="10"/>
      <c r="G159" s="10"/>
      <c r="H159" s="10"/>
    </row>
    <row r="164" spans="5:5" x14ac:dyDescent="0.4">
      <c r="E164" s="78">
        <f>C149+103646</f>
        <v>103646</v>
      </c>
    </row>
  </sheetData>
  <mergeCells count="3">
    <mergeCell ref="A1:B1"/>
    <mergeCell ref="A2:B2"/>
    <mergeCell ref="A3:B3"/>
  </mergeCells>
  <pageMargins left="0.7" right="0.7" top="0.75" bottom="0.75" header="0.3" footer="0.3"/>
  <pageSetup orientation="portrait"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498"/>
  <sheetViews>
    <sheetView workbookViewId="0">
      <pane ySplit="5" topLeftCell="A6" activePane="bottomLeft" state="frozen"/>
      <selection pane="bottomLeft" activeCell="N18" sqref="N18"/>
    </sheetView>
  </sheetViews>
  <sheetFormatPr defaultColWidth="9.05859375" defaultRowHeight="12.7" outlineLevelCol="1" x14ac:dyDescent="0.4"/>
  <cols>
    <col min="1" max="1" width="11.05859375" style="76" customWidth="1"/>
    <col min="2" max="2" width="30" style="76" bestFit="1" customWidth="1"/>
    <col min="3" max="3" width="13.52734375" style="78" hidden="1" customWidth="1" outlineLevel="1"/>
    <col min="4" max="4" width="13.52734375" style="89" hidden="1" customWidth="1" outlineLevel="1"/>
    <col min="5" max="5" width="13.05859375" style="78" hidden="1" customWidth="1" outlineLevel="1"/>
    <col min="6" max="6" width="11" style="78" hidden="1" customWidth="1" outlineLevel="1"/>
    <col min="7" max="7" width="13.52734375" style="78" hidden="1" customWidth="1" outlineLevel="1"/>
    <col min="8" max="8" width="12.3515625" style="78" hidden="1" customWidth="1" outlineLevel="1"/>
    <col min="9" max="9" width="14.87890625" style="79" hidden="1" customWidth="1" outlineLevel="1"/>
    <col min="10" max="10" width="20.64453125" style="78" hidden="1" customWidth="1" outlineLevel="1"/>
    <col min="11" max="11" width="13.52734375" style="79" customWidth="1" collapsed="1"/>
    <col min="12" max="12" width="9.05859375" style="78" customWidth="1"/>
    <col min="13" max="13" width="17.8203125" style="76" customWidth="1"/>
    <col min="14" max="14" width="10.703125" style="76" customWidth="1"/>
    <col min="15" max="16384" width="9.05859375" style="76"/>
  </cols>
  <sheetData>
    <row r="1" spans="1:14" x14ac:dyDescent="0.4">
      <c r="A1" s="75" t="s">
        <v>0</v>
      </c>
    </row>
    <row r="2" spans="1:14" x14ac:dyDescent="0.4">
      <c r="A2" s="75" t="s">
        <v>482</v>
      </c>
    </row>
    <row r="3" spans="1:14" x14ac:dyDescent="0.4">
      <c r="A3" s="3">
        <v>43434</v>
      </c>
      <c r="F3" s="14" t="s">
        <v>261</v>
      </c>
      <c r="G3" s="14"/>
      <c r="H3" s="14"/>
      <c r="I3" s="19"/>
      <c r="J3" s="15"/>
    </row>
    <row r="4" spans="1:14" x14ac:dyDescent="0.4">
      <c r="B4" s="5" t="s">
        <v>261</v>
      </c>
    </row>
    <row r="5" spans="1:14" x14ac:dyDescent="0.4">
      <c r="A5" s="76" t="s">
        <v>484</v>
      </c>
      <c r="B5" s="68" t="s">
        <v>279</v>
      </c>
      <c r="C5" s="15" t="s">
        <v>0</v>
      </c>
      <c r="D5" s="118" t="s">
        <v>2</v>
      </c>
      <c r="E5" s="15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8" t="s">
        <v>280</v>
      </c>
      <c r="K5" s="19" t="s">
        <v>281</v>
      </c>
      <c r="M5" s="416" t="s">
        <v>282</v>
      </c>
      <c r="N5" s="416" t="s">
        <v>284</v>
      </c>
    </row>
    <row r="6" spans="1:14" ht="14.35" x14ac:dyDescent="0.5">
      <c r="A6" s="68" t="s">
        <v>305</v>
      </c>
      <c r="B6" s="68" t="s">
        <v>5</v>
      </c>
      <c r="C6" s="74"/>
      <c r="D6" s="81"/>
      <c r="E6" s="80"/>
      <c r="I6" s="79">
        <f>SUM(C6:H6)</f>
        <v>0</v>
      </c>
      <c r="J6" s="78" t="s">
        <v>264</v>
      </c>
      <c r="K6" s="79">
        <f>I6</f>
        <v>0</v>
      </c>
      <c r="M6" s="417" t="s">
        <v>264</v>
      </c>
      <c r="N6" s="418">
        <v>0</v>
      </c>
    </row>
    <row r="7" spans="1:14" ht="14.35" x14ac:dyDescent="0.5">
      <c r="A7" s="100" t="s">
        <v>876</v>
      </c>
      <c r="B7" s="100" t="s">
        <v>877</v>
      </c>
      <c r="C7" s="74"/>
      <c r="D7" s="81"/>
      <c r="E7" s="80"/>
      <c r="I7" s="79">
        <f>SUM(C7:H7)</f>
        <v>0</v>
      </c>
      <c r="J7" s="78" t="s">
        <v>264</v>
      </c>
      <c r="K7" s="79">
        <f>I7</f>
        <v>0</v>
      </c>
      <c r="M7" s="417" t="s">
        <v>265</v>
      </c>
      <c r="N7" s="418">
        <v>0</v>
      </c>
    </row>
    <row r="8" spans="1:14" ht="14.35" x14ac:dyDescent="0.5">
      <c r="A8" s="68" t="s">
        <v>306</v>
      </c>
      <c r="B8" s="68" t="s">
        <v>6</v>
      </c>
      <c r="C8" s="74"/>
      <c r="D8" s="81"/>
      <c r="E8" s="80"/>
      <c r="I8" s="79">
        <f t="shared" ref="I8:I79" si="0">SUM(C8:H8)</f>
        <v>0</v>
      </c>
      <c r="J8" s="78" t="s">
        <v>264</v>
      </c>
      <c r="K8" s="79">
        <f t="shared" ref="K8:K79" si="1">I8</f>
        <v>0</v>
      </c>
      <c r="M8" s="417" t="s">
        <v>268</v>
      </c>
      <c r="N8" s="418">
        <v>0</v>
      </c>
    </row>
    <row r="9" spans="1:14" ht="14.35" x14ac:dyDescent="0.5">
      <c r="A9" s="68" t="s">
        <v>668</v>
      </c>
      <c r="B9" s="68" t="s">
        <v>250</v>
      </c>
      <c r="C9" s="74"/>
      <c r="D9" s="81"/>
      <c r="E9" s="80"/>
      <c r="I9" s="79">
        <f t="shared" si="0"/>
        <v>0</v>
      </c>
      <c r="J9" s="78" t="s">
        <v>264</v>
      </c>
      <c r="K9" s="79">
        <f t="shared" si="1"/>
        <v>0</v>
      </c>
      <c r="M9" s="417" t="s">
        <v>271</v>
      </c>
      <c r="N9" s="418">
        <v>0</v>
      </c>
    </row>
    <row r="10" spans="1:14" ht="14.35" x14ac:dyDescent="0.5">
      <c r="A10" s="100" t="s">
        <v>786</v>
      </c>
      <c r="B10" s="100" t="s">
        <v>787</v>
      </c>
      <c r="C10" s="74"/>
      <c r="D10" s="81"/>
      <c r="E10" s="80"/>
      <c r="I10" s="79">
        <f t="shared" si="0"/>
        <v>0</v>
      </c>
      <c r="J10" s="78" t="s">
        <v>264</v>
      </c>
      <c r="K10" s="79">
        <f t="shared" si="1"/>
        <v>0</v>
      </c>
      <c r="M10" s="417" t="s">
        <v>266</v>
      </c>
      <c r="N10" s="418">
        <v>0</v>
      </c>
    </row>
    <row r="11" spans="1:14" ht="14.35" x14ac:dyDescent="0.5">
      <c r="A11" s="68" t="s">
        <v>307</v>
      </c>
      <c r="B11" s="68" t="s">
        <v>7</v>
      </c>
      <c r="C11" s="74"/>
      <c r="D11" s="81"/>
      <c r="E11" s="80"/>
      <c r="I11" s="79">
        <f t="shared" si="0"/>
        <v>0</v>
      </c>
      <c r="J11" s="78" t="s">
        <v>264</v>
      </c>
      <c r="K11" s="79">
        <f t="shared" si="1"/>
        <v>0</v>
      </c>
      <c r="M11" s="417" t="s">
        <v>270</v>
      </c>
      <c r="N11" s="418">
        <v>0</v>
      </c>
    </row>
    <row r="12" spans="1:14" ht="14.35" x14ac:dyDescent="0.5">
      <c r="A12" s="69"/>
      <c r="B12" s="68" t="s">
        <v>781</v>
      </c>
      <c r="C12" s="74"/>
      <c r="E12" s="80"/>
      <c r="I12" s="79">
        <f t="shared" si="0"/>
        <v>0</v>
      </c>
      <c r="J12" s="78" t="s">
        <v>264</v>
      </c>
      <c r="K12" s="79">
        <f t="shared" si="1"/>
        <v>0</v>
      </c>
      <c r="M12" s="417" t="s">
        <v>269</v>
      </c>
      <c r="N12" s="418">
        <v>0</v>
      </c>
    </row>
    <row r="13" spans="1:14" ht="14.35" x14ac:dyDescent="0.5">
      <c r="A13" s="68" t="s">
        <v>669</v>
      </c>
      <c r="B13" s="100" t="s">
        <v>670</v>
      </c>
      <c r="C13" s="74"/>
      <c r="D13" s="81"/>
      <c r="E13" s="80"/>
      <c r="I13" s="79">
        <f t="shared" si="0"/>
        <v>0</v>
      </c>
      <c r="J13" s="78" t="s">
        <v>264</v>
      </c>
      <c r="K13" s="79">
        <f t="shared" si="1"/>
        <v>0</v>
      </c>
      <c r="M13" s="417" t="s">
        <v>272</v>
      </c>
      <c r="N13" s="418">
        <v>0</v>
      </c>
    </row>
    <row r="14" spans="1:14" ht="14.35" x14ac:dyDescent="0.5">
      <c r="A14" s="68" t="s">
        <v>308</v>
      </c>
      <c r="B14" s="100" t="s">
        <v>671</v>
      </c>
      <c r="C14" s="74"/>
      <c r="D14" s="81"/>
      <c r="E14" s="80"/>
      <c r="I14" s="79">
        <f t="shared" si="0"/>
        <v>0</v>
      </c>
      <c r="J14" s="78" t="s">
        <v>264</v>
      </c>
      <c r="K14" s="79">
        <f t="shared" si="1"/>
        <v>0</v>
      </c>
      <c r="M14" s="417" t="s">
        <v>273</v>
      </c>
      <c r="N14" s="418">
        <v>0</v>
      </c>
    </row>
    <row r="15" spans="1:14" ht="14.35" x14ac:dyDescent="0.5">
      <c r="A15" s="68" t="s">
        <v>683</v>
      </c>
      <c r="B15" s="100" t="s">
        <v>682</v>
      </c>
      <c r="C15" s="74"/>
      <c r="D15" s="81"/>
      <c r="E15" s="80"/>
      <c r="I15" s="79">
        <f t="shared" si="0"/>
        <v>0</v>
      </c>
      <c r="J15" s="78" t="s">
        <v>264</v>
      </c>
      <c r="K15" s="79">
        <f t="shared" si="1"/>
        <v>0</v>
      </c>
      <c r="M15" s="417" t="s">
        <v>274</v>
      </c>
      <c r="N15" s="418">
        <v>0</v>
      </c>
    </row>
    <row r="16" spans="1:14" ht="14.35" x14ac:dyDescent="0.5">
      <c r="A16" s="68" t="s">
        <v>309</v>
      </c>
      <c r="B16" s="100" t="s">
        <v>672</v>
      </c>
      <c r="C16" s="74"/>
      <c r="D16" s="81"/>
      <c r="E16" s="80"/>
      <c r="I16" s="79">
        <f t="shared" si="0"/>
        <v>0</v>
      </c>
      <c r="J16" s="78" t="s">
        <v>264</v>
      </c>
      <c r="K16" s="79">
        <f t="shared" si="1"/>
        <v>0</v>
      </c>
      <c r="M16" s="417" t="s">
        <v>275</v>
      </c>
      <c r="N16" s="418">
        <v>0</v>
      </c>
    </row>
    <row r="17" spans="1:14" ht="14.35" x14ac:dyDescent="0.5">
      <c r="A17" s="68" t="s">
        <v>310</v>
      </c>
      <c r="B17" s="100" t="s">
        <v>673</v>
      </c>
      <c r="C17" s="74"/>
      <c r="E17" s="80"/>
      <c r="I17" s="79">
        <f t="shared" si="0"/>
        <v>0</v>
      </c>
      <c r="J17" s="78" t="s">
        <v>264</v>
      </c>
      <c r="K17" s="79">
        <f t="shared" si="1"/>
        <v>0</v>
      </c>
      <c r="M17" s="417" t="s">
        <v>276</v>
      </c>
      <c r="N17" s="418">
        <v>0</v>
      </c>
    </row>
    <row r="18" spans="1:14" ht="14.35" x14ac:dyDescent="0.5">
      <c r="A18" s="68" t="s">
        <v>684</v>
      </c>
      <c r="B18" s="100" t="s">
        <v>685</v>
      </c>
      <c r="C18" s="74"/>
      <c r="D18" s="81"/>
      <c r="E18" s="80"/>
      <c r="I18" s="79">
        <f t="shared" si="0"/>
        <v>0</v>
      </c>
      <c r="J18" s="78" t="s">
        <v>264</v>
      </c>
      <c r="K18" s="79">
        <f t="shared" si="1"/>
        <v>0</v>
      </c>
      <c r="M18" s="417" t="s">
        <v>277</v>
      </c>
      <c r="N18" s="418">
        <v>0</v>
      </c>
    </row>
    <row r="19" spans="1:14" ht="14.35" x14ac:dyDescent="0.5">
      <c r="A19" s="68" t="s">
        <v>311</v>
      </c>
      <c r="B19" s="68" t="s">
        <v>8</v>
      </c>
      <c r="C19" s="74"/>
      <c r="D19" s="81"/>
      <c r="E19" s="80"/>
      <c r="I19" s="79">
        <f t="shared" si="0"/>
        <v>0</v>
      </c>
      <c r="J19" s="78" t="s">
        <v>265</v>
      </c>
      <c r="K19" s="79">
        <f t="shared" si="1"/>
        <v>0</v>
      </c>
      <c r="M19" s="417" t="s">
        <v>278</v>
      </c>
      <c r="N19" s="418">
        <v>0</v>
      </c>
    </row>
    <row r="20" spans="1:14" ht="14.35" x14ac:dyDescent="0.5">
      <c r="A20" s="68" t="s">
        <v>312</v>
      </c>
      <c r="B20" s="68" t="s">
        <v>9</v>
      </c>
      <c r="C20" s="74"/>
      <c r="D20" s="81"/>
      <c r="E20" s="80"/>
      <c r="I20" s="79">
        <f t="shared" si="0"/>
        <v>0</v>
      </c>
      <c r="J20" s="78" t="s">
        <v>265</v>
      </c>
      <c r="K20" s="79">
        <f t="shared" si="1"/>
        <v>0</v>
      </c>
      <c r="M20" s="417" t="s">
        <v>267</v>
      </c>
      <c r="N20" s="418">
        <v>0</v>
      </c>
    </row>
    <row r="21" spans="1:14" ht="14.35" x14ac:dyDescent="0.5">
      <c r="A21" s="68" t="s">
        <v>313</v>
      </c>
      <c r="B21" s="68" t="s">
        <v>10</v>
      </c>
      <c r="C21" s="74"/>
      <c r="D21" s="81"/>
      <c r="E21" s="80"/>
      <c r="I21" s="79">
        <f t="shared" si="0"/>
        <v>0</v>
      </c>
      <c r="J21" s="78" t="s">
        <v>265</v>
      </c>
      <c r="K21" s="79">
        <f t="shared" si="1"/>
        <v>0</v>
      </c>
      <c r="M21" s="417" t="s">
        <v>861</v>
      </c>
      <c r="N21" s="418">
        <v>0</v>
      </c>
    </row>
    <row r="22" spans="1:14" ht="14.35" x14ac:dyDescent="0.5">
      <c r="A22" s="68" t="s">
        <v>314</v>
      </c>
      <c r="B22" s="68" t="s">
        <v>11</v>
      </c>
      <c r="C22" s="74"/>
      <c r="D22" s="81"/>
      <c r="E22" s="80"/>
      <c r="I22" s="79">
        <f t="shared" si="0"/>
        <v>0</v>
      </c>
      <c r="J22" s="78" t="s">
        <v>265</v>
      </c>
      <c r="K22" s="79">
        <f t="shared" si="1"/>
        <v>0</v>
      </c>
      <c r="M22" s="417" t="s">
        <v>650</v>
      </c>
      <c r="N22" s="418">
        <v>0</v>
      </c>
    </row>
    <row r="23" spans="1:14" ht="14.35" x14ac:dyDescent="0.5">
      <c r="A23" s="68" t="s">
        <v>315</v>
      </c>
      <c r="B23" s="68" t="s">
        <v>12</v>
      </c>
      <c r="C23" s="74"/>
      <c r="D23" s="81"/>
      <c r="E23" s="80"/>
      <c r="I23" s="79">
        <f t="shared" si="0"/>
        <v>0</v>
      </c>
      <c r="J23" s="78" t="s">
        <v>265</v>
      </c>
      <c r="K23" s="79">
        <f t="shared" si="1"/>
        <v>0</v>
      </c>
      <c r="M23" s="417" t="s">
        <v>858</v>
      </c>
      <c r="N23" s="418">
        <v>0</v>
      </c>
    </row>
    <row r="24" spans="1:14" ht="14.35" x14ac:dyDescent="0.5">
      <c r="A24" s="100" t="s">
        <v>696</v>
      </c>
      <c r="B24" s="100" t="s">
        <v>697</v>
      </c>
      <c r="C24" s="74"/>
      <c r="D24" s="81"/>
      <c r="E24" s="80"/>
      <c r="I24" s="79">
        <f t="shared" si="0"/>
        <v>0</v>
      </c>
      <c r="J24" s="78" t="s">
        <v>265</v>
      </c>
      <c r="K24" s="79">
        <f t="shared" si="1"/>
        <v>0</v>
      </c>
      <c r="M24" s="417" t="s">
        <v>859</v>
      </c>
      <c r="N24" s="418">
        <v>0</v>
      </c>
    </row>
    <row r="25" spans="1:14" ht="14.35" x14ac:dyDescent="0.5">
      <c r="A25" s="68" t="s">
        <v>316</v>
      </c>
      <c r="B25" s="68" t="s">
        <v>13</v>
      </c>
      <c r="C25" s="74"/>
      <c r="E25" s="80"/>
      <c r="I25" s="79">
        <f t="shared" si="0"/>
        <v>0</v>
      </c>
      <c r="J25" s="78" t="s">
        <v>265</v>
      </c>
      <c r="K25" s="79">
        <f t="shared" si="1"/>
        <v>0</v>
      </c>
      <c r="M25" s="417" t="s">
        <v>860</v>
      </c>
      <c r="N25" s="418">
        <v>0</v>
      </c>
    </row>
    <row r="26" spans="1:14" ht="14.35" x14ac:dyDescent="0.5">
      <c r="A26" s="68" t="s">
        <v>317</v>
      </c>
      <c r="B26" s="68" t="s">
        <v>14</v>
      </c>
      <c r="C26" s="74"/>
      <c r="D26" s="81"/>
      <c r="E26" s="80"/>
      <c r="I26" s="79">
        <f t="shared" si="0"/>
        <v>0</v>
      </c>
      <c r="J26" s="78" t="s">
        <v>265</v>
      </c>
      <c r="K26" s="79">
        <f t="shared" si="1"/>
        <v>0</v>
      </c>
      <c r="M26" s="417" t="s">
        <v>283</v>
      </c>
      <c r="N26" s="418">
        <v>0</v>
      </c>
    </row>
    <row r="27" spans="1:14" ht="14.35" x14ac:dyDescent="0.5">
      <c r="A27" s="68" t="s">
        <v>318</v>
      </c>
      <c r="B27" s="68" t="s">
        <v>15</v>
      </c>
      <c r="C27" s="74"/>
      <c r="D27" s="81"/>
      <c r="E27" s="80"/>
      <c r="I27" s="79">
        <f t="shared" si="0"/>
        <v>0</v>
      </c>
      <c r="J27" s="78" t="s">
        <v>271</v>
      </c>
      <c r="K27" s="79">
        <f t="shared" si="1"/>
        <v>0</v>
      </c>
      <c r="M27" s="98"/>
      <c r="N27" s="98"/>
    </row>
    <row r="28" spans="1:14" ht="14.35" x14ac:dyDescent="0.5">
      <c r="A28" s="68" t="s">
        <v>617</v>
      </c>
      <c r="B28" s="68" t="s">
        <v>618</v>
      </c>
      <c r="C28" s="74"/>
      <c r="D28" s="81"/>
      <c r="E28" s="80"/>
      <c r="I28" s="79">
        <f t="shared" si="0"/>
        <v>0</v>
      </c>
      <c r="J28" s="78" t="s">
        <v>858</v>
      </c>
      <c r="K28" s="79">
        <f t="shared" si="1"/>
        <v>0</v>
      </c>
      <c r="M28" s="98"/>
      <c r="N28" s="98"/>
    </row>
    <row r="29" spans="1:14" ht="14.35" x14ac:dyDescent="0.5">
      <c r="A29" s="69"/>
      <c r="B29" s="68" t="s">
        <v>614</v>
      </c>
      <c r="C29" s="74"/>
      <c r="E29" s="80"/>
      <c r="I29" s="79">
        <f t="shared" si="0"/>
        <v>0</v>
      </c>
      <c r="J29" s="78" t="s">
        <v>650</v>
      </c>
      <c r="K29" s="79">
        <f t="shared" si="1"/>
        <v>0</v>
      </c>
    </row>
    <row r="30" spans="1:14" ht="14.35" x14ac:dyDescent="0.5">
      <c r="A30" s="68" t="s">
        <v>319</v>
      </c>
      <c r="B30" s="68" t="s">
        <v>16</v>
      </c>
      <c r="C30" s="74"/>
      <c r="D30" s="81"/>
      <c r="E30" s="80"/>
      <c r="I30" s="79">
        <f t="shared" si="0"/>
        <v>0</v>
      </c>
      <c r="J30" s="78" t="s">
        <v>271</v>
      </c>
      <c r="K30" s="79">
        <f t="shared" si="1"/>
        <v>0</v>
      </c>
    </row>
    <row r="31" spans="1:14" ht="14.35" x14ac:dyDescent="0.5">
      <c r="A31" s="26" t="s">
        <v>652</v>
      </c>
      <c r="B31" s="26" t="s">
        <v>653</v>
      </c>
      <c r="C31" s="74"/>
      <c r="D31" s="81"/>
      <c r="E31" s="80"/>
      <c r="I31" s="79">
        <f t="shared" si="0"/>
        <v>0</v>
      </c>
      <c r="J31" s="78" t="s">
        <v>271</v>
      </c>
      <c r="K31" s="79">
        <f t="shared" si="1"/>
        <v>0</v>
      </c>
    </row>
    <row r="32" spans="1:14" ht="14.35" x14ac:dyDescent="0.5">
      <c r="A32" s="68" t="s">
        <v>320</v>
      </c>
      <c r="B32" s="68" t="s">
        <v>17</v>
      </c>
      <c r="C32" s="74"/>
      <c r="D32" s="81"/>
      <c r="E32" s="80"/>
      <c r="I32" s="79">
        <f t="shared" si="0"/>
        <v>0</v>
      </c>
      <c r="J32" s="78" t="s">
        <v>650</v>
      </c>
      <c r="K32" s="79">
        <f t="shared" si="1"/>
        <v>0</v>
      </c>
    </row>
    <row r="33" spans="1:13" ht="14.35" x14ac:dyDescent="0.5">
      <c r="A33" s="100" t="s">
        <v>878</v>
      </c>
      <c r="B33" s="100" t="s">
        <v>879</v>
      </c>
      <c r="C33" s="74"/>
      <c r="D33" s="81"/>
      <c r="E33" s="80"/>
      <c r="I33" s="79">
        <f t="shared" ref="I33" si="2">SUM(C33:H33)</f>
        <v>0</v>
      </c>
      <c r="J33" s="78" t="s">
        <v>650</v>
      </c>
      <c r="K33" s="79">
        <f t="shared" ref="K33" si="3">I33</f>
        <v>0</v>
      </c>
    </row>
    <row r="34" spans="1:13" ht="14.35" x14ac:dyDescent="0.5">
      <c r="A34" s="68" t="s">
        <v>321</v>
      </c>
      <c r="B34" s="68" t="s">
        <v>18</v>
      </c>
      <c r="C34" s="74"/>
      <c r="D34" s="81"/>
      <c r="E34" s="80"/>
      <c r="I34" s="79">
        <f t="shared" si="0"/>
        <v>0</v>
      </c>
      <c r="J34" s="78" t="s">
        <v>650</v>
      </c>
      <c r="K34" s="79">
        <f t="shared" si="1"/>
        <v>0</v>
      </c>
    </row>
    <row r="35" spans="1:13" ht="14.35" x14ac:dyDescent="0.5">
      <c r="A35" s="68" t="s">
        <v>322</v>
      </c>
      <c r="B35" s="68" t="s">
        <v>19</v>
      </c>
      <c r="C35" s="74"/>
      <c r="D35" s="81"/>
      <c r="E35" s="80"/>
      <c r="I35" s="79">
        <f t="shared" si="0"/>
        <v>0</v>
      </c>
      <c r="J35" s="78" t="s">
        <v>268</v>
      </c>
      <c r="K35" s="79">
        <f t="shared" si="1"/>
        <v>0</v>
      </c>
      <c r="M35" s="77"/>
    </row>
    <row r="36" spans="1:13" ht="14.35" x14ac:dyDescent="0.5">
      <c r="A36" s="68" t="s">
        <v>323</v>
      </c>
      <c r="B36" s="68" t="s">
        <v>20</v>
      </c>
      <c r="C36" s="74"/>
      <c r="D36" s="81"/>
      <c r="E36" s="80"/>
      <c r="I36" s="79">
        <f t="shared" si="0"/>
        <v>0</v>
      </c>
      <c r="J36" s="78" t="s">
        <v>268</v>
      </c>
      <c r="K36" s="79">
        <f t="shared" si="1"/>
        <v>0</v>
      </c>
    </row>
    <row r="37" spans="1:13" ht="14.35" x14ac:dyDescent="0.5">
      <c r="A37" s="88" t="s">
        <v>812</v>
      </c>
      <c r="B37" s="100" t="s">
        <v>813</v>
      </c>
      <c r="C37" s="74"/>
      <c r="D37" s="81"/>
      <c r="E37" s="80"/>
      <c r="I37" s="79">
        <f t="shared" si="0"/>
        <v>0</v>
      </c>
      <c r="J37" s="78" t="s">
        <v>268</v>
      </c>
      <c r="K37" s="79">
        <f t="shared" si="1"/>
        <v>0</v>
      </c>
    </row>
    <row r="38" spans="1:13" ht="14.35" x14ac:dyDescent="0.5">
      <c r="A38" s="68" t="s">
        <v>324</v>
      </c>
      <c r="B38" s="68" t="s">
        <v>21</v>
      </c>
      <c r="C38" s="74"/>
      <c r="D38" s="81"/>
      <c r="E38" s="80"/>
      <c r="I38" s="79">
        <f t="shared" si="0"/>
        <v>0</v>
      </c>
      <c r="J38" s="78" t="s">
        <v>266</v>
      </c>
      <c r="K38" s="79">
        <f t="shared" si="1"/>
        <v>0</v>
      </c>
    </row>
    <row r="39" spans="1:13" ht="14.35" x14ac:dyDescent="0.5">
      <c r="A39" s="100" t="s">
        <v>801</v>
      </c>
      <c r="B39" s="100" t="s">
        <v>802</v>
      </c>
      <c r="C39" s="74"/>
      <c r="D39" s="81"/>
      <c r="E39" s="80"/>
      <c r="I39" s="79">
        <f t="shared" si="0"/>
        <v>0</v>
      </c>
      <c r="J39" s="78" t="s">
        <v>650</v>
      </c>
      <c r="K39" s="79">
        <f t="shared" si="1"/>
        <v>0</v>
      </c>
    </row>
    <row r="40" spans="1:13" ht="14.35" x14ac:dyDescent="0.5">
      <c r="A40" s="68" t="s">
        <v>609</v>
      </c>
      <c r="B40" s="68" t="s">
        <v>608</v>
      </c>
      <c r="C40" s="74"/>
      <c r="D40" s="81"/>
      <c r="E40" s="80"/>
      <c r="I40" s="79">
        <f t="shared" si="0"/>
        <v>0</v>
      </c>
      <c r="J40" s="78" t="s">
        <v>266</v>
      </c>
      <c r="K40" s="79">
        <f t="shared" si="1"/>
        <v>0</v>
      </c>
    </row>
    <row r="41" spans="1:13" ht="14.35" x14ac:dyDescent="0.5">
      <c r="A41" s="68" t="s">
        <v>886</v>
      </c>
      <c r="B41" s="100" t="s">
        <v>887</v>
      </c>
      <c r="C41" s="97"/>
      <c r="D41" s="81"/>
      <c r="E41" s="80"/>
      <c r="I41" s="79">
        <f t="shared" ref="I41" si="4">SUM(C41:H41)</f>
        <v>0</v>
      </c>
      <c r="J41" s="78" t="s">
        <v>266</v>
      </c>
      <c r="K41" s="79">
        <f t="shared" ref="K41" si="5">I41</f>
        <v>0</v>
      </c>
    </row>
    <row r="42" spans="1:13" ht="14.35" x14ac:dyDescent="0.5">
      <c r="A42" s="69"/>
      <c r="B42" s="68" t="s">
        <v>604</v>
      </c>
      <c r="C42" s="86"/>
      <c r="D42" s="101"/>
      <c r="E42" s="104"/>
      <c r="F42" s="79"/>
      <c r="G42" s="79"/>
      <c r="H42" s="79">
        <f>-D42</f>
        <v>0</v>
      </c>
      <c r="I42" s="79">
        <f t="shared" si="0"/>
        <v>0</v>
      </c>
      <c r="J42" s="79" t="s">
        <v>266</v>
      </c>
      <c r="K42" s="79">
        <f t="shared" si="1"/>
        <v>0</v>
      </c>
    </row>
    <row r="43" spans="1:13" ht="14.35" x14ac:dyDescent="0.5">
      <c r="A43" s="68" t="s">
        <v>325</v>
      </c>
      <c r="B43" s="68" t="s">
        <v>23</v>
      </c>
      <c r="C43" s="74"/>
      <c r="E43" s="80"/>
      <c r="I43" s="79">
        <f t="shared" si="0"/>
        <v>0</v>
      </c>
      <c r="J43" s="78" t="s">
        <v>266</v>
      </c>
      <c r="K43" s="79">
        <f t="shared" si="1"/>
        <v>0</v>
      </c>
    </row>
    <row r="44" spans="1:13" ht="14.35" x14ac:dyDescent="0.5">
      <c r="A44" s="68" t="s">
        <v>326</v>
      </c>
      <c r="B44" s="68" t="s">
        <v>24</v>
      </c>
      <c r="C44" s="74"/>
      <c r="D44" s="81"/>
      <c r="E44" s="80"/>
      <c r="H44" s="78">
        <f>-H42</f>
        <v>0</v>
      </c>
      <c r="I44" s="79">
        <f t="shared" si="0"/>
        <v>0</v>
      </c>
      <c r="J44" s="78" t="s">
        <v>266</v>
      </c>
      <c r="K44" s="79">
        <f t="shared" si="1"/>
        <v>0</v>
      </c>
    </row>
    <row r="45" spans="1:13" ht="14.35" x14ac:dyDescent="0.5">
      <c r="A45" s="68" t="s">
        <v>327</v>
      </c>
      <c r="B45" s="68" t="s">
        <v>25</v>
      </c>
      <c r="C45" s="74"/>
      <c r="D45" s="81"/>
      <c r="E45" s="80"/>
      <c r="I45" s="79">
        <f t="shared" si="0"/>
        <v>0</v>
      </c>
      <c r="J45" s="78" t="s">
        <v>266</v>
      </c>
      <c r="K45" s="79">
        <f t="shared" si="1"/>
        <v>0</v>
      </c>
    </row>
    <row r="46" spans="1:13" ht="14.35" x14ac:dyDescent="0.5">
      <c r="A46" s="68" t="s">
        <v>328</v>
      </c>
      <c r="B46" s="68" t="s">
        <v>26</v>
      </c>
      <c r="C46" s="74"/>
      <c r="E46" s="80"/>
      <c r="I46" s="79">
        <f t="shared" si="0"/>
        <v>0</v>
      </c>
      <c r="J46" s="78" t="s">
        <v>266</v>
      </c>
      <c r="K46" s="79">
        <f t="shared" si="1"/>
        <v>0</v>
      </c>
    </row>
    <row r="47" spans="1:13" ht="14.35" x14ac:dyDescent="0.5">
      <c r="A47" s="68" t="s">
        <v>329</v>
      </c>
      <c r="B47" s="68" t="s">
        <v>27</v>
      </c>
      <c r="C47" s="74"/>
      <c r="E47" s="80"/>
      <c r="I47" s="79">
        <f t="shared" si="0"/>
        <v>0</v>
      </c>
      <c r="J47" s="78" t="s">
        <v>266</v>
      </c>
      <c r="K47" s="79">
        <f t="shared" si="1"/>
        <v>0</v>
      </c>
    </row>
    <row r="48" spans="1:13" ht="14.35" x14ac:dyDescent="0.5">
      <c r="A48" s="100" t="s">
        <v>888</v>
      </c>
      <c r="B48" s="100" t="s">
        <v>889</v>
      </c>
      <c r="C48" s="97"/>
      <c r="E48" s="80"/>
      <c r="I48" s="79">
        <f t="shared" ref="I48" si="6">SUM(C48:H48)</f>
        <v>0</v>
      </c>
      <c r="J48" s="78" t="s">
        <v>266</v>
      </c>
      <c r="K48" s="79">
        <f t="shared" ref="K48" si="7">I48</f>
        <v>0</v>
      </c>
    </row>
    <row r="49" spans="1:15" ht="14.35" x14ac:dyDescent="0.5">
      <c r="A49" s="68" t="s">
        <v>330</v>
      </c>
      <c r="B49" s="68" t="s">
        <v>28</v>
      </c>
      <c r="C49" s="74"/>
      <c r="E49" s="80"/>
      <c r="I49" s="79">
        <f t="shared" si="0"/>
        <v>0</v>
      </c>
      <c r="J49" s="78" t="s">
        <v>266</v>
      </c>
      <c r="K49" s="79">
        <f t="shared" si="1"/>
        <v>0</v>
      </c>
    </row>
    <row r="50" spans="1:15" ht="14.35" x14ac:dyDescent="0.5">
      <c r="A50" s="68" t="s">
        <v>331</v>
      </c>
      <c r="B50" s="68" t="s">
        <v>29</v>
      </c>
      <c r="C50" s="74"/>
      <c r="E50" s="80"/>
      <c r="I50" s="79">
        <f t="shared" si="0"/>
        <v>0</v>
      </c>
      <c r="J50" s="78" t="s">
        <v>266</v>
      </c>
      <c r="K50" s="79">
        <f t="shared" si="1"/>
        <v>0</v>
      </c>
    </row>
    <row r="51" spans="1:15" ht="14.35" x14ac:dyDescent="0.5">
      <c r="A51" s="68" t="s">
        <v>332</v>
      </c>
      <c r="B51" s="68" t="s">
        <v>30</v>
      </c>
      <c r="C51" s="74"/>
      <c r="D51" s="81"/>
      <c r="E51" s="80"/>
      <c r="I51" s="79">
        <f t="shared" si="0"/>
        <v>0</v>
      </c>
      <c r="J51" s="78" t="s">
        <v>266</v>
      </c>
      <c r="K51" s="79">
        <f t="shared" si="1"/>
        <v>0</v>
      </c>
    </row>
    <row r="52" spans="1:15" s="78" customFormat="1" ht="14.35" x14ac:dyDescent="0.5">
      <c r="A52" s="68" t="s">
        <v>333</v>
      </c>
      <c r="B52" s="68" t="s">
        <v>31</v>
      </c>
      <c r="C52" s="90"/>
      <c r="D52" s="81"/>
      <c r="E52" s="80"/>
      <c r="I52" s="79">
        <f t="shared" si="0"/>
        <v>0</v>
      </c>
      <c r="J52" s="78" t="s">
        <v>266</v>
      </c>
      <c r="K52" s="79">
        <f t="shared" si="1"/>
        <v>0</v>
      </c>
      <c r="M52" s="76"/>
      <c r="N52" s="76"/>
      <c r="O52" s="76"/>
    </row>
    <row r="53" spans="1:15" ht="14.35" x14ac:dyDescent="0.5">
      <c r="A53" s="68" t="s">
        <v>334</v>
      </c>
      <c r="B53" s="68" t="s">
        <v>32</v>
      </c>
      <c r="C53" s="90"/>
      <c r="D53" s="81"/>
      <c r="E53" s="80"/>
      <c r="I53" s="79">
        <f t="shared" si="0"/>
        <v>0</v>
      </c>
      <c r="J53" s="78" t="s">
        <v>266</v>
      </c>
      <c r="K53" s="79">
        <f t="shared" si="1"/>
        <v>0</v>
      </c>
      <c r="O53" s="78"/>
    </row>
    <row r="54" spans="1:15" ht="14.35" x14ac:dyDescent="0.5">
      <c r="A54" s="68" t="s">
        <v>883</v>
      </c>
      <c r="B54" s="68" t="s">
        <v>884</v>
      </c>
      <c r="C54" s="90"/>
      <c r="D54" s="81"/>
      <c r="E54" s="80"/>
      <c r="I54" s="79">
        <f t="shared" si="0"/>
        <v>0</v>
      </c>
      <c r="J54" s="78" t="s">
        <v>266</v>
      </c>
      <c r="K54" s="79">
        <f t="shared" si="1"/>
        <v>0</v>
      </c>
    </row>
    <row r="55" spans="1:15" ht="14.35" x14ac:dyDescent="0.5">
      <c r="A55" s="68" t="s">
        <v>335</v>
      </c>
      <c r="B55" s="68" t="s">
        <v>33</v>
      </c>
      <c r="C55" s="90"/>
      <c r="E55" s="80"/>
      <c r="I55" s="79">
        <f t="shared" si="0"/>
        <v>0</v>
      </c>
      <c r="J55" s="78" t="s">
        <v>266</v>
      </c>
      <c r="K55" s="79">
        <f t="shared" si="1"/>
        <v>0</v>
      </c>
    </row>
    <row r="56" spans="1:15" ht="14.35" x14ac:dyDescent="0.5">
      <c r="A56" s="68" t="s">
        <v>336</v>
      </c>
      <c r="B56" s="68" t="s">
        <v>34</v>
      </c>
      <c r="C56" s="90"/>
      <c r="E56" s="80"/>
      <c r="I56" s="79">
        <f t="shared" si="0"/>
        <v>0</v>
      </c>
      <c r="J56" s="78" t="s">
        <v>269</v>
      </c>
      <c r="K56" s="79">
        <f t="shared" si="1"/>
        <v>0</v>
      </c>
    </row>
    <row r="57" spans="1:15" ht="14.35" x14ac:dyDescent="0.5">
      <c r="A57" s="68" t="s">
        <v>337</v>
      </c>
      <c r="B57" s="68" t="s">
        <v>35</v>
      </c>
      <c r="C57" s="74"/>
      <c r="D57" s="81"/>
      <c r="E57" s="80"/>
      <c r="I57" s="79">
        <f t="shared" si="0"/>
        <v>0</v>
      </c>
      <c r="J57" s="78" t="s">
        <v>266</v>
      </c>
      <c r="K57" s="79">
        <f t="shared" si="1"/>
        <v>0</v>
      </c>
    </row>
    <row r="58" spans="1:15" ht="14.35" x14ac:dyDescent="0.5">
      <c r="A58" s="69" t="s">
        <v>768</v>
      </c>
      <c r="B58" s="68" t="s">
        <v>36</v>
      </c>
      <c r="C58" s="74"/>
      <c r="D58" s="81"/>
      <c r="I58" s="79">
        <f t="shared" si="0"/>
        <v>0</v>
      </c>
      <c r="J58" s="78" t="s">
        <v>266</v>
      </c>
      <c r="K58" s="79">
        <f t="shared" si="1"/>
        <v>0</v>
      </c>
    </row>
    <row r="59" spans="1:15" ht="14.35" x14ac:dyDescent="0.5">
      <c r="A59" s="68" t="s">
        <v>354</v>
      </c>
      <c r="B59" s="68" t="s">
        <v>55</v>
      </c>
      <c r="C59" s="74"/>
      <c r="E59" s="80"/>
      <c r="I59" s="79">
        <f t="shared" si="0"/>
        <v>0</v>
      </c>
      <c r="J59" s="78" t="s">
        <v>266</v>
      </c>
      <c r="K59" s="79">
        <f t="shared" si="1"/>
        <v>0</v>
      </c>
    </row>
    <row r="60" spans="1:15" ht="14.35" x14ac:dyDescent="0.5">
      <c r="A60" s="68" t="s">
        <v>338</v>
      </c>
      <c r="B60" s="68" t="s">
        <v>37</v>
      </c>
      <c r="C60" s="74"/>
      <c r="D60" s="81"/>
      <c r="E60" s="80"/>
      <c r="I60" s="79">
        <f t="shared" si="0"/>
        <v>0</v>
      </c>
      <c r="J60" s="78" t="s">
        <v>266</v>
      </c>
      <c r="K60" s="79">
        <f t="shared" si="1"/>
        <v>0</v>
      </c>
    </row>
    <row r="61" spans="1:15" ht="14.35" x14ac:dyDescent="0.5">
      <c r="A61" s="68" t="s">
        <v>339</v>
      </c>
      <c r="B61" s="68" t="s">
        <v>38</v>
      </c>
      <c r="C61" s="74"/>
      <c r="E61" s="80"/>
      <c r="I61" s="79">
        <f t="shared" si="0"/>
        <v>0</v>
      </c>
      <c r="J61" s="78" t="s">
        <v>266</v>
      </c>
      <c r="K61" s="79">
        <f t="shared" si="1"/>
        <v>0</v>
      </c>
    </row>
    <row r="62" spans="1:15" ht="14.35" x14ac:dyDescent="0.5">
      <c r="A62" s="68" t="s">
        <v>340</v>
      </c>
      <c r="B62" s="68" t="s">
        <v>39</v>
      </c>
      <c r="C62" s="74"/>
      <c r="D62" s="81"/>
      <c r="E62" s="80"/>
      <c r="I62" s="79">
        <f t="shared" si="0"/>
        <v>0</v>
      </c>
      <c r="J62" s="78" t="s">
        <v>266</v>
      </c>
      <c r="K62" s="79">
        <f t="shared" si="1"/>
        <v>0</v>
      </c>
    </row>
    <row r="63" spans="1:15" ht="14.35" x14ac:dyDescent="0.5">
      <c r="A63" s="68" t="s">
        <v>341</v>
      </c>
      <c r="B63" s="68" t="s">
        <v>40</v>
      </c>
      <c r="C63" s="74"/>
      <c r="D63" s="81"/>
      <c r="E63" s="80"/>
      <c r="I63" s="79">
        <f t="shared" si="0"/>
        <v>0</v>
      </c>
      <c r="J63" s="78" t="s">
        <v>266</v>
      </c>
      <c r="K63" s="79">
        <f t="shared" si="1"/>
        <v>0</v>
      </c>
    </row>
    <row r="64" spans="1:15" ht="14.35" x14ac:dyDescent="0.5">
      <c r="A64" s="69"/>
      <c r="B64" s="68" t="s">
        <v>41</v>
      </c>
      <c r="C64" s="74"/>
      <c r="D64" s="81"/>
      <c r="I64" s="79">
        <f t="shared" si="0"/>
        <v>0</v>
      </c>
      <c r="J64" s="78" t="s">
        <v>266</v>
      </c>
      <c r="K64" s="79">
        <f t="shared" si="1"/>
        <v>0</v>
      </c>
    </row>
    <row r="65" spans="1:15" ht="14.35" x14ac:dyDescent="0.5">
      <c r="A65" s="100" t="s">
        <v>890</v>
      </c>
      <c r="B65" s="100" t="s">
        <v>891</v>
      </c>
      <c r="C65" s="97"/>
      <c r="D65" s="81"/>
      <c r="I65" s="79">
        <f t="shared" ref="I65" si="8">SUM(C65:H65)</f>
        <v>0</v>
      </c>
      <c r="J65" s="78" t="s">
        <v>266</v>
      </c>
      <c r="K65" s="79">
        <f t="shared" ref="K65" si="9">I65</f>
        <v>0</v>
      </c>
    </row>
    <row r="66" spans="1:15" s="78" customFormat="1" ht="14.35" x14ac:dyDescent="0.5">
      <c r="A66" s="68" t="s">
        <v>342</v>
      </c>
      <c r="B66" s="68" t="s">
        <v>42</v>
      </c>
      <c r="C66" s="74"/>
      <c r="D66" s="81"/>
      <c r="E66" s="80"/>
      <c r="I66" s="79">
        <f t="shared" si="0"/>
        <v>0</v>
      </c>
      <c r="J66" s="78" t="s">
        <v>266</v>
      </c>
      <c r="K66" s="79">
        <f t="shared" si="1"/>
        <v>0</v>
      </c>
      <c r="M66" s="76"/>
      <c r="N66" s="76"/>
      <c r="O66" s="76"/>
    </row>
    <row r="67" spans="1:15" s="78" customFormat="1" ht="14.35" x14ac:dyDescent="0.5">
      <c r="A67" s="68" t="s">
        <v>343</v>
      </c>
      <c r="B67" s="68" t="s">
        <v>43</v>
      </c>
      <c r="C67" s="74"/>
      <c r="D67" s="81"/>
      <c r="E67" s="80"/>
      <c r="I67" s="79">
        <f t="shared" si="0"/>
        <v>0</v>
      </c>
      <c r="J67" s="78" t="s">
        <v>266</v>
      </c>
      <c r="K67" s="79">
        <f t="shared" si="1"/>
        <v>0</v>
      </c>
      <c r="M67" s="76"/>
      <c r="N67" s="76"/>
    </row>
    <row r="68" spans="1:15" s="78" customFormat="1" ht="14.35" x14ac:dyDescent="0.5">
      <c r="A68" s="68" t="s">
        <v>344</v>
      </c>
      <c r="B68" s="68" t="s">
        <v>44</v>
      </c>
      <c r="C68" s="90"/>
      <c r="D68" s="89"/>
      <c r="E68" s="80"/>
      <c r="I68" s="79">
        <f t="shared" si="0"/>
        <v>0</v>
      </c>
      <c r="J68" s="78" t="s">
        <v>266</v>
      </c>
      <c r="K68" s="79">
        <f t="shared" si="1"/>
        <v>0</v>
      </c>
      <c r="M68" s="76"/>
      <c r="N68" s="76"/>
    </row>
    <row r="69" spans="1:15" s="78" customFormat="1" ht="14.35" x14ac:dyDescent="0.5">
      <c r="A69" s="68" t="s">
        <v>345</v>
      </c>
      <c r="B69" s="68" t="s">
        <v>45</v>
      </c>
      <c r="C69" s="90"/>
      <c r="D69" s="89"/>
      <c r="E69" s="80"/>
      <c r="I69" s="79">
        <f t="shared" si="0"/>
        <v>0</v>
      </c>
      <c r="J69" s="78" t="s">
        <v>266</v>
      </c>
      <c r="K69" s="79">
        <f t="shared" si="1"/>
        <v>0</v>
      </c>
      <c r="M69" s="76"/>
      <c r="N69" s="76"/>
    </row>
    <row r="70" spans="1:15" s="78" customFormat="1" ht="14.35" x14ac:dyDescent="0.5">
      <c r="A70" s="68" t="s">
        <v>885</v>
      </c>
      <c r="B70" s="100" t="s">
        <v>892</v>
      </c>
      <c r="C70" s="90"/>
      <c r="D70" s="89"/>
      <c r="E70" s="80"/>
      <c r="I70" s="79">
        <f t="shared" si="0"/>
        <v>0</v>
      </c>
      <c r="J70" s="78" t="s">
        <v>266</v>
      </c>
      <c r="K70" s="79">
        <f t="shared" si="1"/>
        <v>0</v>
      </c>
      <c r="M70" s="76"/>
      <c r="N70" s="76"/>
    </row>
    <row r="71" spans="1:15" s="78" customFormat="1" ht="14.35" x14ac:dyDescent="0.5">
      <c r="A71" s="68" t="s">
        <v>346</v>
      </c>
      <c r="B71" s="68" t="s">
        <v>46</v>
      </c>
      <c r="C71" s="90"/>
      <c r="D71" s="89"/>
      <c r="E71" s="80"/>
      <c r="I71" s="79">
        <f t="shared" si="0"/>
        <v>0</v>
      </c>
      <c r="J71" s="78" t="s">
        <v>266</v>
      </c>
      <c r="K71" s="79">
        <f t="shared" si="1"/>
        <v>0</v>
      </c>
      <c r="M71" s="76"/>
      <c r="N71" s="76"/>
    </row>
    <row r="72" spans="1:15" s="78" customFormat="1" ht="14.35" x14ac:dyDescent="0.5">
      <c r="A72" s="68" t="s">
        <v>347</v>
      </c>
      <c r="B72" s="68" t="s">
        <v>47</v>
      </c>
      <c r="C72" s="90"/>
      <c r="D72" s="89"/>
      <c r="E72" s="80"/>
      <c r="I72" s="79">
        <f t="shared" si="0"/>
        <v>0</v>
      </c>
      <c r="J72" s="78" t="s">
        <v>266</v>
      </c>
      <c r="K72" s="79">
        <f t="shared" si="1"/>
        <v>0</v>
      </c>
      <c r="M72" s="76"/>
      <c r="N72" s="76"/>
    </row>
    <row r="73" spans="1:15" s="78" customFormat="1" ht="14.35" x14ac:dyDescent="0.5">
      <c r="A73" s="68" t="s">
        <v>348</v>
      </c>
      <c r="B73" s="68" t="s">
        <v>48</v>
      </c>
      <c r="C73" s="90"/>
      <c r="D73" s="81"/>
      <c r="E73" s="80"/>
      <c r="I73" s="79">
        <f t="shared" si="0"/>
        <v>0</v>
      </c>
      <c r="J73" s="78" t="s">
        <v>266</v>
      </c>
      <c r="K73" s="79">
        <f t="shared" si="1"/>
        <v>0</v>
      </c>
      <c r="M73" s="76"/>
      <c r="N73" s="76"/>
    </row>
    <row r="74" spans="1:15" s="78" customFormat="1" ht="14.35" x14ac:dyDescent="0.5">
      <c r="A74" s="68" t="s">
        <v>349</v>
      </c>
      <c r="B74" s="68" t="s">
        <v>49</v>
      </c>
      <c r="C74" s="90"/>
      <c r="D74" s="101"/>
      <c r="E74" s="80"/>
      <c r="I74" s="79">
        <f t="shared" si="0"/>
        <v>0</v>
      </c>
      <c r="J74" s="78" t="s">
        <v>266</v>
      </c>
      <c r="K74" s="79">
        <f t="shared" si="1"/>
        <v>0</v>
      </c>
      <c r="M74" s="76"/>
      <c r="N74" s="76"/>
    </row>
    <row r="75" spans="1:15" s="78" customFormat="1" ht="14.35" x14ac:dyDescent="0.5">
      <c r="A75" s="68" t="s">
        <v>350</v>
      </c>
      <c r="B75" s="68" t="s">
        <v>50</v>
      </c>
      <c r="C75" s="74"/>
      <c r="D75" s="89"/>
      <c r="E75" s="80"/>
      <c r="I75" s="79">
        <f t="shared" si="0"/>
        <v>0</v>
      </c>
      <c r="J75" s="78" t="s">
        <v>269</v>
      </c>
      <c r="K75" s="79">
        <f t="shared" si="1"/>
        <v>0</v>
      </c>
      <c r="M75" s="76"/>
      <c r="N75" s="76"/>
    </row>
    <row r="76" spans="1:15" s="78" customFormat="1" ht="14.35" x14ac:dyDescent="0.5">
      <c r="A76" s="68" t="s">
        <v>612</v>
      </c>
      <c r="B76" s="68" t="s">
        <v>613</v>
      </c>
      <c r="C76" s="74"/>
      <c r="D76" s="101"/>
      <c r="E76" s="80"/>
      <c r="I76" s="79">
        <f t="shared" si="0"/>
        <v>0</v>
      </c>
      <c r="J76" s="78" t="s">
        <v>266</v>
      </c>
      <c r="K76" s="79">
        <f t="shared" si="1"/>
        <v>0</v>
      </c>
      <c r="M76" s="76"/>
      <c r="N76" s="76"/>
    </row>
    <row r="77" spans="1:15" s="78" customFormat="1" ht="14.35" x14ac:dyDescent="0.5">
      <c r="A77" s="68" t="s">
        <v>351</v>
      </c>
      <c r="B77" s="68" t="s">
        <v>51</v>
      </c>
      <c r="C77" s="74"/>
      <c r="D77" s="81"/>
      <c r="E77" s="80"/>
      <c r="I77" s="79">
        <f t="shared" si="0"/>
        <v>0</v>
      </c>
      <c r="J77" s="78" t="s">
        <v>266</v>
      </c>
      <c r="K77" s="79">
        <f t="shared" si="1"/>
        <v>0</v>
      </c>
      <c r="M77" s="76"/>
      <c r="N77" s="76"/>
    </row>
    <row r="78" spans="1:15" s="78" customFormat="1" ht="14.35" x14ac:dyDescent="0.5">
      <c r="A78" s="68" t="s">
        <v>352</v>
      </c>
      <c r="B78" s="68" t="s">
        <v>53</v>
      </c>
      <c r="C78" s="74"/>
      <c r="D78" s="81"/>
      <c r="E78" s="80"/>
      <c r="G78" s="78">
        <f>-C78</f>
        <v>0</v>
      </c>
      <c r="I78" s="79">
        <f t="shared" si="0"/>
        <v>0</v>
      </c>
      <c r="J78" s="78" t="s">
        <v>267</v>
      </c>
      <c r="K78" s="79">
        <f t="shared" si="1"/>
        <v>0</v>
      </c>
      <c r="M78" s="76"/>
      <c r="N78" s="76"/>
    </row>
    <row r="79" spans="1:15" s="78" customFormat="1" ht="14.35" x14ac:dyDescent="0.5">
      <c r="A79" s="68" t="s">
        <v>353</v>
      </c>
      <c r="B79" s="68" t="s">
        <v>54</v>
      </c>
      <c r="C79" s="74"/>
      <c r="D79" s="81"/>
      <c r="E79" s="80"/>
      <c r="G79" s="78">
        <f>-C79</f>
        <v>0</v>
      </c>
      <c r="I79" s="79">
        <f t="shared" si="0"/>
        <v>0</v>
      </c>
      <c r="J79" s="78" t="s">
        <v>267</v>
      </c>
      <c r="K79" s="79">
        <f t="shared" si="1"/>
        <v>0</v>
      </c>
      <c r="M79" s="76"/>
      <c r="N79" s="76"/>
    </row>
    <row r="80" spans="1:15" s="78" customFormat="1" ht="14.35" x14ac:dyDescent="0.5">
      <c r="A80" s="68" t="s">
        <v>355</v>
      </c>
      <c r="B80" s="68" t="s">
        <v>56</v>
      </c>
      <c r="C80" s="74"/>
      <c r="D80" s="81"/>
      <c r="E80" s="80"/>
      <c r="I80" s="79">
        <f t="shared" ref="I80:I124" si="10">SUM(C80:H80)</f>
        <v>0</v>
      </c>
      <c r="J80" s="78" t="s">
        <v>271</v>
      </c>
      <c r="K80" s="79">
        <f t="shared" ref="K80:K143" si="11">I80</f>
        <v>0</v>
      </c>
      <c r="M80" s="76"/>
      <c r="N80" s="76"/>
    </row>
    <row r="81" spans="1:14" s="78" customFormat="1" ht="14.35" x14ac:dyDescent="0.5">
      <c r="A81" s="68" t="s">
        <v>356</v>
      </c>
      <c r="B81" s="68" t="s">
        <v>57</v>
      </c>
      <c r="C81" s="74"/>
      <c r="D81" s="81"/>
      <c r="E81" s="80"/>
      <c r="I81" s="79">
        <f t="shared" si="10"/>
        <v>0</v>
      </c>
      <c r="J81" s="78" t="s">
        <v>268</v>
      </c>
      <c r="K81" s="79">
        <f t="shared" si="11"/>
        <v>0</v>
      </c>
      <c r="M81" s="76"/>
      <c r="N81" s="76"/>
    </row>
    <row r="82" spans="1:14" s="78" customFormat="1" ht="14.35" x14ac:dyDescent="0.5">
      <c r="A82" s="68" t="s">
        <v>357</v>
      </c>
      <c r="B82" s="68" t="s">
        <v>58</v>
      </c>
      <c r="C82" s="74"/>
      <c r="D82" s="89"/>
      <c r="E82" s="80"/>
      <c r="I82" s="79">
        <f t="shared" si="10"/>
        <v>0</v>
      </c>
      <c r="J82" s="78" t="s">
        <v>270</v>
      </c>
      <c r="K82" s="79">
        <f t="shared" si="11"/>
        <v>0</v>
      </c>
      <c r="M82" s="76"/>
      <c r="N82" s="76"/>
    </row>
    <row r="83" spans="1:14" s="78" customFormat="1" ht="14.35" x14ac:dyDescent="0.5">
      <c r="A83" s="68" t="s">
        <v>358</v>
      </c>
      <c r="B83" s="68" t="s">
        <v>59</v>
      </c>
      <c r="C83" s="74"/>
      <c r="D83" s="81"/>
      <c r="E83" s="80"/>
      <c r="I83" s="79">
        <f t="shared" si="10"/>
        <v>0</v>
      </c>
      <c r="J83" s="78" t="s">
        <v>270</v>
      </c>
      <c r="K83" s="79">
        <f t="shared" si="11"/>
        <v>0</v>
      </c>
      <c r="M83" s="76"/>
      <c r="N83" s="76"/>
    </row>
    <row r="84" spans="1:14" s="78" customFormat="1" ht="14.35" x14ac:dyDescent="0.5">
      <c r="A84" s="68" t="s">
        <v>359</v>
      </c>
      <c r="B84" s="68" t="s">
        <v>60</v>
      </c>
      <c r="C84" s="74"/>
      <c r="D84" s="81"/>
      <c r="E84" s="80"/>
      <c r="I84" s="79">
        <f t="shared" si="10"/>
        <v>0</v>
      </c>
      <c r="J84" s="78" t="s">
        <v>274</v>
      </c>
      <c r="K84" s="79">
        <f t="shared" si="11"/>
        <v>0</v>
      </c>
      <c r="M84" s="76"/>
      <c r="N84" s="76"/>
    </row>
    <row r="85" spans="1:14" s="78" customFormat="1" ht="14.35" x14ac:dyDescent="0.5">
      <c r="A85" s="68" t="s">
        <v>360</v>
      </c>
      <c r="B85" s="68" t="s">
        <v>61</v>
      </c>
      <c r="C85" s="74"/>
      <c r="D85" s="81"/>
      <c r="E85" s="80"/>
      <c r="I85" s="79">
        <f t="shared" si="10"/>
        <v>0</v>
      </c>
      <c r="J85" s="78" t="s">
        <v>274</v>
      </c>
      <c r="K85" s="79">
        <f t="shared" si="11"/>
        <v>0</v>
      </c>
      <c r="M85" s="76"/>
      <c r="N85" s="76"/>
    </row>
    <row r="86" spans="1:14" s="78" customFormat="1" ht="14.35" x14ac:dyDescent="0.5">
      <c r="A86" s="68" t="s">
        <v>361</v>
      </c>
      <c r="B86" s="68" t="s">
        <v>62</v>
      </c>
      <c r="C86" s="74"/>
      <c r="D86" s="81"/>
      <c r="E86" s="80"/>
      <c r="F86" s="78">
        <f>-C86</f>
        <v>0</v>
      </c>
      <c r="I86" s="79">
        <f t="shared" si="10"/>
        <v>0</v>
      </c>
      <c r="J86" s="78" t="s">
        <v>267</v>
      </c>
      <c r="K86" s="79">
        <f t="shared" si="11"/>
        <v>0</v>
      </c>
      <c r="M86" s="76"/>
      <c r="N86" s="76"/>
    </row>
    <row r="87" spans="1:14" s="78" customFormat="1" ht="14.35" x14ac:dyDescent="0.5">
      <c r="A87" s="68" t="s">
        <v>362</v>
      </c>
      <c r="B87" s="68" t="s">
        <v>63</v>
      </c>
      <c r="C87" s="74"/>
      <c r="D87" s="81"/>
      <c r="E87" s="80"/>
      <c r="F87" s="78">
        <f>-C87</f>
        <v>0</v>
      </c>
      <c r="I87" s="79">
        <f t="shared" si="10"/>
        <v>0</v>
      </c>
      <c r="J87" s="78" t="s">
        <v>267</v>
      </c>
      <c r="K87" s="79">
        <f t="shared" si="11"/>
        <v>0</v>
      </c>
      <c r="M87" s="76"/>
      <c r="N87" s="76"/>
    </row>
    <row r="88" spans="1:14" s="78" customFormat="1" ht="14.35" x14ac:dyDescent="0.5">
      <c r="A88" s="68" t="s">
        <v>363</v>
      </c>
      <c r="B88" s="68" t="s">
        <v>64</v>
      </c>
      <c r="C88" s="122"/>
      <c r="D88" s="89"/>
      <c r="E88" s="80"/>
      <c r="I88" s="79">
        <f t="shared" si="10"/>
        <v>0</v>
      </c>
      <c r="J88" s="78" t="s">
        <v>859</v>
      </c>
      <c r="K88" s="79">
        <f t="shared" si="11"/>
        <v>0</v>
      </c>
      <c r="M88" s="76"/>
      <c r="N88" s="76"/>
    </row>
    <row r="89" spans="1:14" s="78" customFormat="1" x14ac:dyDescent="0.4">
      <c r="A89" s="68" t="s">
        <v>364</v>
      </c>
      <c r="B89" s="68" t="s">
        <v>65</v>
      </c>
      <c r="C89" s="122"/>
      <c r="D89" s="89"/>
      <c r="F89" s="76"/>
      <c r="I89" s="79">
        <f t="shared" si="10"/>
        <v>0</v>
      </c>
      <c r="J89" s="78" t="s">
        <v>860</v>
      </c>
      <c r="K89" s="79">
        <f t="shared" si="11"/>
        <v>0</v>
      </c>
      <c r="M89" s="76"/>
      <c r="N89" s="76"/>
    </row>
    <row r="90" spans="1:14" s="78" customFormat="1" ht="14.35" x14ac:dyDescent="0.5">
      <c r="A90" s="68" t="s">
        <v>365</v>
      </c>
      <c r="B90" s="68" t="s">
        <v>262</v>
      </c>
      <c r="C90" s="122"/>
      <c r="D90" s="81"/>
      <c r="E90" s="80"/>
      <c r="I90" s="79">
        <f t="shared" si="10"/>
        <v>0</v>
      </c>
      <c r="J90" s="78" t="s">
        <v>860</v>
      </c>
      <c r="K90" s="79">
        <f t="shared" si="11"/>
        <v>0</v>
      </c>
      <c r="M90" s="76"/>
      <c r="N90" s="76"/>
    </row>
    <row r="91" spans="1:14" s="78" customFormat="1" ht="14.35" x14ac:dyDescent="0.5">
      <c r="A91" s="68" t="s">
        <v>366</v>
      </c>
      <c r="B91" s="68" t="s">
        <v>66</v>
      </c>
      <c r="C91" s="122"/>
      <c r="D91" s="81"/>
      <c r="E91" s="80"/>
      <c r="I91" s="79">
        <f t="shared" si="10"/>
        <v>0</v>
      </c>
      <c r="J91" s="78" t="s">
        <v>860</v>
      </c>
      <c r="K91" s="79">
        <f t="shared" si="11"/>
        <v>0</v>
      </c>
      <c r="M91" s="76"/>
      <c r="N91" s="76"/>
    </row>
    <row r="92" spans="1:14" s="78" customFormat="1" ht="14.35" x14ac:dyDescent="0.5">
      <c r="A92" s="68" t="s">
        <v>367</v>
      </c>
      <c r="B92" s="68" t="s">
        <v>67</v>
      </c>
      <c r="C92" s="122"/>
      <c r="D92" s="81"/>
      <c r="E92" s="80"/>
      <c r="I92" s="79">
        <f t="shared" si="10"/>
        <v>0</v>
      </c>
      <c r="J92" s="78" t="s">
        <v>860</v>
      </c>
      <c r="K92" s="79">
        <f t="shared" si="11"/>
        <v>0</v>
      </c>
      <c r="M92" s="76"/>
      <c r="N92" s="76"/>
    </row>
    <row r="93" spans="1:14" s="78" customFormat="1" ht="14.35" x14ac:dyDescent="0.5">
      <c r="A93" s="68" t="s">
        <v>368</v>
      </c>
      <c r="B93" s="68" t="s">
        <v>68</v>
      </c>
      <c r="C93" s="122"/>
      <c r="D93" s="81"/>
      <c r="E93" s="80"/>
      <c r="I93" s="79">
        <f t="shared" si="10"/>
        <v>0</v>
      </c>
      <c r="J93" s="78" t="s">
        <v>860</v>
      </c>
      <c r="K93" s="79">
        <f t="shared" si="11"/>
        <v>0</v>
      </c>
      <c r="M93" s="76"/>
      <c r="N93" s="76"/>
    </row>
    <row r="94" spans="1:14" s="78" customFormat="1" ht="14.35" x14ac:dyDescent="0.5">
      <c r="A94" s="69" t="s">
        <v>369</v>
      </c>
      <c r="B94" s="68" t="s">
        <v>69</v>
      </c>
      <c r="C94" s="122"/>
      <c r="D94" s="89"/>
      <c r="E94" s="80"/>
      <c r="I94" s="79">
        <f t="shared" si="10"/>
        <v>0</v>
      </c>
      <c r="J94" s="78" t="s">
        <v>860</v>
      </c>
      <c r="K94" s="79">
        <f t="shared" si="11"/>
        <v>0</v>
      </c>
      <c r="M94" s="76"/>
      <c r="N94" s="76"/>
    </row>
    <row r="95" spans="1:14" s="78" customFormat="1" ht="14.35" x14ac:dyDescent="0.5">
      <c r="A95" s="68" t="s">
        <v>370</v>
      </c>
      <c r="B95" s="68" t="s">
        <v>70</v>
      </c>
      <c r="C95" s="122"/>
      <c r="D95" s="81"/>
      <c r="E95" s="80"/>
      <c r="I95" s="79">
        <f t="shared" si="10"/>
        <v>0</v>
      </c>
      <c r="J95" s="78" t="s">
        <v>273</v>
      </c>
      <c r="K95" s="79">
        <f t="shared" si="11"/>
        <v>0</v>
      </c>
      <c r="M95" s="76"/>
      <c r="N95" s="76"/>
    </row>
    <row r="96" spans="1:14" s="78" customFormat="1" ht="14.35" x14ac:dyDescent="0.5">
      <c r="A96" s="68" t="s">
        <v>371</v>
      </c>
      <c r="B96" s="68" t="s">
        <v>71</v>
      </c>
      <c r="C96" s="122"/>
      <c r="D96" s="81"/>
      <c r="E96" s="80"/>
      <c r="I96" s="79">
        <f t="shared" si="10"/>
        <v>0</v>
      </c>
      <c r="J96" s="78" t="s">
        <v>273</v>
      </c>
      <c r="K96" s="79">
        <f t="shared" si="11"/>
        <v>0</v>
      </c>
      <c r="M96" s="76"/>
      <c r="N96" s="76"/>
    </row>
    <row r="97" spans="1:14" s="78" customFormat="1" ht="14.35" x14ac:dyDescent="0.5">
      <c r="A97" s="68" t="s">
        <v>372</v>
      </c>
      <c r="B97" s="68" t="s">
        <v>72</v>
      </c>
      <c r="C97" s="122"/>
      <c r="D97" s="81"/>
      <c r="E97" s="80"/>
      <c r="I97" s="79">
        <f t="shared" si="10"/>
        <v>0</v>
      </c>
      <c r="J97" s="78" t="s">
        <v>273</v>
      </c>
      <c r="K97" s="79">
        <f t="shared" si="11"/>
        <v>0</v>
      </c>
      <c r="M97" s="76"/>
      <c r="N97" s="76"/>
    </row>
    <row r="98" spans="1:14" s="78" customFormat="1" ht="14.35" x14ac:dyDescent="0.5">
      <c r="A98" s="68" t="s">
        <v>373</v>
      </c>
      <c r="B98" s="68" t="s">
        <v>73</v>
      </c>
      <c r="C98" s="122"/>
      <c r="D98" s="81"/>
      <c r="E98" s="80"/>
      <c r="I98" s="79">
        <f t="shared" si="10"/>
        <v>0</v>
      </c>
      <c r="J98" s="78" t="s">
        <v>273</v>
      </c>
      <c r="K98" s="79">
        <f t="shared" si="11"/>
        <v>0</v>
      </c>
      <c r="M98" s="76"/>
      <c r="N98" s="76"/>
    </row>
    <row r="99" spans="1:14" s="78" customFormat="1" ht="14.35" x14ac:dyDescent="0.5">
      <c r="A99" s="68" t="s">
        <v>374</v>
      </c>
      <c r="B99" s="68" t="s">
        <v>74</v>
      </c>
      <c r="C99" s="122"/>
      <c r="D99" s="81"/>
      <c r="E99" s="80"/>
      <c r="I99" s="79">
        <f t="shared" si="10"/>
        <v>0</v>
      </c>
      <c r="J99" s="78" t="s">
        <v>273</v>
      </c>
      <c r="K99" s="79">
        <f t="shared" si="11"/>
        <v>0</v>
      </c>
      <c r="M99" s="76"/>
      <c r="N99" s="76"/>
    </row>
    <row r="100" spans="1:14" s="78" customFormat="1" ht="14.35" x14ac:dyDescent="0.5">
      <c r="A100" s="68" t="s">
        <v>375</v>
      </c>
      <c r="B100" s="68" t="s">
        <v>75</v>
      </c>
      <c r="C100" s="122"/>
      <c r="D100" s="81"/>
      <c r="E100" s="80"/>
      <c r="I100" s="79">
        <f t="shared" si="10"/>
        <v>0</v>
      </c>
      <c r="J100" s="78" t="s">
        <v>273</v>
      </c>
      <c r="K100" s="79">
        <f t="shared" si="11"/>
        <v>0</v>
      </c>
      <c r="M100" s="76"/>
      <c r="N100" s="76"/>
    </row>
    <row r="101" spans="1:14" s="78" customFormat="1" ht="14.35" x14ac:dyDescent="0.5">
      <c r="A101" s="68" t="s">
        <v>376</v>
      </c>
      <c r="B101" s="68" t="s">
        <v>76</v>
      </c>
      <c r="C101" s="122"/>
      <c r="D101" s="81"/>
      <c r="E101" s="80"/>
      <c r="I101" s="79">
        <f t="shared" si="10"/>
        <v>0</v>
      </c>
      <c r="J101" s="78" t="s">
        <v>273</v>
      </c>
      <c r="K101" s="79">
        <f t="shared" si="11"/>
        <v>0</v>
      </c>
      <c r="M101" s="76"/>
      <c r="N101" s="76"/>
    </row>
    <row r="102" spans="1:14" s="78" customFormat="1" ht="14.35" x14ac:dyDescent="0.5">
      <c r="A102" s="68" t="s">
        <v>378</v>
      </c>
      <c r="B102" s="68" t="s">
        <v>78</v>
      </c>
      <c r="C102" s="122"/>
      <c r="D102" s="81"/>
      <c r="E102" s="80"/>
      <c r="I102" s="79">
        <f t="shared" si="10"/>
        <v>0</v>
      </c>
      <c r="J102" s="78" t="s">
        <v>273</v>
      </c>
      <c r="K102" s="79">
        <f t="shared" si="11"/>
        <v>0</v>
      </c>
      <c r="M102" s="76"/>
      <c r="N102" s="76"/>
    </row>
    <row r="103" spans="1:14" s="78" customFormat="1" ht="14.35" x14ac:dyDescent="0.5">
      <c r="A103" s="68" t="s">
        <v>379</v>
      </c>
      <c r="B103" s="68" t="s">
        <v>79</v>
      </c>
      <c r="C103" s="122"/>
      <c r="D103" s="81"/>
      <c r="E103" s="80"/>
      <c r="I103" s="79">
        <f t="shared" si="10"/>
        <v>0</v>
      </c>
      <c r="J103" s="78" t="s">
        <v>273</v>
      </c>
      <c r="K103" s="79">
        <f t="shared" si="11"/>
        <v>0</v>
      </c>
      <c r="M103" s="76"/>
      <c r="N103" s="76"/>
    </row>
    <row r="104" spans="1:14" s="78" customFormat="1" ht="14.35" x14ac:dyDescent="0.5">
      <c r="A104" s="68" t="s">
        <v>380</v>
      </c>
      <c r="B104" s="68" t="s">
        <v>80</v>
      </c>
      <c r="C104" s="122"/>
      <c r="D104" s="81"/>
      <c r="E104" s="80"/>
      <c r="I104" s="79">
        <f t="shared" si="10"/>
        <v>0</v>
      </c>
      <c r="J104" s="78" t="s">
        <v>273</v>
      </c>
      <c r="K104" s="79">
        <f t="shared" si="11"/>
        <v>0</v>
      </c>
      <c r="M104" s="76"/>
      <c r="N104" s="76"/>
    </row>
    <row r="105" spans="1:14" s="78" customFormat="1" ht="14.35" x14ac:dyDescent="0.5">
      <c r="A105" s="68" t="s">
        <v>383</v>
      </c>
      <c r="B105" s="68" t="s">
        <v>83</v>
      </c>
      <c r="C105" s="122"/>
      <c r="D105" s="81"/>
      <c r="E105" s="80"/>
      <c r="I105" s="79">
        <f t="shared" si="10"/>
        <v>0</v>
      </c>
      <c r="J105" s="78" t="s">
        <v>273</v>
      </c>
      <c r="K105" s="79">
        <f t="shared" si="11"/>
        <v>0</v>
      </c>
      <c r="M105" s="76"/>
      <c r="N105" s="76"/>
    </row>
    <row r="106" spans="1:14" s="78" customFormat="1" ht="14.35" x14ac:dyDescent="0.5">
      <c r="A106" s="68" t="s">
        <v>385</v>
      </c>
      <c r="B106" s="68" t="s">
        <v>85</v>
      </c>
      <c r="C106" s="122"/>
      <c r="D106" s="81"/>
      <c r="E106" s="80"/>
      <c r="I106" s="79">
        <f t="shared" si="10"/>
        <v>0</v>
      </c>
      <c r="J106" s="78" t="s">
        <v>273</v>
      </c>
      <c r="K106" s="79">
        <f t="shared" si="11"/>
        <v>0</v>
      </c>
      <c r="M106" s="76"/>
      <c r="N106" s="76"/>
    </row>
    <row r="107" spans="1:14" s="78" customFormat="1" ht="14.35" x14ac:dyDescent="0.5">
      <c r="A107" s="68" t="s">
        <v>387</v>
      </c>
      <c r="B107" s="68" t="s">
        <v>87</v>
      </c>
      <c r="C107" s="122"/>
      <c r="D107" s="81"/>
      <c r="E107" s="80"/>
      <c r="I107" s="79">
        <f t="shared" si="10"/>
        <v>0</v>
      </c>
      <c r="J107" s="78" t="s">
        <v>273</v>
      </c>
      <c r="K107" s="79">
        <f t="shared" si="11"/>
        <v>0</v>
      </c>
      <c r="M107" s="76"/>
      <c r="N107" s="76"/>
    </row>
    <row r="108" spans="1:14" s="78" customFormat="1" ht="14.35" x14ac:dyDescent="0.5">
      <c r="A108" s="68" t="s">
        <v>390</v>
      </c>
      <c r="B108" s="68" t="s">
        <v>90</v>
      </c>
      <c r="C108" s="122"/>
      <c r="D108" s="81"/>
      <c r="E108" s="80"/>
      <c r="I108" s="79">
        <f t="shared" si="10"/>
        <v>0</v>
      </c>
      <c r="J108" s="78" t="s">
        <v>273</v>
      </c>
      <c r="K108" s="79">
        <f t="shared" si="11"/>
        <v>0</v>
      </c>
      <c r="M108" s="76"/>
      <c r="N108" s="76"/>
    </row>
    <row r="109" spans="1:14" s="78" customFormat="1" ht="14.35" x14ac:dyDescent="0.5">
      <c r="A109" s="68" t="s">
        <v>392</v>
      </c>
      <c r="B109" s="68" t="s">
        <v>92</v>
      </c>
      <c r="C109" s="122"/>
      <c r="D109" s="81"/>
      <c r="E109" s="80"/>
      <c r="I109" s="79">
        <f t="shared" si="10"/>
        <v>0</v>
      </c>
      <c r="J109" s="78" t="s">
        <v>273</v>
      </c>
      <c r="K109" s="79">
        <f t="shared" si="11"/>
        <v>0</v>
      </c>
      <c r="M109" s="76"/>
      <c r="N109" s="76"/>
    </row>
    <row r="110" spans="1:14" s="78" customFormat="1" ht="14.35" x14ac:dyDescent="0.5">
      <c r="A110" s="68" t="s">
        <v>393</v>
      </c>
      <c r="B110" s="68" t="s">
        <v>93</v>
      </c>
      <c r="C110" s="122"/>
      <c r="D110" s="81"/>
      <c r="E110" s="80"/>
      <c r="I110" s="79">
        <f t="shared" si="10"/>
        <v>0</v>
      </c>
      <c r="J110" s="78" t="s">
        <v>273</v>
      </c>
      <c r="K110" s="79">
        <f t="shared" si="11"/>
        <v>0</v>
      </c>
      <c r="M110" s="76"/>
      <c r="N110" s="76"/>
    </row>
    <row r="111" spans="1:14" s="78" customFormat="1" ht="14.35" x14ac:dyDescent="0.5">
      <c r="A111" s="68" t="s">
        <v>395</v>
      </c>
      <c r="B111" s="68" t="s">
        <v>95</v>
      </c>
      <c r="C111" s="122"/>
      <c r="D111" s="81"/>
      <c r="E111" s="80"/>
      <c r="I111" s="79">
        <f t="shared" si="10"/>
        <v>0</v>
      </c>
      <c r="J111" s="78" t="s">
        <v>859</v>
      </c>
      <c r="K111" s="79">
        <f t="shared" si="11"/>
        <v>0</v>
      </c>
      <c r="M111" s="76"/>
      <c r="N111" s="76"/>
    </row>
    <row r="112" spans="1:14" s="78" customFormat="1" ht="14.35" x14ac:dyDescent="0.5">
      <c r="A112" s="68" t="s">
        <v>396</v>
      </c>
      <c r="B112" s="68" t="s">
        <v>96</v>
      </c>
      <c r="C112" s="122"/>
      <c r="D112" s="81"/>
      <c r="E112" s="80"/>
      <c r="I112" s="79">
        <f t="shared" si="10"/>
        <v>0</v>
      </c>
      <c r="J112" s="78" t="s">
        <v>859</v>
      </c>
      <c r="K112" s="79">
        <f t="shared" si="11"/>
        <v>0</v>
      </c>
      <c r="M112" s="76"/>
      <c r="N112" s="76"/>
    </row>
    <row r="113" spans="1:14" s="78" customFormat="1" ht="14.35" x14ac:dyDescent="0.5">
      <c r="A113" s="68" t="s">
        <v>397</v>
      </c>
      <c r="B113" s="68" t="s">
        <v>97</v>
      </c>
      <c r="C113" s="122"/>
      <c r="D113" s="81"/>
      <c r="E113" s="80"/>
      <c r="I113" s="79">
        <f t="shared" si="10"/>
        <v>0</v>
      </c>
      <c r="J113" s="78" t="s">
        <v>859</v>
      </c>
      <c r="K113" s="79">
        <f t="shared" si="11"/>
        <v>0</v>
      </c>
      <c r="M113" s="76"/>
      <c r="N113" s="76"/>
    </row>
    <row r="114" spans="1:14" s="78" customFormat="1" ht="14.35" x14ac:dyDescent="0.5">
      <c r="A114" s="27" t="s">
        <v>629</v>
      </c>
      <c r="B114" s="100" t="s">
        <v>630</v>
      </c>
      <c r="C114" s="122"/>
      <c r="D114" s="81"/>
      <c r="E114" s="80"/>
      <c r="I114" s="79">
        <f t="shared" si="10"/>
        <v>0</v>
      </c>
      <c r="J114" s="78" t="s">
        <v>859</v>
      </c>
      <c r="K114" s="79">
        <f t="shared" si="11"/>
        <v>0</v>
      </c>
      <c r="M114" s="76"/>
      <c r="N114" s="76"/>
    </row>
    <row r="115" spans="1:14" s="78" customFormat="1" ht="14.35" x14ac:dyDescent="0.5">
      <c r="A115" s="68" t="s">
        <v>398</v>
      </c>
      <c r="B115" s="68" t="s">
        <v>98</v>
      </c>
      <c r="C115" s="122"/>
      <c r="D115" s="81"/>
      <c r="E115" s="80"/>
      <c r="I115" s="79">
        <f t="shared" si="10"/>
        <v>0</v>
      </c>
      <c r="J115" s="78" t="s">
        <v>859</v>
      </c>
      <c r="K115" s="79">
        <f t="shared" si="11"/>
        <v>0</v>
      </c>
      <c r="M115" s="76"/>
      <c r="N115" s="76"/>
    </row>
    <row r="116" spans="1:14" s="78" customFormat="1" ht="14.35" x14ac:dyDescent="0.5">
      <c r="A116" s="68" t="s">
        <v>399</v>
      </c>
      <c r="B116" s="68" t="s">
        <v>99</v>
      </c>
      <c r="C116" s="122"/>
      <c r="D116" s="81"/>
      <c r="E116" s="80"/>
      <c r="I116" s="79">
        <f t="shared" si="10"/>
        <v>0</v>
      </c>
      <c r="J116" s="78" t="s">
        <v>859</v>
      </c>
      <c r="K116" s="79">
        <f t="shared" si="11"/>
        <v>0</v>
      </c>
      <c r="M116" s="76"/>
      <c r="N116" s="76"/>
    </row>
    <row r="117" spans="1:14" s="78" customFormat="1" ht="14.35" x14ac:dyDescent="0.5">
      <c r="A117" s="68" t="s">
        <v>400</v>
      </c>
      <c r="B117" s="68" t="s">
        <v>100</v>
      </c>
      <c r="C117" s="122"/>
      <c r="D117" s="81"/>
      <c r="E117" s="80"/>
      <c r="I117" s="79">
        <f t="shared" si="10"/>
        <v>0</v>
      </c>
      <c r="J117" s="78" t="s">
        <v>859</v>
      </c>
      <c r="K117" s="79">
        <f t="shared" si="11"/>
        <v>0</v>
      </c>
      <c r="M117" s="76"/>
      <c r="N117" s="76"/>
    </row>
    <row r="118" spans="1:14" s="78" customFormat="1" ht="14.35" x14ac:dyDescent="0.5">
      <c r="A118" s="68" t="s">
        <v>401</v>
      </c>
      <c r="B118" s="68" t="s">
        <v>101</v>
      </c>
      <c r="C118" s="122"/>
      <c r="D118" s="89"/>
      <c r="E118" s="80"/>
      <c r="I118" s="79">
        <f t="shared" si="10"/>
        <v>0</v>
      </c>
      <c r="J118" s="78" t="s">
        <v>859</v>
      </c>
      <c r="K118" s="79">
        <f t="shared" si="11"/>
        <v>0</v>
      </c>
      <c r="M118" s="76"/>
      <c r="N118" s="76"/>
    </row>
    <row r="119" spans="1:14" s="78" customFormat="1" ht="14.35" x14ac:dyDescent="0.5">
      <c r="A119" s="68" t="s">
        <v>402</v>
      </c>
      <c r="B119" s="68" t="s">
        <v>102</v>
      </c>
      <c r="C119" s="122"/>
      <c r="D119" s="81"/>
      <c r="E119" s="80"/>
      <c r="I119" s="79">
        <f t="shared" si="10"/>
        <v>0</v>
      </c>
      <c r="J119" s="78" t="s">
        <v>859</v>
      </c>
      <c r="K119" s="79">
        <f t="shared" si="11"/>
        <v>0</v>
      </c>
      <c r="M119" s="76"/>
      <c r="N119" s="76"/>
    </row>
    <row r="120" spans="1:14" s="78" customFormat="1" ht="14.35" x14ac:dyDescent="0.5">
      <c r="A120" s="68" t="s">
        <v>403</v>
      </c>
      <c r="B120" s="68" t="s">
        <v>103</v>
      </c>
      <c r="C120" s="122"/>
      <c r="D120" s="89"/>
      <c r="E120" s="80"/>
      <c r="I120" s="79">
        <f t="shared" si="10"/>
        <v>0</v>
      </c>
      <c r="J120" s="78" t="s">
        <v>859</v>
      </c>
      <c r="K120" s="79">
        <f t="shared" si="11"/>
        <v>0</v>
      </c>
      <c r="M120" s="76"/>
      <c r="N120" s="76"/>
    </row>
    <row r="121" spans="1:14" s="78" customFormat="1" ht="14.35" x14ac:dyDescent="0.5">
      <c r="A121" s="68" t="s">
        <v>406</v>
      </c>
      <c r="B121" s="68" t="s">
        <v>106</v>
      </c>
      <c r="C121" s="122"/>
      <c r="D121" s="81"/>
      <c r="E121" s="80"/>
      <c r="I121" s="79">
        <f t="shared" si="10"/>
        <v>0</v>
      </c>
      <c r="J121" s="78" t="s">
        <v>273</v>
      </c>
      <c r="K121" s="79">
        <f t="shared" si="11"/>
        <v>0</v>
      </c>
      <c r="M121" s="76"/>
      <c r="N121" s="76"/>
    </row>
    <row r="122" spans="1:14" s="78" customFormat="1" ht="14.35" x14ac:dyDescent="0.5">
      <c r="A122" s="68" t="s">
        <v>409</v>
      </c>
      <c r="B122" s="68" t="s">
        <v>109</v>
      </c>
      <c r="C122" s="122"/>
      <c r="D122" s="81"/>
      <c r="E122" s="80"/>
      <c r="I122" s="79">
        <f t="shared" si="10"/>
        <v>0</v>
      </c>
      <c r="J122" s="78" t="s">
        <v>273</v>
      </c>
      <c r="K122" s="79">
        <f t="shared" si="11"/>
        <v>0</v>
      </c>
      <c r="M122" s="76"/>
      <c r="N122" s="76"/>
    </row>
    <row r="123" spans="1:14" s="78" customFormat="1" ht="14.35" x14ac:dyDescent="0.5">
      <c r="A123" s="68" t="s">
        <v>410</v>
      </c>
      <c r="B123" s="68" t="s">
        <v>110</v>
      </c>
      <c r="C123" s="122"/>
      <c r="D123" s="81"/>
      <c r="E123" s="80"/>
      <c r="I123" s="79">
        <f t="shared" si="10"/>
        <v>0</v>
      </c>
      <c r="J123" s="78" t="s">
        <v>273</v>
      </c>
      <c r="K123" s="79">
        <f t="shared" si="11"/>
        <v>0</v>
      </c>
      <c r="M123" s="76"/>
      <c r="N123" s="76"/>
    </row>
    <row r="124" spans="1:14" s="78" customFormat="1" ht="14.35" x14ac:dyDescent="0.5">
      <c r="A124" s="68" t="s">
        <v>411</v>
      </c>
      <c r="B124" s="68" t="s">
        <v>111</v>
      </c>
      <c r="C124" s="122"/>
      <c r="D124" s="81"/>
      <c r="E124" s="80"/>
      <c r="I124" s="79">
        <f t="shared" si="10"/>
        <v>0</v>
      </c>
      <c r="J124" s="78" t="s">
        <v>273</v>
      </c>
      <c r="K124" s="79">
        <f t="shared" si="11"/>
        <v>0</v>
      </c>
      <c r="M124" s="76"/>
      <c r="N124" s="76"/>
    </row>
    <row r="125" spans="1:14" s="78" customFormat="1" ht="14.35" x14ac:dyDescent="0.5">
      <c r="A125" s="68" t="s">
        <v>419</v>
      </c>
      <c r="B125" s="68" t="s">
        <v>119</v>
      </c>
      <c r="C125" s="122"/>
      <c r="D125" s="81"/>
      <c r="E125" s="80"/>
      <c r="I125" s="79">
        <f t="shared" ref="I125:I189" si="12">SUM(C125:H125)</f>
        <v>0</v>
      </c>
      <c r="J125" s="78" t="s">
        <v>273</v>
      </c>
      <c r="K125" s="79">
        <f t="shared" si="11"/>
        <v>0</v>
      </c>
      <c r="M125" s="76"/>
      <c r="N125" s="76"/>
    </row>
    <row r="126" spans="1:14" s="78" customFormat="1" ht="14.35" x14ac:dyDescent="0.5">
      <c r="A126" s="68" t="s">
        <v>421</v>
      </c>
      <c r="B126" s="68" t="s">
        <v>121</v>
      </c>
      <c r="C126" s="122"/>
      <c r="D126" s="81"/>
      <c r="E126" s="80"/>
      <c r="I126" s="79">
        <f t="shared" si="12"/>
        <v>0</v>
      </c>
      <c r="J126" s="78" t="s">
        <v>273</v>
      </c>
      <c r="K126" s="79">
        <f t="shared" si="11"/>
        <v>0</v>
      </c>
      <c r="M126" s="76"/>
      <c r="N126" s="76"/>
    </row>
    <row r="127" spans="1:14" s="78" customFormat="1" ht="14.35" x14ac:dyDescent="0.5">
      <c r="A127" s="68" t="s">
        <v>423</v>
      </c>
      <c r="B127" s="68" t="s">
        <v>123</v>
      </c>
      <c r="C127" s="122"/>
      <c r="D127" s="81"/>
      <c r="E127" s="80"/>
      <c r="I127" s="79">
        <f t="shared" si="12"/>
        <v>0</v>
      </c>
      <c r="J127" s="78" t="s">
        <v>273</v>
      </c>
      <c r="K127" s="79">
        <f t="shared" si="11"/>
        <v>0</v>
      </c>
      <c r="M127" s="76"/>
      <c r="N127" s="76"/>
    </row>
    <row r="128" spans="1:14" s="78" customFormat="1" ht="14.35" x14ac:dyDescent="0.5">
      <c r="A128" s="68" t="s">
        <v>424</v>
      </c>
      <c r="B128" s="68" t="s">
        <v>124</v>
      </c>
      <c r="C128" s="122"/>
      <c r="D128" s="81"/>
      <c r="E128" s="80"/>
      <c r="I128" s="79">
        <f t="shared" si="12"/>
        <v>0</v>
      </c>
      <c r="J128" s="78" t="s">
        <v>273</v>
      </c>
      <c r="K128" s="79">
        <f t="shared" si="11"/>
        <v>0</v>
      </c>
      <c r="M128" s="76"/>
      <c r="N128" s="76"/>
    </row>
    <row r="129" spans="1:14" s="78" customFormat="1" ht="14.35" x14ac:dyDescent="0.5">
      <c r="A129" s="68" t="s">
        <v>425</v>
      </c>
      <c r="B129" s="68" t="s">
        <v>259</v>
      </c>
      <c r="C129" s="122"/>
      <c r="D129" s="81"/>
      <c r="E129" s="80"/>
      <c r="I129" s="79">
        <f t="shared" si="12"/>
        <v>0</v>
      </c>
      <c r="J129" s="78" t="s">
        <v>273</v>
      </c>
      <c r="K129" s="79">
        <f t="shared" si="11"/>
        <v>0</v>
      </c>
      <c r="M129" s="76"/>
      <c r="N129" s="76"/>
    </row>
    <row r="130" spans="1:14" s="78" customFormat="1" ht="14.35" x14ac:dyDescent="0.5">
      <c r="A130" s="68" t="s">
        <v>628</v>
      </c>
      <c r="B130" s="68" t="s">
        <v>620</v>
      </c>
      <c r="C130" s="122"/>
      <c r="D130" s="81"/>
      <c r="E130" s="80"/>
      <c r="I130" s="79">
        <f t="shared" si="12"/>
        <v>0</v>
      </c>
      <c r="J130" s="78" t="s">
        <v>273</v>
      </c>
      <c r="K130" s="79">
        <f t="shared" si="11"/>
        <v>0</v>
      </c>
      <c r="M130" s="76"/>
      <c r="N130" s="76"/>
    </row>
    <row r="131" spans="1:14" s="78" customFormat="1" ht="14.35" x14ac:dyDescent="0.5">
      <c r="A131" s="68" t="s">
        <v>623</v>
      </c>
      <c r="B131" s="68" t="s">
        <v>631</v>
      </c>
      <c r="C131" s="122"/>
      <c r="D131" s="81"/>
      <c r="E131" s="80"/>
      <c r="I131" s="79">
        <f t="shared" si="12"/>
        <v>0</v>
      </c>
      <c r="J131" s="78" t="s">
        <v>273</v>
      </c>
      <c r="K131" s="79">
        <f t="shared" si="11"/>
        <v>0</v>
      </c>
      <c r="M131" s="76"/>
      <c r="N131" s="76"/>
    </row>
    <row r="132" spans="1:14" s="78" customFormat="1" ht="14.35" x14ac:dyDescent="0.5">
      <c r="A132" s="68" t="s">
        <v>635</v>
      </c>
      <c r="B132" s="68" t="s">
        <v>634</v>
      </c>
      <c r="C132" s="122"/>
      <c r="D132" s="81"/>
      <c r="E132" s="80"/>
      <c r="I132" s="79">
        <f t="shared" si="12"/>
        <v>0</v>
      </c>
      <c r="J132" s="78" t="s">
        <v>273</v>
      </c>
      <c r="K132" s="79">
        <f t="shared" si="11"/>
        <v>0</v>
      </c>
      <c r="M132" s="76"/>
      <c r="N132" s="76"/>
    </row>
    <row r="133" spans="1:14" s="78" customFormat="1" ht="14.35" x14ac:dyDescent="0.5">
      <c r="A133" s="68" t="s">
        <v>645</v>
      </c>
      <c r="B133" s="68" t="s">
        <v>643</v>
      </c>
      <c r="C133" s="122"/>
      <c r="D133" s="81"/>
      <c r="E133" s="80"/>
      <c r="I133" s="79">
        <f t="shared" si="12"/>
        <v>0</v>
      </c>
      <c r="J133" s="78" t="s">
        <v>273</v>
      </c>
      <c r="K133" s="79">
        <f t="shared" si="11"/>
        <v>0</v>
      </c>
      <c r="M133" s="76"/>
      <c r="N133" s="76"/>
    </row>
    <row r="134" spans="1:14" s="78" customFormat="1" ht="14.35" x14ac:dyDescent="0.5">
      <c r="A134" s="68" t="s">
        <v>646</v>
      </c>
      <c r="B134" s="68" t="s">
        <v>647</v>
      </c>
      <c r="C134" s="122"/>
      <c r="D134" s="81"/>
      <c r="E134" s="80"/>
      <c r="I134" s="79">
        <f t="shared" si="12"/>
        <v>0</v>
      </c>
      <c r="J134" s="78" t="s">
        <v>273</v>
      </c>
      <c r="K134" s="79">
        <f t="shared" si="11"/>
        <v>0</v>
      </c>
      <c r="M134" s="76"/>
      <c r="N134" s="76"/>
    </row>
    <row r="135" spans="1:14" s="78" customFormat="1" ht="14.35" x14ac:dyDescent="0.5">
      <c r="A135" s="68" t="s">
        <v>658</v>
      </c>
      <c r="B135" s="68" t="s">
        <v>657</v>
      </c>
      <c r="C135" s="122"/>
      <c r="D135" s="81"/>
      <c r="E135" s="80"/>
      <c r="I135" s="79">
        <f t="shared" si="12"/>
        <v>0</v>
      </c>
      <c r="J135" s="78" t="s">
        <v>273</v>
      </c>
      <c r="K135" s="79">
        <f t="shared" si="11"/>
        <v>0</v>
      </c>
      <c r="M135" s="76"/>
      <c r="N135" s="76"/>
    </row>
    <row r="136" spans="1:14" s="78" customFormat="1" ht="14.35" x14ac:dyDescent="0.5">
      <c r="A136" s="68" t="s">
        <v>661</v>
      </c>
      <c r="B136" s="68" t="s">
        <v>660</v>
      </c>
      <c r="C136" s="122"/>
      <c r="D136" s="81"/>
      <c r="E136" s="80"/>
      <c r="I136" s="79">
        <f t="shared" si="12"/>
        <v>0</v>
      </c>
      <c r="J136" s="78" t="s">
        <v>273</v>
      </c>
      <c r="K136" s="79">
        <f t="shared" si="11"/>
        <v>0</v>
      </c>
      <c r="M136" s="76"/>
      <c r="N136" s="76"/>
    </row>
    <row r="137" spans="1:14" s="78" customFormat="1" ht="14.35" x14ac:dyDescent="0.5">
      <c r="A137" s="100" t="s">
        <v>674</v>
      </c>
      <c r="B137" s="100" t="s">
        <v>675</v>
      </c>
      <c r="C137" s="122"/>
      <c r="D137" s="81"/>
      <c r="E137" s="80"/>
      <c r="I137" s="79">
        <f t="shared" si="12"/>
        <v>0</v>
      </c>
      <c r="J137" s="78" t="s">
        <v>273</v>
      </c>
      <c r="K137" s="79">
        <f t="shared" si="11"/>
        <v>0</v>
      </c>
      <c r="M137" s="76"/>
      <c r="N137" s="76"/>
    </row>
    <row r="138" spans="1:14" s="78" customFormat="1" ht="14.35" x14ac:dyDescent="0.5">
      <c r="A138" s="100" t="s">
        <v>692</v>
      </c>
      <c r="B138" s="100" t="s">
        <v>689</v>
      </c>
      <c r="C138" s="122"/>
      <c r="D138" s="81"/>
      <c r="E138" s="80"/>
      <c r="I138" s="79">
        <f t="shared" si="12"/>
        <v>0</v>
      </c>
      <c r="J138" s="78" t="s">
        <v>273</v>
      </c>
      <c r="K138" s="79">
        <f t="shared" si="11"/>
        <v>0</v>
      </c>
      <c r="M138" s="76"/>
      <c r="N138" s="76"/>
    </row>
    <row r="139" spans="1:14" s="78" customFormat="1" ht="14.35" x14ac:dyDescent="0.5">
      <c r="A139" s="100" t="s">
        <v>693</v>
      </c>
      <c r="B139" s="100" t="s">
        <v>691</v>
      </c>
      <c r="C139" s="122"/>
      <c r="D139" s="81"/>
      <c r="E139" s="80"/>
      <c r="I139" s="79">
        <f t="shared" si="12"/>
        <v>0</v>
      </c>
      <c r="J139" s="78" t="s">
        <v>273</v>
      </c>
      <c r="K139" s="79">
        <f t="shared" si="11"/>
        <v>0</v>
      </c>
      <c r="M139" s="76"/>
      <c r="N139" s="76"/>
    </row>
    <row r="140" spans="1:14" s="78" customFormat="1" ht="14.35" x14ac:dyDescent="0.5">
      <c r="A140" s="100" t="s">
        <v>676</v>
      </c>
      <c r="B140" s="100" t="s">
        <v>677</v>
      </c>
      <c r="C140" s="122"/>
      <c r="D140" s="81"/>
      <c r="E140" s="80"/>
      <c r="I140" s="79">
        <f t="shared" si="12"/>
        <v>0</v>
      </c>
      <c r="J140" s="78" t="s">
        <v>273</v>
      </c>
      <c r="K140" s="79">
        <f t="shared" si="11"/>
        <v>0</v>
      </c>
      <c r="M140" s="76"/>
      <c r="N140" s="76"/>
    </row>
    <row r="141" spans="1:14" s="78" customFormat="1" ht="14.35" x14ac:dyDescent="0.5">
      <c r="A141" s="71" t="s">
        <v>762</v>
      </c>
      <c r="B141" s="71" t="s">
        <v>763</v>
      </c>
      <c r="C141" s="122"/>
      <c r="D141" s="81"/>
      <c r="E141" s="80"/>
      <c r="I141" s="79">
        <f t="shared" si="12"/>
        <v>0</v>
      </c>
      <c r="J141" s="78" t="s">
        <v>273</v>
      </c>
      <c r="K141" s="79">
        <f t="shared" si="11"/>
        <v>0</v>
      </c>
      <c r="M141" s="76"/>
      <c r="N141" s="76"/>
    </row>
    <row r="142" spans="1:14" s="78" customFormat="1" ht="14.35" x14ac:dyDescent="0.5">
      <c r="A142" s="71" t="s">
        <v>764</v>
      </c>
      <c r="B142" s="71" t="s">
        <v>765</v>
      </c>
      <c r="C142" s="122"/>
      <c r="D142" s="81"/>
      <c r="E142" s="80"/>
      <c r="I142" s="79">
        <f t="shared" si="12"/>
        <v>0</v>
      </c>
      <c r="J142" s="78" t="s">
        <v>273</v>
      </c>
      <c r="K142" s="79">
        <f t="shared" si="11"/>
        <v>0</v>
      </c>
      <c r="M142" s="76"/>
      <c r="N142" s="76"/>
    </row>
    <row r="143" spans="1:14" s="78" customFormat="1" ht="14.35" x14ac:dyDescent="0.5">
      <c r="A143" s="71" t="s">
        <v>775</v>
      </c>
      <c r="B143" s="100" t="s">
        <v>776</v>
      </c>
      <c r="C143" s="122"/>
      <c r="D143" s="81"/>
      <c r="E143" s="80"/>
      <c r="I143" s="79">
        <f t="shared" si="12"/>
        <v>0</v>
      </c>
      <c r="J143" s="78" t="s">
        <v>273</v>
      </c>
      <c r="K143" s="79">
        <f t="shared" si="11"/>
        <v>0</v>
      </c>
      <c r="M143" s="76"/>
      <c r="N143" s="76"/>
    </row>
    <row r="144" spans="1:14" s="78" customFormat="1" ht="14.35" x14ac:dyDescent="0.5">
      <c r="A144" s="71" t="s">
        <v>777</v>
      </c>
      <c r="B144" s="100" t="s">
        <v>778</v>
      </c>
      <c r="C144" s="122"/>
      <c r="D144" s="81"/>
      <c r="E144" s="80"/>
      <c r="I144" s="79">
        <f t="shared" si="12"/>
        <v>0</v>
      </c>
      <c r="J144" s="78" t="s">
        <v>273</v>
      </c>
      <c r="K144" s="79">
        <f t="shared" ref="K144:K209" si="13">I144</f>
        <v>0</v>
      </c>
      <c r="M144" s="76"/>
      <c r="N144" s="76"/>
    </row>
    <row r="145" spans="1:14" s="78" customFormat="1" ht="14.35" x14ac:dyDescent="0.5">
      <c r="A145" s="100" t="s">
        <v>788</v>
      </c>
      <c r="B145" s="100" t="s">
        <v>789</v>
      </c>
      <c r="C145" s="122"/>
      <c r="D145" s="81"/>
      <c r="E145" s="80"/>
      <c r="I145" s="79">
        <f t="shared" si="12"/>
        <v>0</v>
      </c>
      <c r="J145" s="78" t="s">
        <v>273</v>
      </c>
      <c r="K145" s="79">
        <f t="shared" si="13"/>
        <v>0</v>
      </c>
      <c r="M145" s="76"/>
      <c r="N145" s="76"/>
    </row>
    <row r="146" spans="1:14" s="78" customFormat="1" ht="14.35" x14ac:dyDescent="0.5">
      <c r="A146" s="100" t="s">
        <v>790</v>
      </c>
      <c r="B146" s="100" t="s">
        <v>791</v>
      </c>
      <c r="C146" s="122"/>
      <c r="D146" s="81"/>
      <c r="E146" s="80"/>
      <c r="I146" s="79">
        <f t="shared" si="12"/>
        <v>0</v>
      </c>
      <c r="J146" s="78" t="s">
        <v>273</v>
      </c>
      <c r="K146" s="79">
        <f t="shared" si="13"/>
        <v>0</v>
      </c>
      <c r="M146" s="76"/>
      <c r="N146" s="76"/>
    </row>
    <row r="147" spans="1:14" s="78" customFormat="1" ht="14.35" x14ac:dyDescent="0.5">
      <c r="A147" s="100" t="s">
        <v>803</v>
      </c>
      <c r="B147" s="100" t="s">
        <v>804</v>
      </c>
      <c r="C147" s="122"/>
      <c r="D147" s="81"/>
      <c r="E147" s="80"/>
      <c r="I147" s="79">
        <f t="shared" si="12"/>
        <v>0</v>
      </c>
      <c r="J147" s="78" t="s">
        <v>273</v>
      </c>
      <c r="K147" s="79">
        <f t="shared" si="13"/>
        <v>0</v>
      </c>
      <c r="M147" s="76"/>
      <c r="N147" s="76"/>
    </row>
    <row r="148" spans="1:14" s="78" customFormat="1" ht="14.35" x14ac:dyDescent="0.5">
      <c r="A148" s="100" t="s">
        <v>814</v>
      </c>
      <c r="B148" s="100" t="s">
        <v>815</v>
      </c>
      <c r="C148" s="122"/>
      <c r="D148" s="81"/>
      <c r="E148" s="80"/>
      <c r="I148" s="79">
        <f t="shared" si="12"/>
        <v>0</v>
      </c>
      <c r="J148" s="78" t="s">
        <v>273</v>
      </c>
      <c r="K148" s="79">
        <f t="shared" si="13"/>
        <v>0</v>
      </c>
      <c r="M148" s="76"/>
      <c r="N148" s="76"/>
    </row>
    <row r="149" spans="1:14" s="78" customFormat="1" ht="14.35" x14ac:dyDescent="0.5">
      <c r="A149" s="100" t="s">
        <v>863</v>
      </c>
      <c r="B149" s="100" t="s">
        <v>864</v>
      </c>
      <c r="C149" s="122"/>
      <c r="D149" s="81"/>
      <c r="E149" s="80"/>
      <c r="I149" s="79">
        <f t="shared" si="12"/>
        <v>0</v>
      </c>
      <c r="J149" s="78" t="s">
        <v>273</v>
      </c>
      <c r="K149" s="79">
        <f t="shared" si="13"/>
        <v>0</v>
      </c>
      <c r="M149" s="76"/>
      <c r="N149" s="76"/>
    </row>
    <row r="150" spans="1:14" s="78" customFormat="1" ht="14.35" x14ac:dyDescent="0.5">
      <c r="A150" s="100" t="s">
        <v>871</v>
      </c>
      <c r="B150" s="100" t="s">
        <v>872</v>
      </c>
      <c r="C150" s="122"/>
      <c r="D150" s="81"/>
      <c r="E150" s="80"/>
      <c r="I150" s="79">
        <f t="shared" si="12"/>
        <v>0</v>
      </c>
      <c r="J150" s="78" t="s">
        <v>273</v>
      </c>
      <c r="K150" s="79">
        <f t="shared" si="13"/>
        <v>0</v>
      </c>
      <c r="M150" s="76"/>
      <c r="N150" s="76"/>
    </row>
    <row r="151" spans="1:14" s="78" customFormat="1" ht="14.35" x14ac:dyDescent="0.5">
      <c r="A151" s="100" t="s">
        <v>880</v>
      </c>
      <c r="B151" s="100" t="s">
        <v>881</v>
      </c>
      <c r="C151" s="122"/>
      <c r="D151" s="81"/>
      <c r="E151" s="80"/>
      <c r="I151" s="79">
        <f t="shared" ref="I151" si="14">SUM(C151:H151)</f>
        <v>0</v>
      </c>
      <c r="J151" s="78" t="s">
        <v>273</v>
      </c>
      <c r="K151" s="79">
        <f t="shared" ref="K151" si="15">I151</f>
        <v>0</v>
      </c>
      <c r="M151" s="76"/>
      <c r="N151" s="76"/>
    </row>
    <row r="152" spans="1:14" s="78" customFormat="1" ht="14.35" x14ac:dyDescent="0.5">
      <c r="A152" s="68" t="s">
        <v>426</v>
      </c>
      <c r="B152" s="68" t="s">
        <v>125</v>
      </c>
      <c r="C152" s="122"/>
      <c r="D152" s="81"/>
      <c r="E152" s="80"/>
      <c r="I152" s="79">
        <f t="shared" si="12"/>
        <v>0</v>
      </c>
      <c r="J152" s="78" t="s">
        <v>272</v>
      </c>
      <c r="K152" s="79">
        <f t="shared" si="13"/>
        <v>0</v>
      </c>
      <c r="M152" s="76"/>
      <c r="N152" s="76"/>
    </row>
    <row r="153" spans="1:14" s="78" customFormat="1" ht="14.35" x14ac:dyDescent="0.5">
      <c r="A153" s="100" t="s">
        <v>805</v>
      </c>
      <c r="B153" s="100" t="s">
        <v>806</v>
      </c>
      <c r="C153" s="122"/>
      <c r="D153" s="81"/>
      <c r="E153" s="80"/>
      <c r="I153" s="79">
        <f t="shared" si="12"/>
        <v>0</v>
      </c>
      <c r="J153" s="78" t="s">
        <v>272</v>
      </c>
      <c r="K153" s="79">
        <f t="shared" si="13"/>
        <v>0</v>
      </c>
      <c r="M153" s="76"/>
      <c r="N153" s="76"/>
    </row>
    <row r="154" spans="1:14" s="78" customFormat="1" ht="14.35" x14ac:dyDescent="0.5">
      <c r="A154" s="68" t="s">
        <v>427</v>
      </c>
      <c r="B154" s="68" t="s">
        <v>126</v>
      </c>
      <c r="C154" s="122"/>
      <c r="D154" s="81"/>
      <c r="E154" s="80"/>
      <c r="I154" s="79">
        <f t="shared" si="12"/>
        <v>0</v>
      </c>
      <c r="J154" s="78" t="s">
        <v>272</v>
      </c>
      <c r="K154" s="79">
        <f t="shared" si="13"/>
        <v>0</v>
      </c>
      <c r="M154" s="76"/>
      <c r="N154" s="76"/>
    </row>
    <row r="155" spans="1:14" s="78" customFormat="1" ht="14.35" x14ac:dyDescent="0.5">
      <c r="A155" s="68" t="s">
        <v>428</v>
      </c>
      <c r="B155" s="68" t="s">
        <v>127</v>
      </c>
      <c r="C155" s="122"/>
      <c r="D155" s="81"/>
      <c r="E155" s="80"/>
      <c r="I155" s="79">
        <f t="shared" si="12"/>
        <v>0</v>
      </c>
      <c r="J155" s="78" t="s">
        <v>272</v>
      </c>
      <c r="K155" s="79">
        <f t="shared" si="13"/>
        <v>0</v>
      </c>
      <c r="M155" s="76"/>
      <c r="N155" s="76"/>
    </row>
    <row r="156" spans="1:14" s="78" customFormat="1" ht="14.35" x14ac:dyDescent="0.5">
      <c r="A156" s="68" t="s">
        <v>429</v>
      </c>
      <c r="B156" s="68" t="s">
        <v>128</v>
      </c>
      <c r="C156" s="122"/>
      <c r="D156" s="81"/>
      <c r="E156" s="80"/>
      <c r="I156" s="79">
        <f t="shared" si="12"/>
        <v>0</v>
      </c>
      <c r="J156" s="78" t="s">
        <v>272</v>
      </c>
      <c r="K156" s="79">
        <f t="shared" si="13"/>
        <v>0</v>
      </c>
      <c r="M156" s="76"/>
      <c r="N156" s="76"/>
    </row>
    <row r="157" spans="1:14" s="78" customFormat="1" ht="14.35" x14ac:dyDescent="0.5">
      <c r="A157" s="68" t="s">
        <v>430</v>
      </c>
      <c r="B157" s="68" t="s">
        <v>129</v>
      </c>
      <c r="C157" s="122"/>
      <c r="D157" s="81"/>
      <c r="E157" s="80"/>
      <c r="I157" s="79">
        <f t="shared" si="12"/>
        <v>0</v>
      </c>
      <c r="J157" s="78" t="s">
        <v>272</v>
      </c>
      <c r="K157" s="79">
        <f t="shared" si="13"/>
        <v>0</v>
      </c>
      <c r="M157" s="76"/>
      <c r="N157" s="76"/>
    </row>
    <row r="158" spans="1:14" s="78" customFormat="1" ht="14.35" x14ac:dyDescent="0.5">
      <c r="A158" s="68" t="s">
        <v>431</v>
      </c>
      <c r="B158" s="68" t="s">
        <v>70</v>
      </c>
      <c r="C158" s="122"/>
      <c r="D158" s="81"/>
      <c r="E158" s="80"/>
      <c r="I158" s="79">
        <f t="shared" si="12"/>
        <v>0</v>
      </c>
      <c r="J158" s="78" t="s">
        <v>274</v>
      </c>
      <c r="K158" s="79">
        <f t="shared" si="13"/>
        <v>0</v>
      </c>
      <c r="M158" s="76"/>
      <c r="N158" s="76"/>
    </row>
    <row r="159" spans="1:14" s="78" customFormat="1" ht="14.35" x14ac:dyDescent="0.5">
      <c r="A159" s="68" t="s">
        <v>436</v>
      </c>
      <c r="B159" s="68" t="s">
        <v>76</v>
      </c>
      <c r="C159" s="122"/>
      <c r="D159" s="81"/>
      <c r="E159" s="80"/>
      <c r="I159" s="79">
        <f t="shared" si="12"/>
        <v>0</v>
      </c>
      <c r="J159" s="78" t="s">
        <v>274</v>
      </c>
      <c r="K159" s="79">
        <f t="shared" si="13"/>
        <v>0</v>
      </c>
      <c r="M159" s="76"/>
      <c r="N159" s="76"/>
    </row>
    <row r="160" spans="1:14" s="78" customFormat="1" ht="14.35" x14ac:dyDescent="0.5">
      <c r="A160" s="68" t="s">
        <v>438</v>
      </c>
      <c r="B160" s="68" t="s">
        <v>78</v>
      </c>
      <c r="C160" s="122"/>
      <c r="D160" s="81"/>
      <c r="E160" s="80"/>
      <c r="I160" s="79">
        <f t="shared" si="12"/>
        <v>0</v>
      </c>
      <c r="J160" s="78" t="s">
        <v>274</v>
      </c>
      <c r="K160" s="79">
        <f t="shared" si="13"/>
        <v>0</v>
      </c>
      <c r="M160" s="76"/>
      <c r="N160" s="76"/>
    </row>
    <row r="161" spans="1:14" s="78" customFormat="1" ht="14.35" x14ac:dyDescent="0.5">
      <c r="A161" s="68" t="s">
        <v>439</v>
      </c>
      <c r="B161" s="68" t="s">
        <v>79</v>
      </c>
      <c r="C161" s="122"/>
      <c r="D161" s="81"/>
      <c r="E161" s="80"/>
      <c r="I161" s="79">
        <f t="shared" si="12"/>
        <v>0</v>
      </c>
      <c r="J161" s="78" t="s">
        <v>274</v>
      </c>
      <c r="K161" s="79">
        <f t="shared" si="13"/>
        <v>0</v>
      </c>
      <c r="M161" s="76"/>
      <c r="N161" s="76"/>
    </row>
    <row r="162" spans="1:14" s="78" customFormat="1" ht="14.35" x14ac:dyDescent="0.5">
      <c r="A162" s="68" t="s">
        <v>440</v>
      </c>
      <c r="B162" s="68" t="s">
        <v>80</v>
      </c>
      <c r="C162" s="122"/>
      <c r="D162" s="81"/>
      <c r="E162" s="80"/>
      <c r="I162" s="79">
        <f t="shared" si="12"/>
        <v>0</v>
      </c>
      <c r="J162" s="78" t="s">
        <v>274</v>
      </c>
      <c r="K162" s="79">
        <f t="shared" si="13"/>
        <v>0</v>
      </c>
      <c r="M162" s="76"/>
      <c r="N162" s="76"/>
    </row>
    <row r="163" spans="1:14" s="78" customFormat="1" ht="14.35" x14ac:dyDescent="0.5">
      <c r="A163" s="68" t="s">
        <v>443</v>
      </c>
      <c r="B163" s="68" t="s">
        <v>83</v>
      </c>
      <c r="C163" s="122"/>
      <c r="D163" s="81"/>
      <c r="E163" s="80"/>
      <c r="I163" s="79">
        <f t="shared" si="12"/>
        <v>0</v>
      </c>
      <c r="J163" s="78" t="s">
        <v>274</v>
      </c>
      <c r="K163" s="79">
        <f t="shared" si="13"/>
        <v>0</v>
      </c>
      <c r="M163" s="76"/>
      <c r="N163" s="76"/>
    </row>
    <row r="164" spans="1:14" s="78" customFormat="1" ht="14.35" x14ac:dyDescent="0.5">
      <c r="A164" s="68" t="s">
        <v>445</v>
      </c>
      <c r="B164" s="68" t="s">
        <v>85</v>
      </c>
      <c r="C164" s="122"/>
      <c r="D164" s="81"/>
      <c r="E164" s="80"/>
      <c r="I164" s="79">
        <f t="shared" si="12"/>
        <v>0</v>
      </c>
      <c r="J164" s="78" t="s">
        <v>274</v>
      </c>
      <c r="K164" s="79">
        <f t="shared" si="13"/>
        <v>0</v>
      </c>
      <c r="M164" s="76"/>
      <c r="N164" s="76"/>
    </row>
    <row r="165" spans="1:14" s="78" customFormat="1" ht="14.35" x14ac:dyDescent="0.5">
      <c r="A165" s="68" t="s">
        <v>447</v>
      </c>
      <c r="B165" s="68" t="s">
        <v>87</v>
      </c>
      <c r="C165" s="122"/>
      <c r="D165" s="81"/>
      <c r="E165" s="80"/>
      <c r="I165" s="79">
        <f t="shared" si="12"/>
        <v>0</v>
      </c>
      <c r="J165" s="78" t="s">
        <v>274</v>
      </c>
      <c r="K165" s="79">
        <f t="shared" si="13"/>
        <v>0</v>
      </c>
      <c r="M165" s="76"/>
      <c r="N165" s="76"/>
    </row>
    <row r="166" spans="1:14" s="78" customFormat="1" ht="14.35" x14ac:dyDescent="0.5">
      <c r="A166" s="68" t="s">
        <v>450</v>
      </c>
      <c r="B166" s="68" t="s">
        <v>90</v>
      </c>
      <c r="C166" s="122"/>
      <c r="D166" s="81"/>
      <c r="E166" s="80"/>
      <c r="I166" s="79">
        <f t="shared" si="12"/>
        <v>0</v>
      </c>
      <c r="J166" s="78" t="s">
        <v>274</v>
      </c>
      <c r="K166" s="79">
        <f t="shared" si="13"/>
        <v>0</v>
      </c>
      <c r="M166" s="76"/>
      <c r="N166" s="76"/>
    </row>
    <row r="167" spans="1:14" s="78" customFormat="1" ht="14.35" x14ac:dyDescent="0.5">
      <c r="A167" s="68" t="s">
        <v>452</v>
      </c>
      <c r="B167" s="68" t="s">
        <v>92</v>
      </c>
      <c r="C167" s="122"/>
      <c r="D167" s="81"/>
      <c r="E167" s="80"/>
      <c r="I167" s="79">
        <f t="shared" si="12"/>
        <v>0</v>
      </c>
      <c r="J167" s="78" t="s">
        <v>274</v>
      </c>
      <c r="K167" s="79">
        <f t="shared" si="13"/>
        <v>0</v>
      </c>
      <c r="M167" s="76"/>
      <c r="N167" s="76"/>
    </row>
    <row r="168" spans="1:14" s="78" customFormat="1" ht="14.35" x14ac:dyDescent="0.5">
      <c r="A168" s="68" t="s">
        <v>453</v>
      </c>
      <c r="B168" s="68" t="s">
        <v>93</v>
      </c>
      <c r="C168" s="122"/>
      <c r="D168" s="81"/>
      <c r="E168" s="80"/>
      <c r="I168" s="79">
        <f t="shared" si="12"/>
        <v>0</v>
      </c>
      <c r="J168" s="78" t="s">
        <v>274</v>
      </c>
      <c r="K168" s="79">
        <f t="shared" si="13"/>
        <v>0</v>
      </c>
      <c r="M168" s="76"/>
      <c r="N168" s="76"/>
    </row>
    <row r="169" spans="1:14" s="78" customFormat="1" ht="14.35" x14ac:dyDescent="0.5">
      <c r="A169" s="68" t="s">
        <v>457</v>
      </c>
      <c r="B169" s="68" t="s">
        <v>106</v>
      </c>
      <c r="C169" s="122"/>
      <c r="D169" s="81"/>
      <c r="E169" s="80"/>
      <c r="I169" s="79">
        <f t="shared" si="12"/>
        <v>0</v>
      </c>
      <c r="J169" s="78" t="s">
        <v>274</v>
      </c>
      <c r="K169" s="79">
        <f t="shared" si="13"/>
        <v>0</v>
      </c>
      <c r="M169" s="76"/>
      <c r="N169" s="76"/>
    </row>
    <row r="170" spans="1:14" s="78" customFormat="1" ht="14.35" x14ac:dyDescent="0.5">
      <c r="A170" s="68" t="s">
        <v>460</v>
      </c>
      <c r="B170" s="68" t="s">
        <v>109</v>
      </c>
      <c r="C170" s="122"/>
      <c r="D170" s="81"/>
      <c r="E170" s="80"/>
      <c r="I170" s="79">
        <f t="shared" si="12"/>
        <v>0</v>
      </c>
      <c r="J170" s="78" t="s">
        <v>274</v>
      </c>
      <c r="K170" s="79">
        <f t="shared" si="13"/>
        <v>0</v>
      </c>
      <c r="M170" s="76"/>
      <c r="N170" s="76"/>
    </row>
    <row r="171" spans="1:14" s="78" customFormat="1" ht="14.35" x14ac:dyDescent="0.5">
      <c r="A171" s="68" t="s">
        <v>461</v>
      </c>
      <c r="B171" s="68" t="s">
        <v>110</v>
      </c>
      <c r="C171" s="122"/>
      <c r="D171" s="81"/>
      <c r="E171" s="80"/>
      <c r="I171" s="79">
        <f t="shared" si="12"/>
        <v>0</v>
      </c>
      <c r="J171" s="78" t="s">
        <v>274</v>
      </c>
      <c r="K171" s="79">
        <f t="shared" si="13"/>
        <v>0</v>
      </c>
      <c r="M171" s="76"/>
      <c r="N171" s="76"/>
    </row>
    <row r="172" spans="1:14" s="78" customFormat="1" ht="14.35" x14ac:dyDescent="0.5">
      <c r="A172" s="68" t="s">
        <v>462</v>
      </c>
      <c r="B172" s="68" t="s">
        <v>136</v>
      </c>
      <c r="C172" s="122"/>
      <c r="D172" s="81"/>
      <c r="E172" s="80"/>
      <c r="I172" s="79">
        <f t="shared" si="12"/>
        <v>0</v>
      </c>
      <c r="J172" s="78" t="s">
        <v>274</v>
      </c>
      <c r="K172" s="79">
        <f t="shared" si="13"/>
        <v>0</v>
      </c>
      <c r="M172" s="76"/>
      <c r="N172" s="76"/>
    </row>
    <row r="173" spans="1:14" s="78" customFormat="1" ht="14.35" x14ac:dyDescent="0.5">
      <c r="A173" s="68" t="s">
        <v>470</v>
      </c>
      <c r="B173" s="68" t="s">
        <v>119</v>
      </c>
      <c r="C173" s="122"/>
      <c r="D173" s="81"/>
      <c r="E173" s="80"/>
      <c r="I173" s="79">
        <f t="shared" si="12"/>
        <v>0</v>
      </c>
      <c r="J173" s="78" t="s">
        <v>274</v>
      </c>
      <c r="K173" s="79">
        <f t="shared" si="13"/>
        <v>0</v>
      </c>
      <c r="M173" s="76"/>
      <c r="N173" s="76"/>
    </row>
    <row r="174" spans="1:14" s="78" customFormat="1" ht="14.35" x14ac:dyDescent="0.5">
      <c r="A174" s="68" t="s">
        <v>472</v>
      </c>
      <c r="B174" s="68" t="s">
        <v>121</v>
      </c>
      <c r="C174" s="122"/>
      <c r="D174" s="81"/>
      <c r="E174" s="80"/>
      <c r="I174" s="79">
        <f t="shared" si="12"/>
        <v>0</v>
      </c>
      <c r="J174" s="78" t="s">
        <v>274</v>
      </c>
      <c r="K174" s="79">
        <f t="shared" si="13"/>
        <v>0</v>
      </c>
      <c r="M174" s="76"/>
      <c r="N174" s="76"/>
    </row>
    <row r="175" spans="1:14" s="78" customFormat="1" ht="14.35" x14ac:dyDescent="0.5">
      <c r="A175" s="68" t="s">
        <v>474</v>
      </c>
      <c r="B175" s="68" t="s">
        <v>123</v>
      </c>
      <c r="C175" s="122"/>
      <c r="D175" s="81"/>
      <c r="E175" s="80"/>
      <c r="I175" s="79">
        <f t="shared" si="12"/>
        <v>0</v>
      </c>
      <c r="J175" s="78" t="s">
        <v>274</v>
      </c>
      <c r="K175" s="79">
        <f t="shared" si="13"/>
        <v>0</v>
      </c>
      <c r="M175" s="76"/>
      <c r="N175" s="76"/>
    </row>
    <row r="176" spans="1:14" s="78" customFormat="1" ht="14.35" x14ac:dyDescent="0.5">
      <c r="A176" s="68" t="s">
        <v>475</v>
      </c>
      <c r="B176" s="68" t="s">
        <v>124</v>
      </c>
      <c r="C176" s="122"/>
      <c r="D176" s="81"/>
      <c r="E176" s="80"/>
      <c r="I176" s="79">
        <f t="shared" si="12"/>
        <v>0</v>
      </c>
      <c r="J176" s="78" t="s">
        <v>274</v>
      </c>
      <c r="K176" s="79">
        <f t="shared" si="13"/>
        <v>0</v>
      </c>
      <c r="M176" s="76"/>
      <c r="N176" s="76"/>
    </row>
    <row r="177" spans="1:14" s="78" customFormat="1" ht="14.35" x14ac:dyDescent="0.5">
      <c r="A177" s="68" t="s">
        <v>476</v>
      </c>
      <c r="B177" s="68" t="s">
        <v>259</v>
      </c>
      <c r="C177" s="122"/>
      <c r="D177" s="81"/>
      <c r="E177" s="80"/>
      <c r="I177" s="79">
        <f t="shared" si="12"/>
        <v>0</v>
      </c>
      <c r="J177" s="78" t="s">
        <v>274</v>
      </c>
      <c r="K177" s="79">
        <f t="shared" si="13"/>
        <v>0</v>
      </c>
      <c r="M177" s="76"/>
      <c r="N177" s="76"/>
    </row>
    <row r="178" spans="1:14" s="78" customFormat="1" ht="14.35" x14ac:dyDescent="0.5">
      <c r="A178" s="68" t="s">
        <v>619</v>
      </c>
      <c r="B178" s="68" t="s">
        <v>620</v>
      </c>
      <c r="C178" s="122"/>
      <c r="D178" s="81"/>
      <c r="E178" s="80"/>
      <c r="I178" s="79">
        <f t="shared" si="12"/>
        <v>0</v>
      </c>
      <c r="J178" s="78" t="s">
        <v>274</v>
      </c>
      <c r="K178" s="79">
        <f t="shared" si="13"/>
        <v>0</v>
      </c>
      <c r="M178" s="76"/>
      <c r="N178" s="76"/>
    </row>
    <row r="179" spans="1:14" s="78" customFormat="1" ht="14.35" x14ac:dyDescent="0.5">
      <c r="A179" s="68" t="s">
        <v>621</v>
      </c>
      <c r="B179" s="68" t="s">
        <v>622</v>
      </c>
      <c r="C179" s="122"/>
      <c r="D179" s="81"/>
      <c r="E179" s="80"/>
      <c r="I179" s="79">
        <f t="shared" si="12"/>
        <v>0</v>
      </c>
      <c r="J179" s="78" t="s">
        <v>274</v>
      </c>
      <c r="K179" s="79">
        <f t="shared" si="13"/>
        <v>0</v>
      </c>
      <c r="M179" s="76"/>
      <c r="N179" s="76"/>
    </row>
    <row r="180" spans="1:14" s="78" customFormat="1" ht="14.35" x14ac:dyDescent="0.5">
      <c r="A180" s="68" t="s">
        <v>636</v>
      </c>
      <c r="B180" s="68" t="s">
        <v>634</v>
      </c>
      <c r="C180" s="122"/>
      <c r="D180" s="81"/>
      <c r="E180" s="80"/>
      <c r="I180" s="79">
        <f t="shared" si="12"/>
        <v>0</v>
      </c>
      <c r="J180" s="78" t="s">
        <v>274</v>
      </c>
      <c r="K180" s="79">
        <f t="shared" si="13"/>
        <v>0</v>
      </c>
      <c r="M180" s="76"/>
      <c r="N180" s="76"/>
    </row>
    <row r="181" spans="1:14" s="78" customFormat="1" ht="14.35" x14ac:dyDescent="0.5">
      <c r="A181" s="68" t="s">
        <v>644</v>
      </c>
      <c r="B181" s="68" t="s">
        <v>643</v>
      </c>
      <c r="C181" s="122"/>
      <c r="D181" s="81"/>
      <c r="E181" s="80"/>
      <c r="I181" s="79">
        <f t="shared" si="12"/>
        <v>0</v>
      </c>
      <c r="J181" s="78" t="s">
        <v>274</v>
      </c>
      <c r="K181" s="79">
        <f t="shared" si="13"/>
        <v>0</v>
      </c>
      <c r="M181" s="76"/>
      <c r="N181" s="76"/>
    </row>
    <row r="182" spans="1:14" s="78" customFormat="1" ht="14.35" x14ac:dyDescent="0.5">
      <c r="A182" s="68" t="s">
        <v>648</v>
      </c>
      <c r="B182" s="68" t="s">
        <v>647</v>
      </c>
      <c r="C182" s="122"/>
      <c r="D182" s="81"/>
      <c r="E182" s="80"/>
      <c r="I182" s="79">
        <f t="shared" si="12"/>
        <v>0</v>
      </c>
      <c r="J182" s="78" t="s">
        <v>274</v>
      </c>
      <c r="K182" s="79">
        <f t="shared" si="13"/>
        <v>0</v>
      </c>
      <c r="M182" s="76"/>
      <c r="N182" s="76"/>
    </row>
    <row r="183" spans="1:14" s="78" customFormat="1" ht="14.35" x14ac:dyDescent="0.5">
      <c r="A183" s="27" t="s">
        <v>656</v>
      </c>
      <c r="B183" s="27" t="s">
        <v>657</v>
      </c>
      <c r="C183" s="122"/>
      <c r="D183" s="81"/>
      <c r="E183" s="80"/>
      <c r="F183" s="80"/>
      <c r="G183" s="80"/>
      <c r="H183" s="80"/>
      <c r="I183" s="79">
        <f t="shared" si="12"/>
        <v>0</v>
      </c>
      <c r="J183" s="78" t="s">
        <v>274</v>
      </c>
      <c r="K183" s="79">
        <f t="shared" si="13"/>
        <v>0</v>
      </c>
      <c r="M183" s="76"/>
      <c r="N183" s="76"/>
    </row>
    <row r="184" spans="1:14" s="78" customFormat="1" ht="14.35" x14ac:dyDescent="0.5">
      <c r="A184" s="27" t="s">
        <v>659</v>
      </c>
      <c r="B184" s="27" t="s">
        <v>660</v>
      </c>
      <c r="C184" s="122"/>
      <c r="D184" s="81"/>
      <c r="E184" s="80"/>
      <c r="F184" s="80"/>
      <c r="G184" s="80"/>
      <c r="H184" s="80"/>
      <c r="I184" s="79">
        <f t="shared" si="12"/>
        <v>0</v>
      </c>
      <c r="J184" s="78" t="s">
        <v>274</v>
      </c>
      <c r="K184" s="79">
        <f t="shared" si="13"/>
        <v>0</v>
      </c>
      <c r="M184" s="76"/>
      <c r="N184" s="76"/>
    </row>
    <row r="185" spans="1:14" s="78" customFormat="1" ht="14.35" x14ac:dyDescent="0.5">
      <c r="A185" s="100" t="s">
        <v>678</v>
      </c>
      <c r="B185" s="100" t="s">
        <v>675</v>
      </c>
      <c r="C185" s="122"/>
      <c r="D185" s="81"/>
      <c r="E185" s="80"/>
      <c r="F185" s="80"/>
      <c r="G185" s="80"/>
      <c r="H185" s="80"/>
      <c r="I185" s="79">
        <f t="shared" si="12"/>
        <v>0</v>
      </c>
      <c r="J185" s="78" t="s">
        <v>274</v>
      </c>
      <c r="K185" s="79">
        <f t="shared" si="13"/>
        <v>0</v>
      </c>
      <c r="M185" s="76"/>
      <c r="N185" s="76"/>
    </row>
    <row r="186" spans="1:14" s="78" customFormat="1" ht="14.35" x14ac:dyDescent="0.5">
      <c r="A186" s="100" t="s">
        <v>688</v>
      </c>
      <c r="B186" s="100" t="s">
        <v>689</v>
      </c>
      <c r="C186" s="122"/>
      <c r="D186" s="81"/>
      <c r="E186" s="80"/>
      <c r="F186" s="80"/>
      <c r="G186" s="80"/>
      <c r="H186" s="80"/>
      <c r="I186" s="79">
        <f t="shared" si="12"/>
        <v>0</v>
      </c>
      <c r="J186" s="78" t="s">
        <v>274</v>
      </c>
      <c r="K186" s="79">
        <f t="shared" si="13"/>
        <v>0</v>
      </c>
      <c r="M186" s="76"/>
      <c r="N186" s="76"/>
    </row>
    <row r="187" spans="1:14" s="78" customFormat="1" ht="14.35" x14ac:dyDescent="0.5">
      <c r="A187" s="100" t="s">
        <v>690</v>
      </c>
      <c r="B187" s="100" t="s">
        <v>691</v>
      </c>
      <c r="C187" s="122"/>
      <c r="D187" s="81"/>
      <c r="E187" s="80"/>
      <c r="F187" s="80"/>
      <c r="G187" s="80"/>
      <c r="H187" s="80"/>
      <c r="I187" s="79">
        <f t="shared" si="12"/>
        <v>0</v>
      </c>
      <c r="J187" s="78" t="s">
        <v>274</v>
      </c>
      <c r="K187" s="79">
        <f t="shared" si="13"/>
        <v>0</v>
      </c>
      <c r="M187" s="76"/>
      <c r="N187" s="76"/>
    </row>
    <row r="188" spans="1:14" s="78" customFormat="1" ht="14.35" x14ac:dyDescent="0.5">
      <c r="A188" s="100" t="s">
        <v>679</v>
      </c>
      <c r="B188" s="100" t="s">
        <v>677</v>
      </c>
      <c r="C188" s="122"/>
      <c r="D188" s="81"/>
      <c r="E188" s="80"/>
      <c r="F188" s="80"/>
      <c r="G188" s="80"/>
      <c r="H188" s="80"/>
      <c r="I188" s="79">
        <f t="shared" si="12"/>
        <v>0</v>
      </c>
      <c r="J188" s="78" t="s">
        <v>274</v>
      </c>
      <c r="K188" s="79">
        <f t="shared" si="13"/>
        <v>0</v>
      </c>
      <c r="M188" s="76"/>
      <c r="N188" s="76"/>
    </row>
    <row r="189" spans="1:14" s="78" customFormat="1" ht="14.35" x14ac:dyDescent="0.5">
      <c r="A189" s="71" t="s">
        <v>766</v>
      </c>
      <c r="B189" s="71" t="s">
        <v>763</v>
      </c>
      <c r="C189" s="122"/>
      <c r="D189" s="81"/>
      <c r="E189" s="80"/>
      <c r="F189" s="80"/>
      <c r="G189" s="80"/>
      <c r="H189" s="80"/>
      <c r="I189" s="79">
        <f t="shared" si="12"/>
        <v>0</v>
      </c>
      <c r="J189" s="78" t="s">
        <v>274</v>
      </c>
      <c r="K189" s="79">
        <f t="shared" si="13"/>
        <v>0</v>
      </c>
      <c r="M189" s="76"/>
      <c r="N189" s="76"/>
    </row>
    <row r="190" spans="1:14" s="78" customFormat="1" ht="14.35" x14ac:dyDescent="0.5">
      <c r="A190" s="71" t="s">
        <v>767</v>
      </c>
      <c r="B190" s="71" t="s">
        <v>765</v>
      </c>
      <c r="C190" s="122"/>
      <c r="D190" s="81"/>
      <c r="E190" s="80"/>
      <c r="F190" s="80"/>
      <c r="G190" s="80"/>
      <c r="H190" s="80"/>
      <c r="I190" s="79">
        <f t="shared" ref="I190:I209" si="16">SUM(C190:H190)</f>
        <v>0</v>
      </c>
      <c r="J190" s="78" t="s">
        <v>274</v>
      </c>
      <c r="K190" s="79">
        <f t="shared" si="13"/>
        <v>0</v>
      </c>
      <c r="M190" s="76"/>
      <c r="N190" s="76"/>
    </row>
    <row r="191" spans="1:14" s="78" customFormat="1" ht="14.35" x14ac:dyDescent="0.5">
      <c r="A191" s="71" t="s">
        <v>779</v>
      </c>
      <c r="B191" s="100" t="s">
        <v>776</v>
      </c>
      <c r="C191" s="122"/>
      <c r="D191" s="81"/>
      <c r="E191" s="80"/>
      <c r="F191" s="80"/>
      <c r="G191" s="80"/>
      <c r="H191" s="80"/>
      <c r="I191" s="79">
        <f t="shared" si="16"/>
        <v>0</v>
      </c>
      <c r="J191" s="78" t="s">
        <v>274</v>
      </c>
      <c r="K191" s="79">
        <f t="shared" si="13"/>
        <v>0</v>
      </c>
      <c r="M191" s="76"/>
      <c r="N191" s="76"/>
    </row>
    <row r="192" spans="1:14" s="78" customFormat="1" ht="14.35" x14ac:dyDescent="0.5">
      <c r="A192" s="71" t="s">
        <v>780</v>
      </c>
      <c r="B192" s="100" t="s">
        <v>778</v>
      </c>
      <c r="C192" s="122"/>
      <c r="D192" s="81"/>
      <c r="E192" s="80"/>
      <c r="F192" s="80"/>
      <c r="G192" s="80"/>
      <c r="H192" s="80"/>
      <c r="I192" s="79">
        <f t="shared" si="16"/>
        <v>0</v>
      </c>
      <c r="J192" s="78" t="s">
        <v>274</v>
      </c>
      <c r="K192" s="79">
        <f t="shared" si="13"/>
        <v>0</v>
      </c>
      <c r="M192" s="76"/>
      <c r="N192" s="76"/>
    </row>
    <row r="193" spans="1:15" s="78" customFormat="1" ht="14.35" x14ac:dyDescent="0.5">
      <c r="A193" s="100" t="s">
        <v>792</v>
      </c>
      <c r="B193" s="100" t="s">
        <v>789</v>
      </c>
      <c r="C193" s="122"/>
      <c r="D193" s="81"/>
      <c r="E193" s="80"/>
      <c r="F193" s="80"/>
      <c r="G193" s="80"/>
      <c r="H193" s="80"/>
      <c r="I193" s="79">
        <f t="shared" si="16"/>
        <v>0</v>
      </c>
      <c r="J193" s="78" t="s">
        <v>274</v>
      </c>
      <c r="K193" s="79">
        <f t="shared" si="13"/>
        <v>0</v>
      </c>
      <c r="M193" s="76"/>
      <c r="N193" s="76"/>
    </row>
    <row r="194" spans="1:15" s="78" customFormat="1" ht="14.35" x14ac:dyDescent="0.5">
      <c r="A194" s="100" t="s">
        <v>793</v>
      </c>
      <c r="B194" s="100" t="s">
        <v>791</v>
      </c>
      <c r="C194" s="122"/>
      <c r="D194" s="81"/>
      <c r="E194" s="80"/>
      <c r="F194" s="80"/>
      <c r="G194" s="80"/>
      <c r="H194" s="80"/>
      <c r="I194" s="79">
        <f t="shared" si="16"/>
        <v>0</v>
      </c>
      <c r="J194" s="78" t="s">
        <v>274</v>
      </c>
      <c r="K194" s="79">
        <f t="shared" si="13"/>
        <v>0</v>
      </c>
      <c r="M194" s="76"/>
      <c r="N194" s="76"/>
    </row>
    <row r="195" spans="1:15" s="78" customFormat="1" ht="14.35" x14ac:dyDescent="0.5">
      <c r="A195" s="100" t="s">
        <v>807</v>
      </c>
      <c r="B195" s="100" t="s">
        <v>804</v>
      </c>
      <c r="C195" s="122"/>
      <c r="D195" s="81"/>
      <c r="E195" s="80"/>
      <c r="F195" s="80"/>
      <c r="G195" s="80"/>
      <c r="H195" s="80"/>
      <c r="I195" s="79">
        <f t="shared" si="16"/>
        <v>0</v>
      </c>
      <c r="J195" s="78" t="s">
        <v>274</v>
      </c>
      <c r="K195" s="79">
        <f t="shared" si="13"/>
        <v>0</v>
      </c>
      <c r="M195" s="76"/>
      <c r="N195" s="76"/>
    </row>
    <row r="196" spans="1:15" s="78" customFormat="1" ht="14.35" x14ac:dyDescent="0.5">
      <c r="A196" s="100" t="s">
        <v>816</v>
      </c>
      <c r="B196" s="100" t="s">
        <v>815</v>
      </c>
      <c r="C196" s="122"/>
      <c r="D196" s="81"/>
      <c r="E196" s="80"/>
      <c r="F196" s="80"/>
      <c r="G196" s="80"/>
      <c r="H196" s="80"/>
      <c r="I196" s="79">
        <f t="shared" si="16"/>
        <v>0</v>
      </c>
      <c r="J196" s="78" t="s">
        <v>274</v>
      </c>
      <c r="K196" s="79">
        <f t="shared" si="13"/>
        <v>0</v>
      </c>
      <c r="M196" s="76"/>
      <c r="N196" s="76"/>
    </row>
    <row r="197" spans="1:15" s="78" customFormat="1" ht="14.35" x14ac:dyDescent="0.5">
      <c r="A197" s="100" t="s">
        <v>865</v>
      </c>
      <c r="B197" s="100" t="s">
        <v>864</v>
      </c>
      <c r="C197" s="122"/>
      <c r="D197" s="81"/>
      <c r="E197" s="80"/>
      <c r="F197" s="80"/>
      <c r="G197" s="80"/>
      <c r="H197" s="80"/>
      <c r="I197" s="79">
        <f t="shared" si="16"/>
        <v>0</v>
      </c>
      <c r="J197" s="78" t="s">
        <v>274</v>
      </c>
      <c r="K197" s="79">
        <f t="shared" si="13"/>
        <v>0</v>
      </c>
      <c r="M197" s="76"/>
      <c r="N197" s="76"/>
    </row>
    <row r="198" spans="1:15" s="78" customFormat="1" ht="14.35" x14ac:dyDescent="0.5">
      <c r="A198" s="100" t="s">
        <v>873</v>
      </c>
      <c r="B198" s="100" t="s">
        <v>872</v>
      </c>
      <c r="C198" s="122"/>
      <c r="D198" s="81"/>
      <c r="E198" s="80"/>
      <c r="F198" s="80"/>
      <c r="G198" s="80"/>
      <c r="H198" s="80"/>
      <c r="I198" s="79">
        <f t="shared" si="16"/>
        <v>0</v>
      </c>
      <c r="J198" s="78" t="s">
        <v>274</v>
      </c>
      <c r="K198" s="79">
        <f t="shared" si="13"/>
        <v>0</v>
      </c>
      <c r="M198" s="76"/>
      <c r="N198" s="76"/>
    </row>
    <row r="199" spans="1:15" s="78" customFormat="1" ht="14.35" x14ac:dyDescent="0.5">
      <c r="A199" s="100" t="s">
        <v>882</v>
      </c>
      <c r="B199" s="100" t="s">
        <v>881</v>
      </c>
      <c r="C199" s="122"/>
      <c r="D199" s="81"/>
      <c r="E199" s="80"/>
      <c r="F199" s="80"/>
      <c r="G199" s="80"/>
      <c r="H199" s="80"/>
      <c r="I199" s="79">
        <f t="shared" ref="I199" si="17">SUM(C199:H199)</f>
        <v>0</v>
      </c>
      <c r="J199" s="78" t="s">
        <v>274</v>
      </c>
      <c r="K199" s="79">
        <f t="shared" ref="K199" si="18">I199</f>
        <v>0</v>
      </c>
      <c r="M199" s="76"/>
      <c r="N199" s="76"/>
    </row>
    <row r="200" spans="1:15" s="78" customFormat="1" ht="14.35" x14ac:dyDescent="0.5">
      <c r="A200" s="91">
        <v>27250</v>
      </c>
      <c r="B200" s="68" t="s">
        <v>772</v>
      </c>
      <c r="C200" s="122"/>
      <c r="D200" s="89"/>
      <c r="E200" s="80"/>
      <c r="G200" s="78">
        <f>-D200</f>
        <v>0</v>
      </c>
      <c r="I200" s="79">
        <f t="shared" si="16"/>
        <v>0</v>
      </c>
      <c r="J200" s="78" t="s">
        <v>267</v>
      </c>
      <c r="K200" s="79">
        <f t="shared" si="13"/>
        <v>0</v>
      </c>
      <c r="M200" s="76"/>
      <c r="N200" s="76"/>
    </row>
    <row r="201" spans="1:15" s="78" customFormat="1" ht="14.35" x14ac:dyDescent="0.5">
      <c r="A201" s="69" t="s">
        <v>770</v>
      </c>
      <c r="B201" s="68" t="s">
        <v>771</v>
      </c>
      <c r="C201" s="122"/>
      <c r="D201" s="81"/>
      <c r="G201" s="78">
        <f>-E201</f>
        <v>0</v>
      </c>
      <c r="I201" s="79">
        <f t="shared" si="16"/>
        <v>0</v>
      </c>
      <c r="J201" s="78" t="s">
        <v>267</v>
      </c>
      <c r="K201" s="79">
        <f t="shared" si="13"/>
        <v>0</v>
      </c>
      <c r="M201" s="76"/>
      <c r="N201" s="76"/>
    </row>
    <row r="202" spans="1:15" s="78" customFormat="1" ht="14.35" x14ac:dyDescent="0.5">
      <c r="A202" s="68" t="s">
        <v>477</v>
      </c>
      <c r="B202" s="68" t="s">
        <v>137</v>
      </c>
      <c r="C202" s="122"/>
      <c r="D202" s="81"/>
      <c r="E202" s="80"/>
      <c r="I202" s="79">
        <f t="shared" si="16"/>
        <v>0</v>
      </c>
      <c r="J202" s="78" t="s">
        <v>861</v>
      </c>
      <c r="K202" s="79">
        <f t="shared" si="13"/>
        <v>0</v>
      </c>
      <c r="M202" s="76"/>
      <c r="N202" s="76"/>
    </row>
    <row r="203" spans="1:15" s="78" customFormat="1" ht="14.35" x14ac:dyDescent="0.5">
      <c r="A203" s="69" t="s">
        <v>773</v>
      </c>
      <c r="B203" s="68" t="s">
        <v>605</v>
      </c>
      <c r="C203" s="122"/>
      <c r="D203" s="89"/>
      <c r="E203" s="80"/>
      <c r="I203" s="79">
        <f t="shared" si="16"/>
        <v>0</v>
      </c>
      <c r="J203" s="78" t="s">
        <v>278</v>
      </c>
      <c r="K203" s="79">
        <f t="shared" si="13"/>
        <v>0</v>
      </c>
      <c r="M203" s="76"/>
      <c r="N203" s="76"/>
    </row>
    <row r="204" spans="1:15" s="78" customFormat="1" ht="14.35" x14ac:dyDescent="0.5">
      <c r="A204" s="69" t="s">
        <v>774</v>
      </c>
      <c r="B204" s="68" t="s">
        <v>606</v>
      </c>
      <c r="C204" s="122"/>
      <c r="D204" s="89"/>
      <c r="E204" s="80"/>
      <c r="H204" s="78">
        <f>'P&amp;L-Detail 11.18'!I149</f>
        <v>0</v>
      </c>
      <c r="I204" s="79">
        <f>SUM(C204:H204)</f>
        <v>0</v>
      </c>
      <c r="J204" s="78" t="s">
        <v>278</v>
      </c>
      <c r="K204" s="79">
        <f t="shared" si="13"/>
        <v>0</v>
      </c>
      <c r="M204" s="76"/>
      <c r="N204" s="76"/>
    </row>
    <row r="205" spans="1:15" s="78" customFormat="1" x14ac:dyDescent="0.4">
      <c r="A205" s="68" t="s">
        <v>478</v>
      </c>
      <c r="B205" s="68" t="s">
        <v>138</v>
      </c>
      <c r="C205" s="122"/>
      <c r="D205" s="89"/>
      <c r="I205" s="79">
        <f t="shared" si="16"/>
        <v>0</v>
      </c>
      <c r="J205" s="78" t="s">
        <v>278</v>
      </c>
      <c r="K205" s="79">
        <f t="shared" si="13"/>
        <v>0</v>
      </c>
      <c r="M205" s="76"/>
      <c r="N205" s="76"/>
    </row>
    <row r="206" spans="1:15" s="78" customFormat="1" x14ac:dyDescent="0.4">
      <c r="A206" s="68" t="s">
        <v>479</v>
      </c>
      <c r="B206" s="68" t="s">
        <v>139</v>
      </c>
      <c r="C206" s="122"/>
      <c r="D206" s="89"/>
      <c r="F206" s="78">
        <f>-E206-D206</f>
        <v>0</v>
      </c>
      <c r="I206" s="79">
        <f t="shared" si="16"/>
        <v>0</v>
      </c>
      <c r="J206" s="78" t="s">
        <v>276</v>
      </c>
      <c r="K206" s="79">
        <f t="shared" si="13"/>
        <v>0</v>
      </c>
      <c r="M206" s="76"/>
      <c r="N206" s="76"/>
    </row>
    <row r="207" spans="1:15" s="78" customFormat="1" ht="14.35" x14ac:dyDescent="0.5">
      <c r="A207" s="68" t="s">
        <v>480</v>
      </c>
      <c r="B207" s="68" t="s">
        <v>140</v>
      </c>
      <c r="C207" s="122"/>
      <c r="D207" s="81"/>
      <c r="E207" s="80"/>
      <c r="I207" s="79">
        <f t="shared" si="16"/>
        <v>0</v>
      </c>
      <c r="J207" s="78" t="s">
        <v>275</v>
      </c>
      <c r="K207" s="79">
        <f t="shared" si="13"/>
        <v>0</v>
      </c>
      <c r="M207" s="76"/>
      <c r="N207" s="76"/>
    </row>
    <row r="208" spans="1:15" s="78" customFormat="1" ht="14.35" x14ac:dyDescent="0.5">
      <c r="A208" s="68" t="s">
        <v>481</v>
      </c>
      <c r="B208" s="68" t="s">
        <v>141</v>
      </c>
      <c r="C208" s="122"/>
      <c r="D208" s="81"/>
      <c r="E208" s="80"/>
      <c r="I208" s="79">
        <f t="shared" si="16"/>
        <v>0</v>
      </c>
      <c r="J208" s="78" t="s">
        <v>277</v>
      </c>
      <c r="K208" s="79">
        <f t="shared" si="13"/>
        <v>0</v>
      </c>
      <c r="M208" s="76"/>
      <c r="N208" s="76"/>
      <c r="O208" s="76"/>
    </row>
    <row r="209" spans="1:16" s="78" customFormat="1" x14ac:dyDescent="0.4">
      <c r="A209" s="68" t="s">
        <v>304</v>
      </c>
      <c r="B209" s="68" t="s">
        <v>142</v>
      </c>
      <c r="C209" s="122"/>
      <c r="D209" s="89"/>
      <c r="I209" s="79">
        <f t="shared" si="16"/>
        <v>0</v>
      </c>
      <c r="J209" s="78" t="s">
        <v>278</v>
      </c>
      <c r="K209" s="79">
        <f t="shared" si="13"/>
        <v>0</v>
      </c>
      <c r="M209" s="76"/>
      <c r="N209" s="76"/>
      <c r="O209" s="76"/>
    </row>
    <row r="210" spans="1:16" s="78" customFormat="1" x14ac:dyDescent="0.4">
      <c r="A210" s="76" t="s">
        <v>483</v>
      </c>
      <c r="B210" s="8"/>
      <c r="C210" s="110">
        <f t="shared" ref="C210:K210" si="19">SUM(C6:C87)+SUM(C88:C209)</f>
        <v>0</v>
      </c>
      <c r="D210" s="119">
        <f t="shared" si="19"/>
        <v>0</v>
      </c>
      <c r="E210" s="20">
        <f t="shared" si="19"/>
        <v>0</v>
      </c>
      <c r="F210" s="20">
        <f t="shared" si="19"/>
        <v>0</v>
      </c>
      <c r="G210" s="20">
        <f t="shared" si="19"/>
        <v>0</v>
      </c>
      <c r="H210" s="20">
        <f t="shared" si="19"/>
        <v>0</v>
      </c>
      <c r="I210" s="20">
        <f t="shared" si="19"/>
        <v>0</v>
      </c>
      <c r="J210" s="20">
        <f t="shared" si="19"/>
        <v>0</v>
      </c>
      <c r="K210" s="20">
        <f t="shared" si="19"/>
        <v>0</v>
      </c>
      <c r="M210" s="76"/>
      <c r="N210" s="76"/>
      <c r="O210" s="76"/>
    </row>
    <row r="211" spans="1:16" s="78" customFormat="1" x14ac:dyDescent="0.4">
      <c r="A211" s="76"/>
      <c r="B211" s="8"/>
      <c r="D211" s="89"/>
      <c r="I211" s="79"/>
      <c r="K211" s="79"/>
      <c r="M211" s="76"/>
      <c r="N211" s="76"/>
      <c r="O211" s="76"/>
    </row>
    <row r="212" spans="1:16" s="78" customFormat="1" x14ac:dyDescent="0.4">
      <c r="A212" s="76"/>
      <c r="B212" s="8" t="s">
        <v>261</v>
      </c>
      <c r="D212" s="89"/>
      <c r="I212" s="79"/>
      <c r="K212" s="79"/>
      <c r="M212" s="76"/>
      <c r="N212" s="76"/>
      <c r="O212" s="76"/>
      <c r="P212" s="76"/>
    </row>
    <row r="213" spans="1:16" s="78" customFormat="1" x14ac:dyDescent="0.4">
      <c r="A213" s="76"/>
      <c r="B213" s="76" t="s">
        <v>285</v>
      </c>
      <c r="C213" s="78">
        <f>SUM(C6:C87)</f>
        <v>0</v>
      </c>
      <c r="D213" s="89">
        <f>SUM(D6:D87)</f>
        <v>0</v>
      </c>
      <c r="E213" s="78">
        <f>SUM(E6:E87)</f>
        <v>0</v>
      </c>
      <c r="I213" s="79"/>
      <c r="K213" s="78">
        <f>SUM(K6:K87)</f>
        <v>0</v>
      </c>
      <c r="M213" s="76"/>
      <c r="N213" s="76"/>
      <c r="O213" s="76"/>
      <c r="P213" s="76"/>
    </row>
    <row r="214" spans="1:16" s="78" customFormat="1" x14ac:dyDescent="0.4">
      <c r="A214" s="76"/>
      <c r="B214" s="76" t="s">
        <v>286</v>
      </c>
      <c r="C214" s="78">
        <f>SUM(C88:C202)</f>
        <v>0</v>
      </c>
      <c r="D214" s="89">
        <f>SUM(D88:D202)</f>
        <v>0</v>
      </c>
      <c r="E214" s="78">
        <f>SUM(E88:E202)</f>
        <v>0</v>
      </c>
      <c r="H214" s="78">
        <f>374064.27+C209</f>
        <v>374064.27</v>
      </c>
      <c r="I214" s="79"/>
      <c r="K214" s="78">
        <f>SUM(K88:K202)</f>
        <v>0</v>
      </c>
      <c r="M214" s="76"/>
      <c r="N214" s="76"/>
      <c r="O214" s="76"/>
      <c r="P214" s="76"/>
    </row>
    <row r="215" spans="1:16" s="78" customFormat="1" x14ac:dyDescent="0.4">
      <c r="A215" s="76"/>
      <c r="B215" s="76" t="s">
        <v>607</v>
      </c>
      <c r="C215" s="78">
        <f>SUM(C203:C209)</f>
        <v>0</v>
      </c>
      <c r="D215" s="89">
        <f>SUM(D203:D209)</f>
        <v>0</v>
      </c>
      <c r="E215" s="78">
        <f>SUM(E203:E209)</f>
        <v>0</v>
      </c>
      <c r="I215" s="79"/>
      <c r="K215" s="78">
        <f>SUM(K203:K209)</f>
        <v>0</v>
      </c>
      <c r="M215" s="76"/>
      <c r="N215" s="76"/>
      <c r="O215" s="76"/>
      <c r="P215" s="76"/>
    </row>
    <row r="216" spans="1:16" s="78" customFormat="1" x14ac:dyDescent="0.4">
      <c r="A216" s="76"/>
      <c r="B216" s="76" t="s">
        <v>483</v>
      </c>
      <c r="C216" s="78">
        <f>SUM(C213:C215)</f>
        <v>0</v>
      </c>
      <c r="D216" s="89">
        <f>SUM(D213:D215)</f>
        <v>0</v>
      </c>
      <c r="E216" s="78">
        <f>SUM(E213:E215)</f>
        <v>0</v>
      </c>
      <c r="I216" s="79"/>
      <c r="K216" s="78">
        <f>SUM(K213:K215)</f>
        <v>0</v>
      </c>
      <c r="M216" s="76"/>
      <c r="N216" s="76"/>
      <c r="O216" s="76"/>
      <c r="P216" s="76"/>
    </row>
    <row r="217" spans="1:16" s="78" customFormat="1" x14ac:dyDescent="0.4">
      <c r="A217" s="68"/>
      <c r="B217" s="68"/>
      <c r="C217" s="77"/>
      <c r="D217" s="77"/>
      <c r="E217" s="76"/>
      <c r="I217" s="79"/>
      <c r="K217" s="79"/>
      <c r="M217" s="76"/>
      <c r="N217" s="76"/>
      <c r="O217" s="76"/>
      <c r="P217" s="76"/>
    </row>
    <row r="218" spans="1:16" s="78" customFormat="1" x14ac:dyDescent="0.4">
      <c r="A218" s="68"/>
      <c r="B218" s="68"/>
      <c r="C218" s="77"/>
      <c r="D218" s="77"/>
      <c r="E218" s="76"/>
      <c r="I218" s="79"/>
      <c r="K218" s="79"/>
      <c r="M218" s="76"/>
      <c r="N218" s="76"/>
      <c r="O218" s="76"/>
      <c r="P218" s="76"/>
    </row>
    <row r="219" spans="1:16" s="78" customFormat="1" x14ac:dyDescent="0.4">
      <c r="A219" s="68"/>
      <c r="B219" s="68"/>
      <c r="C219" s="77"/>
      <c r="D219" s="77"/>
      <c r="E219" s="76"/>
      <c r="I219" s="79"/>
      <c r="K219" s="79"/>
      <c r="M219" s="76"/>
      <c r="N219" s="76"/>
      <c r="O219" s="76"/>
      <c r="P219" s="76"/>
    </row>
    <row r="220" spans="1:16" s="78" customFormat="1" x14ac:dyDescent="0.4">
      <c r="A220" s="68"/>
      <c r="B220" s="68"/>
      <c r="C220" s="77"/>
      <c r="D220" s="77"/>
      <c r="E220" s="76"/>
      <c r="I220" s="79"/>
      <c r="K220" s="79"/>
      <c r="M220" s="76"/>
      <c r="N220" s="76"/>
      <c r="O220" s="76"/>
      <c r="P220" s="76"/>
    </row>
    <row r="221" spans="1:16" s="78" customFormat="1" x14ac:dyDescent="0.4">
      <c r="A221" s="68"/>
      <c r="B221" s="68"/>
      <c r="C221" s="77"/>
      <c r="D221" s="77"/>
      <c r="E221" s="76"/>
      <c r="I221" s="79"/>
      <c r="K221" s="79"/>
      <c r="M221" s="76"/>
      <c r="N221" s="76"/>
      <c r="O221" s="76"/>
      <c r="P221" s="76"/>
    </row>
    <row r="222" spans="1:16" s="78" customFormat="1" x14ac:dyDescent="0.4">
      <c r="A222" s="68"/>
      <c r="B222" s="68"/>
      <c r="C222" s="77"/>
      <c r="D222" s="77"/>
      <c r="E222" s="76"/>
      <c r="I222" s="79"/>
      <c r="K222" s="79"/>
      <c r="M222" s="76"/>
      <c r="N222" s="76"/>
      <c r="O222" s="76"/>
      <c r="P222" s="76"/>
    </row>
    <row r="223" spans="1:16" s="78" customFormat="1" x14ac:dyDescent="0.4">
      <c r="A223" s="68"/>
      <c r="B223" s="68"/>
      <c r="C223" s="77"/>
      <c r="D223" s="77"/>
      <c r="E223" s="76"/>
      <c r="I223" s="79"/>
      <c r="K223" s="79"/>
      <c r="M223" s="76"/>
      <c r="N223" s="76"/>
      <c r="O223" s="76"/>
      <c r="P223" s="76"/>
    </row>
    <row r="224" spans="1:16" s="78" customFormat="1" x14ac:dyDescent="0.4">
      <c r="A224" s="100"/>
      <c r="B224" s="100"/>
      <c r="C224" s="77"/>
      <c r="D224" s="77"/>
      <c r="E224" s="76"/>
      <c r="I224" s="79"/>
      <c r="K224" s="79"/>
      <c r="M224" s="76"/>
      <c r="N224" s="76"/>
      <c r="O224" s="76"/>
      <c r="P224" s="76"/>
    </row>
    <row r="225" spans="1:16" s="78" customFormat="1" x14ac:dyDescent="0.4">
      <c r="A225" s="100"/>
      <c r="B225" s="100"/>
      <c r="C225" s="77"/>
      <c r="D225" s="77"/>
      <c r="E225" s="76"/>
      <c r="I225" s="79"/>
      <c r="K225" s="79"/>
      <c r="M225" s="76"/>
      <c r="N225" s="76"/>
      <c r="O225" s="76"/>
      <c r="P225" s="76"/>
    </row>
    <row r="226" spans="1:16" x14ac:dyDescent="0.4">
      <c r="A226" s="100"/>
      <c r="B226" s="100"/>
      <c r="C226" s="77"/>
      <c r="D226" s="77"/>
      <c r="E226" s="76"/>
    </row>
    <row r="227" spans="1:16" x14ac:dyDescent="0.4">
      <c r="A227" s="100"/>
      <c r="B227" s="100"/>
      <c r="C227" s="77"/>
      <c r="D227" s="77"/>
      <c r="E227" s="76"/>
    </row>
    <row r="228" spans="1:16" x14ac:dyDescent="0.4">
      <c r="A228" s="100"/>
      <c r="B228" s="100"/>
      <c r="C228" s="77"/>
      <c r="D228" s="77"/>
      <c r="E228" s="76"/>
    </row>
    <row r="229" spans="1:16" x14ac:dyDescent="0.4">
      <c r="A229" s="100"/>
      <c r="B229" s="100"/>
      <c r="C229" s="77"/>
      <c r="D229" s="77"/>
      <c r="E229" s="76"/>
    </row>
    <row r="230" spans="1:16" x14ac:dyDescent="0.4">
      <c r="A230" s="100"/>
      <c r="B230" s="100"/>
      <c r="C230" s="77"/>
      <c r="D230" s="77"/>
      <c r="E230" s="76"/>
    </row>
    <row r="231" spans="1:16" x14ac:dyDescent="0.4">
      <c r="A231" s="100"/>
      <c r="B231" s="100"/>
      <c r="C231" s="77"/>
      <c r="D231" s="77"/>
      <c r="E231" s="76"/>
    </row>
    <row r="232" spans="1:16" x14ac:dyDescent="0.4">
      <c r="A232" s="100"/>
      <c r="B232" s="100"/>
      <c r="C232" s="77"/>
      <c r="D232" s="77"/>
      <c r="E232" s="76"/>
    </row>
    <row r="233" spans="1:16" x14ac:dyDescent="0.4">
      <c r="A233" s="100"/>
      <c r="B233" s="100"/>
      <c r="C233" s="77"/>
      <c r="D233" s="77"/>
      <c r="E233" s="76"/>
    </row>
    <row r="234" spans="1:16" x14ac:dyDescent="0.4">
      <c r="A234" s="100"/>
      <c r="B234" s="100"/>
      <c r="C234" s="77"/>
      <c r="D234" s="77"/>
      <c r="E234" s="76"/>
    </row>
    <row r="235" spans="1:16" x14ac:dyDescent="0.4">
      <c r="A235" s="100"/>
      <c r="B235" s="100"/>
      <c r="C235" s="77"/>
      <c r="D235" s="77"/>
      <c r="E235" s="76"/>
    </row>
    <row r="236" spans="1:16" x14ac:dyDescent="0.4">
      <c r="B236" s="68"/>
      <c r="C236" s="77"/>
      <c r="D236" s="77"/>
    </row>
    <row r="237" spans="1:16" x14ac:dyDescent="0.4">
      <c r="B237" s="68"/>
      <c r="C237" s="77"/>
      <c r="E237" s="76"/>
    </row>
    <row r="238" spans="1:16" x14ac:dyDescent="0.4">
      <c r="A238" s="68"/>
      <c r="B238" s="68"/>
      <c r="C238" s="77"/>
      <c r="D238" s="77"/>
    </row>
    <row r="239" spans="1:16" x14ac:dyDescent="0.4">
      <c r="A239" s="68"/>
      <c r="B239" s="68"/>
      <c r="C239" s="77"/>
      <c r="D239" s="77"/>
      <c r="E239" s="76"/>
    </row>
    <row r="240" spans="1:16" x14ac:dyDescent="0.4">
      <c r="A240" s="68"/>
      <c r="B240" s="68"/>
      <c r="C240" s="77"/>
      <c r="E240" s="76"/>
    </row>
    <row r="241" spans="1:12" x14ac:dyDescent="0.4">
      <c r="A241" s="68"/>
      <c r="B241" s="68"/>
      <c r="C241" s="77"/>
      <c r="E241" s="76"/>
    </row>
    <row r="242" spans="1:12" x14ac:dyDescent="0.4">
      <c r="A242" s="68"/>
      <c r="B242" s="68"/>
      <c r="C242" s="77"/>
    </row>
    <row r="243" spans="1:12" x14ac:dyDescent="0.4">
      <c r="D243" s="77"/>
      <c r="E243" s="76"/>
      <c r="F243" s="76"/>
      <c r="G243" s="76"/>
      <c r="H243" s="76"/>
      <c r="I243" s="76"/>
      <c r="J243" s="76"/>
      <c r="K243" s="76"/>
      <c r="L243" s="76"/>
    </row>
    <row r="244" spans="1:12" x14ac:dyDescent="0.4">
      <c r="D244" s="77"/>
      <c r="E244" s="76"/>
      <c r="F244" s="76"/>
      <c r="G244" s="76"/>
      <c r="H244" s="76"/>
      <c r="I244" s="76"/>
      <c r="J244" s="76"/>
      <c r="K244" s="76"/>
      <c r="L244" s="76"/>
    </row>
    <row r="245" spans="1:12" x14ac:dyDescent="0.4">
      <c r="D245" s="77"/>
      <c r="E245" s="76"/>
      <c r="F245" s="76"/>
      <c r="G245" s="76"/>
      <c r="H245" s="76"/>
      <c r="I245" s="76"/>
      <c r="J245" s="76"/>
      <c r="K245" s="76"/>
      <c r="L245" s="76"/>
    </row>
    <row r="246" spans="1:12" x14ac:dyDescent="0.4">
      <c r="D246" s="77"/>
      <c r="E246" s="76"/>
      <c r="F246" s="76"/>
      <c r="G246" s="76"/>
      <c r="H246" s="76"/>
      <c r="I246" s="76"/>
      <c r="J246" s="76"/>
      <c r="K246" s="76"/>
      <c r="L246" s="76"/>
    </row>
    <row r="247" spans="1:12" x14ac:dyDescent="0.4">
      <c r="D247" s="77"/>
      <c r="E247" s="76"/>
      <c r="F247" s="76"/>
      <c r="G247" s="76"/>
      <c r="H247" s="76"/>
      <c r="I247" s="76"/>
      <c r="J247" s="76"/>
      <c r="K247" s="76"/>
      <c r="L247" s="76"/>
    </row>
    <row r="248" spans="1:12" x14ac:dyDescent="0.4">
      <c r="D248" s="77"/>
      <c r="E248" s="76"/>
      <c r="F248" s="76"/>
      <c r="G248" s="76"/>
      <c r="H248" s="76"/>
      <c r="I248" s="76"/>
      <c r="J248" s="76"/>
      <c r="K248" s="76"/>
      <c r="L248" s="76"/>
    </row>
    <row r="249" spans="1:12" x14ac:dyDescent="0.4">
      <c r="D249" s="77"/>
      <c r="E249" s="76"/>
      <c r="F249" s="76"/>
      <c r="G249" s="76"/>
      <c r="H249" s="76"/>
      <c r="I249" s="76"/>
      <c r="J249" s="76"/>
      <c r="K249" s="77">
        <f>SUM(K95:K110)+SUM(K121:K150)+SUM(K158:K198)</f>
        <v>0</v>
      </c>
      <c r="L249" s="76"/>
    </row>
    <row r="250" spans="1:12" x14ac:dyDescent="0.4">
      <c r="D250" s="77"/>
      <c r="E250" s="76"/>
      <c r="F250" s="76"/>
      <c r="G250" s="76"/>
      <c r="H250" s="76"/>
      <c r="I250" s="76"/>
      <c r="J250" s="76"/>
      <c r="K250" s="76"/>
      <c r="L250" s="76"/>
    </row>
    <row r="251" spans="1:12" x14ac:dyDescent="0.4">
      <c r="D251" s="77"/>
      <c r="E251" s="76"/>
      <c r="F251" s="76"/>
      <c r="G251" s="76"/>
      <c r="H251" s="76"/>
      <c r="I251" s="76"/>
      <c r="J251" s="76"/>
      <c r="K251" s="76"/>
      <c r="L251" s="76"/>
    </row>
    <row r="252" spans="1:12" x14ac:dyDescent="0.4">
      <c r="D252" s="77"/>
      <c r="E252" s="76"/>
      <c r="F252" s="76"/>
      <c r="G252" s="76"/>
      <c r="H252" s="76"/>
      <c r="I252" s="76"/>
      <c r="J252" s="76"/>
      <c r="K252" s="76"/>
      <c r="L252" s="76"/>
    </row>
    <row r="253" spans="1:12" x14ac:dyDescent="0.4">
      <c r="D253" s="77"/>
      <c r="E253" s="76"/>
      <c r="F253" s="76"/>
      <c r="G253" s="76"/>
      <c r="H253" s="76"/>
      <c r="I253" s="76"/>
      <c r="J253" s="76"/>
      <c r="K253" s="76"/>
      <c r="L253" s="76"/>
    </row>
    <row r="254" spans="1:12" x14ac:dyDescent="0.4">
      <c r="D254" s="77"/>
      <c r="E254" s="76"/>
      <c r="F254" s="76"/>
      <c r="G254" s="76"/>
      <c r="H254" s="76"/>
      <c r="I254" s="76"/>
      <c r="J254" s="76"/>
      <c r="K254" s="76"/>
      <c r="L254" s="76"/>
    </row>
    <row r="445" spans="15:15" x14ac:dyDescent="0.4">
      <c r="O445" s="78"/>
    </row>
    <row r="446" spans="15:15" x14ac:dyDescent="0.4">
      <c r="O446" s="78"/>
    </row>
    <row r="447" spans="15:15" x14ac:dyDescent="0.4">
      <c r="O447" s="78"/>
    </row>
    <row r="448" spans="15:15" x14ac:dyDescent="0.4">
      <c r="O448" s="78"/>
    </row>
    <row r="449" spans="1:16" x14ac:dyDescent="0.4">
      <c r="O449" s="78"/>
      <c r="P449" s="78"/>
    </row>
    <row r="450" spans="1:16" x14ac:dyDescent="0.4">
      <c r="O450" s="78"/>
      <c r="P450" s="78"/>
    </row>
    <row r="451" spans="1:16" x14ac:dyDescent="0.4">
      <c r="O451" s="78"/>
      <c r="P451" s="78"/>
    </row>
    <row r="452" spans="1:16" x14ac:dyDescent="0.4">
      <c r="O452" s="78"/>
      <c r="P452" s="78"/>
    </row>
    <row r="453" spans="1:16" x14ac:dyDescent="0.4">
      <c r="O453" s="78"/>
      <c r="P453" s="78"/>
    </row>
    <row r="454" spans="1:16" x14ac:dyDescent="0.4">
      <c r="O454" s="78"/>
      <c r="P454" s="78"/>
    </row>
    <row r="455" spans="1:16" x14ac:dyDescent="0.4">
      <c r="O455" s="78"/>
      <c r="P455" s="78"/>
    </row>
    <row r="456" spans="1:16" x14ac:dyDescent="0.4">
      <c r="O456" s="78"/>
      <c r="P456" s="78"/>
    </row>
    <row r="457" spans="1:16" x14ac:dyDescent="0.4">
      <c r="O457" s="78"/>
      <c r="P457" s="78"/>
    </row>
    <row r="458" spans="1:16" x14ac:dyDescent="0.4">
      <c r="O458" s="78"/>
      <c r="P458" s="78"/>
    </row>
    <row r="459" spans="1:16" x14ac:dyDescent="0.4">
      <c r="O459" s="78"/>
      <c r="P459" s="78"/>
    </row>
    <row r="460" spans="1:16" x14ac:dyDescent="0.4">
      <c r="O460" s="78"/>
      <c r="P460" s="78"/>
    </row>
    <row r="461" spans="1:16" x14ac:dyDescent="0.4">
      <c r="O461" s="78"/>
      <c r="P461" s="78"/>
    </row>
    <row r="462" spans="1:16" x14ac:dyDescent="0.4">
      <c r="O462" s="78"/>
      <c r="P462" s="78"/>
    </row>
    <row r="463" spans="1:16" s="78" customFormat="1" x14ac:dyDescent="0.4">
      <c r="A463" s="76"/>
      <c r="B463" s="76"/>
      <c r="D463" s="89"/>
      <c r="I463" s="79"/>
      <c r="K463" s="79"/>
      <c r="M463" s="76"/>
      <c r="N463" s="76"/>
    </row>
    <row r="464" spans="1:16" s="78" customFormat="1" x14ac:dyDescent="0.4">
      <c r="A464" s="76"/>
      <c r="B464" s="76"/>
      <c r="D464" s="89"/>
      <c r="I464" s="79"/>
      <c r="K464" s="79"/>
      <c r="M464" s="76"/>
      <c r="N464" s="76"/>
    </row>
    <row r="465" spans="1:16" s="78" customFormat="1" x14ac:dyDescent="0.4">
      <c r="A465" s="76"/>
      <c r="B465" s="76"/>
      <c r="D465" s="89"/>
      <c r="I465" s="79"/>
      <c r="K465" s="79"/>
      <c r="M465" s="76"/>
      <c r="N465" s="76"/>
    </row>
    <row r="466" spans="1:16" s="78" customFormat="1" x14ac:dyDescent="0.4">
      <c r="A466" s="76"/>
      <c r="B466" s="76"/>
      <c r="D466" s="89"/>
      <c r="I466" s="79"/>
      <c r="K466" s="79"/>
      <c r="M466" s="76"/>
      <c r="N466" s="76"/>
    </row>
    <row r="467" spans="1:16" s="78" customFormat="1" x14ac:dyDescent="0.4">
      <c r="A467" s="76"/>
      <c r="B467" s="76"/>
      <c r="C467" s="14"/>
      <c r="D467" s="120"/>
      <c r="I467" s="79"/>
      <c r="K467" s="79"/>
      <c r="M467" s="76"/>
      <c r="N467" s="76"/>
    </row>
    <row r="468" spans="1:16" s="78" customFormat="1" x14ac:dyDescent="0.4">
      <c r="A468" s="76"/>
      <c r="B468" s="76"/>
      <c r="C468" s="14"/>
      <c r="D468" s="120"/>
      <c r="I468" s="79"/>
      <c r="K468" s="79"/>
      <c r="M468" s="76"/>
      <c r="N468" s="76"/>
    </row>
    <row r="469" spans="1:16" s="78" customFormat="1" x14ac:dyDescent="0.4">
      <c r="A469" s="76"/>
      <c r="B469" s="76"/>
      <c r="C469" s="14"/>
      <c r="D469" s="120"/>
      <c r="I469" s="79"/>
      <c r="K469" s="79"/>
      <c r="M469" s="76"/>
      <c r="N469" s="76"/>
    </row>
    <row r="470" spans="1:16" s="78" customFormat="1" x14ac:dyDescent="0.4">
      <c r="A470" s="76"/>
      <c r="B470" s="76"/>
      <c r="C470" s="14"/>
      <c r="D470" s="120"/>
      <c r="I470" s="79"/>
      <c r="K470" s="79"/>
      <c r="M470" s="76"/>
      <c r="N470" s="76"/>
    </row>
    <row r="471" spans="1:16" s="78" customFormat="1" x14ac:dyDescent="0.4">
      <c r="A471" s="76"/>
      <c r="B471" s="76"/>
      <c r="C471" s="14"/>
      <c r="D471" s="120"/>
      <c r="I471" s="79"/>
      <c r="K471" s="79"/>
      <c r="M471" s="76"/>
      <c r="N471" s="76"/>
    </row>
    <row r="472" spans="1:16" s="78" customFormat="1" x14ac:dyDescent="0.4">
      <c r="A472" s="76"/>
      <c r="B472" s="76"/>
      <c r="C472" s="14"/>
      <c r="D472" s="120"/>
      <c r="I472" s="79"/>
      <c r="K472" s="79"/>
      <c r="M472" s="76"/>
      <c r="N472" s="76"/>
    </row>
    <row r="473" spans="1:16" s="78" customFormat="1" x14ac:dyDescent="0.4">
      <c r="A473" s="76"/>
      <c r="B473" s="76"/>
      <c r="C473" s="14"/>
      <c r="D473" s="120"/>
      <c r="I473" s="79"/>
      <c r="K473" s="79"/>
      <c r="M473" s="76"/>
      <c r="N473" s="76"/>
    </row>
    <row r="474" spans="1:16" s="78" customFormat="1" x14ac:dyDescent="0.4">
      <c r="A474" s="76"/>
      <c r="B474" s="76"/>
      <c r="C474" s="14"/>
      <c r="D474" s="120"/>
      <c r="I474" s="79"/>
      <c r="K474" s="79"/>
      <c r="M474" s="76"/>
      <c r="N474" s="76"/>
      <c r="O474" s="76"/>
    </row>
    <row r="475" spans="1:16" s="78" customFormat="1" x14ac:dyDescent="0.4">
      <c r="A475" s="76"/>
      <c r="B475" s="76"/>
      <c r="C475" s="14"/>
      <c r="D475" s="120"/>
      <c r="I475" s="79"/>
      <c r="K475" s="79"/>
      <c r="M475" s="76"/>
      <c r="N475" s="76"/>
      <c r="O475" s="76"/>
    </row>
    <row r="476" spans="1:16" s="78" customFormat="1" x14ac:dyDescent="0.4">
      <c r="A476" s="76"/>
      <c r="B476" s="76"/>
      <c r="C476" s="14"/>
      <c r="D476" s="120"/>
      <c r="I476" s="79"/>
      <c r="K476" s="79"/>
      <c r="M476" s="76"/>
      <c r="N476" s="76"/>
      <c r="O476" s="76"/>
    </row>
    <row r="477" spans="1:16" s="78" customFormat="1" x14ac:dyDescent="0.4">
      <c r="A477" s="76"/>
      <c r="B477" s="76"/>
      <c r="C477" s="14"/>
      <c r="D477" s="120"/>
      <c r="I477" s="79"/>
      <c r="K477" s="79"/>
      <c r="M477" s="76"/>
      <c r="N477" s="76"/>
      <c r="O477" s="76"/>
    </row>
    <row r="478" spans="1:16" s="78" customFormat="1" x14ac:dyDescent="0.4">
      <c r="A478" s="76"/>
      <c r="B478" s="76"/>
      <c r="C478" s="14"/>
      <c r="D478" s="120"/>
      <c r="I478" s="79"/>
      <c r="K478" s="79"/>
      <c r="M478" s="76"/>
      <c r="N478" s="76"/>
      <c r="O478" s="76"/>
      <c r="P478" s="76"/>
    </row>
    <row r="479" spans="1:16" s="78" customFormat="1" x14ac:dyDescent="0.4">
      <c r="A479" s="76"/>
      <c r="B479" s="76"/>
      <c r="C479" s="14"/>
      <c r="D479" s="120"/>
      <c r="I479" s="79"/>
      <c r="K479" s="79"/>
      <c r="M479" s="76"/>
      <c r="N479" s="76"/>
      <c r="O479" s="76"/>
      <c r="P479" s="76"/>
    </row>
    <row r="480" spans="1:16" s="78" customFormat="1" x14ac:dyDescent="0.4">
      <c r="A480" s="76"/>
      <c r="B480" s="76"/>
      <c r="C480" s="14"/>
      <c r="D480" s="120"/>
      <c r="I480" s="79"/>
      <c r="K480" s="79"/>
      <c r="M480" s="76"/>
      <c r="N480" s="76"/>
      <c r="O480" s="76"/>
      <c r="P480" s="76"/>
    </row>
    <row r="481" spans="1:16" s="78" customFormat="1" x14ac:dyDescent="0.4">
      <c r="A481" s="76"/>
      <c r="B481" s="76"/>
      <c r="C481" s="14"/>
      <c r="D481" s="120"/>
      <c r="I481" s="79"/>
      <c r="K481" s="79"/>
      <c r="M481" s="76"/>
      <c r="N481" s="76"/>
      <c r="O481" s="76"/>
      <c r="P481" s="76"/>
    </row>
    <row r="482" spans="1:16" s="78" customFormat="1" x14ac:dyDescent="0.4">
      <c r="A482" s="76"/>
      <c r="B482" s="76"/>
      <c r="C482" s="14"/>
      <c r="D482" s="120"/>
      <c r="I482" s="79"/>
      <c r="K482" s="79"/>
      <c r="M482" s="76"/>
      <c r="N482" s="76"/>
      <c r="O482" s="76"/>
      <c r="P482" s="76"/>
    </row>
    <row r="483" spans="1:16" s="78" customFormat="1" x14ac:dyDescent="0.4">
      <c r="A483" s="76"/>
      <c r="B483" s="76"/>
      <c r="C483" s="14"/>
      <c r="D483" s="120"/>
      <c r="I483" s="79"/>
      <c r="K483" s="79"/>
      <c r="M483" s="76"/>
      <c r="N483" s="76"/>
      <c r="O483" s="76"/>
      <c r="P483" s="76"/>
    </row>
    <row r="484" spans="1:16" s="78" customFormat="1" x14ac:dyDescent="0.4">
      <c r="A484" s="76"/>
      <c r="B484" s="76"/>
      <c r="C484" s="14"/>
      <c r="D484" s="120"/>
      <c r="I484" s="79"/>
      <c r="K484" s="79"/>
      <c r="M484" s="76"/>
      <c r="N484" s="76"/>
      <c r="O484" s="76"/>
      <c r="P484" s="76"/>
    </row>
    <row r="485" spans="1:16" s="78" customFormat="1" x14ac:dyDescent="0.4">
      <c r="A485" s="76"/>
      <c r="B485" s="76"/>
      <c r="C485" s="14"/>
      <c r="D485" s="120"/>
      <c r="I485" s="79"/>
      <c r="K485" s="79"/>
      <c r="M485" s="76"/>
      <c r="N485" s="76"/>
      <c r="O485" s="76"/>
      <c r="P485" s="76"/>
    </row>
    <row r="486" spans="1:16" s="78" customFormat="1" x14ac:dyDescent="0.4">
      <c r="A486" s="76"/>
      <c r="B486" s="76"/>
      <c r="C486" s="14"/>
      <c r="D486" s="120"/>
      <c r="I486" s="79"/>
      <c r="K486" s="79"/>
      <c r="M486" s="76"/>
      <c r="N486" s="76"/>
      <c r="O486" s="76"/>
      <c r="P486" s="76"/>
    </row>
    <row r="487" spans="1:16" s="78" customFormat="1" x14ac:dyDescent="0.4">
      <c r="A487" s="76"/>
      <c r="B487" s="76"/>
      <c r="C487" s="14"/>
      <c r="D487" s="120"/>
      <c r="I487" s="79"/>
      <c r="K487" s="79"/>
      <c r="M487" s="76"/>
      <c r="N487" s="76"/>
      <c r="O487" s="76"/>
      <c r="P487" s="76"/>
    </row>
    <row r="488" spans="1:16" s="78" customFormat="1" x14ac:dyDescent="0.4">
      <c r="A488" s="76"/>
      <c r="B488" s="76"/>
      <c r="C488" s="14"/>
      <c r="D488" s="120"/>
      <c r="I488" s="79"/>
      <c r="K488" s="79"/>
      <c r="M488" s="76"/>
      <c r="N488" s="76"/>
      <c r="O488" s="76"/>
      <c r="P488" s="76"/>
    </row>
    <row r="489" spans="1:16" s="78" customFormat="1" x14ac:dyDescent="0.4">
      <c r="A489" s="76"/>
      <c r="B489" s="76"/>
      <c r="C489" s="14"/>
      <c r="D489" s="120"/>
      <c r="I489" s="79"/>
      <c r="K489" s="79"/>
      <c r="M489" s="76"/>
      <c r="N489" s="76"/>
      <c r="O489" s="76"/>
      <c r="P489" s="76"/>
    </row>
    <row r="490" spans="1:16" s="78" customFormat="1" x14ac:dyDescent="0.4">
      <c r="A490" s="76"/>
      <c r="B490" s="76"/>
      <c r="C490" s="14"/>
      <c r="D490" s="120"/>
      <c r="I490" s="79"/>
      <c r="K490" s="79"/>
      <c r="M490" s="76"/>
      <c r="N490" s="76"/>
      <c r="O490" s="76"/>
      <c r="P490" s="76"/>
    </row>
    <row r="491" spans="1:16" s="78" customFormat="1" x14ac:dyDescent="0.4">
      <c r="A491" s="76"/>
      <c r="B491" s="76"/>
      <c r="C491" s="14"/>
      <c r="D491" s="120"/>
      <c r="I491" s="79"/>
      <c r="K491" s="79"/>
      <c r="M491" s="76"/>
      <c r="N491" s="76"/>
      <c r="O491" s="76"/>
      <c r="P491" s="76"/>
    </row>
    <row r="492" spans="1:16" x14ac:dyDescent="0.4">
      <c r="C492" s="14"/>
      <c r="D492" s="120"/>
    </row>
    <row r="493" spans="1:16" x14ac:dyDescent="0.4">
      <c r="C493" s="14"/>
      <c r="D493" s="120"/>
    </row>
    <row r="494" spans="1:16" x14ac:dyDescent="0.4">
      <c r="C494" s="14"/>
      <c r="D494" s="120"/>
    </row>
    <row r="495" spans="1:16" x14ac:dyDescent="0.4">
      <c r="C495" s="14"/>
      <c r="D495" s="120"/>
    </row>
    <row r="496" spans="1:16" x14ac:dyDescent="0.4">
      <c r="C496" s="14"/>
      <c r="D496" s="120"/>
    </row>
    <row r="497" spans="3:4" x14ac:dyDescent="0.4">
      <c r="C497" s="14"/>
      <c r="D497" s="120"/>
    </row>
    <row r="498" spans="3:4" x14ac:dyDescent="0.4">
      <c r="C498" s="14"/>
      <c r="D498" s="120"/>
    </row>
  </sheetData>
  <pageMargins left="0.7" right="0.7" top="0.75" bottom="0.75" header="0.3" footer="0.3"/>
  <pageSetup orientation="portrait"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158"/>
  <sheetViews>
    <sheetView workbookViewId="0">
      <selection activeCell="O22" sqref="O22"/>
    </sheetView>
  </sheetViews>
  <sheetFormatPr defaultColWidth="9.05859375" defaultRowHeight="12.7" outlineLevelCol="1" x14ac:dyDescent="0.4"/>
  <cols>
    <col min="1" max="1" width="8.46875" style="21" bestFit="1" customWidth="1"/>
    <col min="2" max="2" width="43.64453125" style="9" bestFit="1" customWidth="1"/>
    <col min="3" max="3" width="13.64453125" style="10" hidden="1" customWidth="1" outlineLevel="1"/>
    <col min="4" max="4" width="13.52734375" style="10" hidden="1" customWidth="1" outlineLevel="1"/>
    <col min="5" max="5" width="11.3515625" style="78" hidden="1" customWidth="1" outlineLevel="1"/>
    <col min="6" max="7" width="11" style="78" hidden="1" customWidth="1" outlineLevel="1"/>
    <col min="8" max="8" width="12.64453125" style="78" hidden="1" customWidth="1" outlineLevel="1"/>
    <col min="9" max="9" width="15.64453125" style="105" hidden="1" customWidth="1" outlineLevel="1"/>
    <col min="10" max="10" width="15.46875" style="21" hidden="1" customWidth="1" outlineLevel="1"/>
    <col min="11" max="11" width="13.52734375" style="79" customWidth="1" collapsed="1"/>
    <col min="12" max="12" width="10" style="21" customWidth="1"/>
    <col min="13" max="13" width="11.64453125" style="21" bestFit="1" customWidth="1"/>
    <col min="14" max="14" width="13.17578125" style="21" customWidth="1"/>
    <col min="15" max="15" width="12.17578125" style="10" customWidth="1"/>
    <col min="16" max="16384" width="9.05859375" style="21"/>
  </cols>
  <sheetData>
    <row r="1" spans="1:15" x14ac:dyDescent="0.4">
      <c r="A1" s="433" t="s">
        <v>0</v>
      </c>
      <c r="B1" s="433"/>
      <c r="M1" s="76"/>
      <c r="N1" s="76"/>
    </row>
    <row r="2" spans="1:15" x14ac:dyDescent="0.4">
      <c r="A2" s="434" t="s">
        <v>603</v>
      </c>
      <c r="B2" s="434"/>
      <c r="M2" s="76"/>
      <c r="N2" s="76"/>
    </row>
    <row r="3" spans="1:15" x14ac:dyDescent="0.4">
      <c r="A3" s="434" t="s">
        <v>897</v>
      </c>
      <c r="B3" s="434"/>
      <c r="D3" s="10" t="s">
        <v>261</v>
      </c>
      <c r="E3" s="78" t="s">
        <v>261</v>
      </c>
      <c r="F3" s="10"/>
      <c r="G3" s="10"/>
      <c r="H3" s="10" t="s">
        <v>261</v>
      </c>
      <c r="I3" s="105" t="s">
        <v>261</v>
      </c>
      <c r="J3" s="107"/>
      <c r="M3" s="76"/>
      <c r="N3" s="76"/>
    </row>
    <row r="5" spans="1:15" s="10" customFormat="1" x14ac:dyDescent="0.4">
      <c r="A5" s="21" t="s">
        <v>484</v>
      </c>
      <c r="B5" s="9" t="s">
        <v>279</v>
      </c>
      <c r="C5" s="108" t="s">
        <v>0</v>
      </c>
      <c r="D5" s="108" t="s">
        <v>2</v>
      </c>
      <c r="E5" s="78" t="s">
        <v>3</v>
      </c>
      <c r="F5" s="108" t="s">
        <v>485</v>
      </c>
      <c r="G5" s="108" t="s">
        <v>486</v>
      </c>
      <c r="H5" s="108" t="s">
        <v>487</v>
      </c>
      <c r="I5" s="105" t="s">
        <v>1</v>
      </c>
      <c r="J5" s="21" t="s">
        <v>280</v>
      </c>
      <c r="K5" s="19" t="s">
        <v>281</v>
      </c>
      <c r="M5" s="78"/>
      <c r="N5" s="413" t="s">
        <v>282</v>
      </c>
      <c r="O5" s="423" t="s">
        <v>284</v>
      </c>
    </row>
    <row r="6" spans="1:15" s="10" customFormat="1" x14ac:dyDescent="0.4">
      <c r="A6" s="117" t="s">
        <v>488</v>
      </c>
      <c r="B6" s="12" t="s">
        <v>143</v>
      </c>
      <c r="C6" s="13"/>
      <c r="D6" s="78"/>
      <c r="E6" s="78"/>
      <c r="F6" s="78"/>
      <c r="G6" s="78"/>
      <c r="H6" s="78"/>
      <c r="I6" s="79">
        <f t="shared" ref="I6:I73" si="0">SUM(C6:H6)</f>
        <v>0</v>
      </c>
      <c r="J6" s="78" t="s">
        <v>287</v>
      </c>
      <c r="K6" s="79">
        <f>I6*1</f>
        <v>0</v>
      </c>
      <c r="L6" s="78"/>
      <c r="M6" s="78"/>
      <c r="N6" s="414" t="s">
        <v>287</v>
      </c>
      <c r="O6" s="423">
        <v>0</v>
      </c>
    </row>
    <row r="7" spans="1:15" s="10" customFormat="1" x14ac:dyDescent="0.4">
      <c r="A7" s="117" t="s">
        <v>489</v>
      </c>
      <c r="B7" s="12" t="s">
        <v>144</v>
      </c>
      <c r="C7" s="13"/>
      <c r="D7" s="78"/>
      <c r="E7" s="78"/>
      <c r="F7" s="78"/>
      <c r="G7" s="78"/>
      <c r="H7" s="78"/>
      <c r="I7" s="79">
        <f t="shared" si="0"/>
        <v>0</v>
      </c>
      <c r="J7" s="78" t="s">
        <v>287</v>
      </c>
      <c r="K7" s="79">
        <f t="shared" ref="K7:K73" si="1">I7*1</f>
        <v>0</v>
      </c>
      <c r="L7" s="78"/>
      <c r="M7" s="78"/>
      <c r="N7" s="414" t="s">
        <v>288</v>
      </c>
      <c r="O7" s="423">
        <v>0</v>
      </c>
    </row>
    <row r="8" spans="1:15" s="10" customFormat="1" x14ac:dyDescent="0.4">
      <c r="A8" s="117" t="s">
        <v>490</v>
      </c>
      <c r="B8" s="12" t="s">
        <v>145</v>
      </c>
      <c r="C8" s="13"/>
      <c r="D8" s="78"/>
      <c r="E8" s="78"/>
      <c r="F8" s="78"/>
      <c r="G8" s="78"/>
      <c r="H8" s="78"/>
      <c r="I8" s="79">
        <f t="shared" si="0"/>
        <v>0</v>
      </c>
      <c r="J8" s="78" t="s">
        <v>287</v>
      </c>
      <c r="K8" s="79">
        <f t="shared" si="1"/>
        <v>0</v>
      </c>
      <c r="L8" s="78"/>
      <c r="M8" s="78"/>
      <c r="N8" s="414" t="s">
        <v>292</v>
      </c>
      <c r="O8" s="423">
        <v>0</v>
      </c>
    </row>
    <row r="9" spans="1:15" s="10" customFormat="1" x14ac:dyDescent="0.4">
      <c r="A9" s="117" t="s">
        <v>491</v>
      </c>
      <c r="B9" s="12" t="s">
        <v>146</v>
      </c>
      <c r="C9" s="13"/>
      <c r="D9" s="78"/>
      <c r="E9" s="78"/>
      <c r="F9" s="78"/>
      <c r="G9" s="78"/>
      <c r="H9" s="78"/>
      <c r="I9" s="79">
        <f t="shared" si="0"/>
        <v>0</v>
      </c>
      <c r="J9" s="78" t="s">
        <v>287</v>
      </c>
      <c r="K9" s="79">
        <f t="shared" si="1"/>
        <v>0</v>
      </c>
      <c r="L9" s="78"/>
      <c r="M9" s="78"/>
      <c r="N9" s="414" t="s">
        <v>291</v>
      </c>
      <c r="O9" s="423">
        <v>0</v>
      </c>
    </row>
    <row r="10" spans="1:15" s="10" customFormat="1" x14ac:dyDescent="0.4">
      <c r="A10" s="117" t="s">
        <v>492</v>
      </c>
      <c r="B10" s="12" t="s">
        <v>147</v>
      </c>
      <c r="C10" s="13"/>
      <c r="D10" s="78"/>
      <c r="E10" s="78"/>
      <c r="F10" s="78"/>
      <c r="G10" s="78"/>
      <c r="H10" s="78"/>
      <c r="I10" s="79">
        <f t="shared" si="0"/>
        <v>0</v>
      </c>
      <c r="J10" s="78" t="s">
        <v>287</v>
      </c>
      <c r="K10" s="79">
        <f t="shared" si="1"/>
        <v>0</v>
      </c>
      <c r="L10" s="78"/>
      <c r="M10" s="78"/>
      <c r="N10" s="414" t="s">
        <v>289</v>
      </c>
      <c r="O10" s="423">
        <v>0</v>
      </c>
    </row>
    <row r="11" spans="1:15" s="10" customFormat="1" x14ac:dyDescent="0.4">
      <c r="A11" s="69" t="s">
        <v>757</v>
      </c>
      <c r="B11" s="12" t="s">
        <v>758</v>
      </c>
      <c r="C11" s="13"/>
      <c r="D11" s="78"/>
      <c r="E11" s="78"/>
      <c r="F11" s="78"/>
      <c r="G11" s="78"/>
      <c r="H11" s="78">
        <f>-D11</f>
        <v>0</v>
      </c>
      <c r="I11" s="79">
        <f t="shared" si="0"/>
        <v>0</v>
      </c>
      <c r="J11" s="78" t="s">
        <v>287</v>
      </c>
      <c r="K11" s="79">
        <f t="shared" si="1"/>
        <v>0</v>
      </c>
      <c r="L11" s="78"/>
      <c r="M11" s="78"/>
      <c r="N11" s="414" t="s">
        <v>290</v>
      </c>
      <c r="O11" s="423">
        <v>0</v>
      </c>
    </row>
    <row r="12" spans="1:15" s="78" customFormat="1" x14ac:dyDescent="0.4">
      <c r="A12" s="117" t="s">
        <v>493</v>
      </c>
      <c r="B12" s="100" t="s">
        <v>148</v>
      </c>
      <c r="C12" s="13"/>
      <c r="I12" s="79">
        <f t="shared" si="0"/>
        <v>0</v>
      </c>
      <c r="J12" s="78" t="s">
        <v>287</v>
      </c>
      <c r="K12" s="79">
        <f t="shared" si="1"/>
        <v>0</v>
      </c>
      <c r="N12" s="414" t="s">
        <v>299</v>
      </c>
      <c r="O12" s="423">
        <v>0</v>
      </c>
    </row>
    <row r="13" spans="1:15" s="78" customFormat="1" x14ac:dyDescent="0.4">
      <c r="A13" s="117" t="s">
        <v>494</v>
      </c>
      <c r="B13" s="12" t="s">
        <v>149</v>
      </c>
      <c r="C13" s="13"/>
      <c r="I13" s="79">
        <f t="shared" si="0"/>
        <v>0</v>
      </c>
      <c r="J13" s="78" t="s">
        <v>287</v>
      </c>
      <c r="K13" s="79">
        <f t="shared" si="1"/>
        <v>0</v>
      </c>
      <c r="N13" s="414" t="s">
        <v>862</v>
      </c>
      <c r="O13" s="423">
        <v>0</v>
      </c>
    </row>
    <row r="14" spans="1:15" s="78" customFormat="1" x14ac:dyDescent="0.4">
      <c r="A14" s="117" t="s">
        <v>495</v>
      </c>
      <c r="B14" s="12" t="s">
        <v>150</v>
      </c>
      <c r="C14" s="13"/>
      <c r="I14" s="79">
        <f t="shared" si="0"/>
        <v>0</v>
      </c>
      <c r="J14" s="78" t="s">
        <v>287</v>
      </c>
      <c r="K14" s="79">
        <f t="shared" si="1"/>
        <v>0</v>
      </c>
      <c r="N14" s="414" t="s">
        <v>283</v>
      </c>
      <c r="O14" s="423">
        <v>0</v>
      </c>
    </row>
    <row r="15" spans="1:15" s="10" customFormat="1" ht="14.35" x14ac:dyDescent="0.5">
      <c r="A15" s="117" t="s">
        <v>496</v>
      </c>
      <c r="B15" s="12" t="s">
        <v>151</v>
      </c>
      <c r="C15" s="13"/>
      <c r="D15" s="78"/>
      <c r="E15" s="78"/>
      <c r="F15" s="78"/>
      <c r="G15" s="78"/>
      <c r="H15" s="78"/>
      <c r="I15" s="79">
        <f t="shared" si="0"/>
        <v>0</v>
      </c>
      <c r="J15" s="78" t="s">
        <v>287</v>
      </c>
      <c r="K15" s="79">
        <f t="shared" si="1"/>
        <v>0</v>
      </c>
      <c r="L15" s="78"/>
      <c r="M15" s="78"/>
      <c r="N15"/>
      <c r="O15"/>
    </row>
    <row r="16" spans="1:15" s="10" customFormat="1" ht="14.35" x14ac:dyDescent="0.5">
      <c r="A16" s="117" t="s">
        <v>497</v>
      </c>
      <c r="B16" s="12" t="s">
        <v>152</v>
      </c>
      <c r="C16" s="13"/>
      <c r="D16" s="78"/>
      <c r="E16" s="78"/>
      <c r="F16" s="78"/>
      <c r="G16" s="78"/>
      <c r="H16" s="78"/>
      <c r="I16" s="79">
        <f t="shared" si="0"/>
        <v>0</v>
      </c>
      <c r="J16" s="78" t="s">
        <v>287</v>
      </c>
      <c r="K16" s="79">
        <f t="shared" si="1"/>
        <v>0</v>
      </c>
      <c r="M16" s="78"/>
      <c r="N16" s="98"/>
      <c r="O16" s="98"/>
    </row>
    <row r="17" spans="1:15" s="10" customFormat="1" x14ac:dyDescent="0.4">
      <c r="A17" s="117" t="s">
        <v>498</v>
      </c>
      <c r="B17" s="12" t="s">
        <v>153</v>
      </c>
      <c r="C17" s="13"/>
      <c r="D17" s="78"/>
      <c r="E17" s="78"/>
      <c r="F17" s="78"/>
      <c r="G17" s="78"/>
      <c r="H17" s="78"/>
      <c r="I17" s="79">
        <f t="shared" si="0"/>
        <v>0</v>
      </c>
      <c r="J17" s="78" t="s">
        <v>287</v>
      </c>
      <c r="K17" s="79">
        <f t="shared" si="1"/>
        <v>0</v>
      </c>
      <c r="M17" s="78"/>
      <c r="N17" s="21"/>
    </row>
    <row r="18" spans="1:15" s="10" customFormat="1" x14ac:dyDescent="0.4">
      <c r="A18" s="117" t="s">
        <v>637</v>
      </c>
      <c r="B18" s="12" t="s">
        <v>638</v>
      </c>
      <c r="C18" s="13"/>
      <c r="D18" s="78"/>
      <c r="E18" s="78"/>
      <c r="F18" s="78"/>
      <c r="G18" s="78"/>
      <c r="H18" s="78"/>
      <c r="I18" s="79">
        <f t="shared" si="0"/>
        <v>0</v>
      </c>
      <c r="J18" s="78" t="s">
        <v>287</v>
      </c>
      <c r="K18" s="79">
        <f t="shared" si="1"/>
        <v>0</v>
      </c>
      <c r="M18" s="78"/>
      <c r="N18" s="21"/>
    </row>
    <row r="19" spans="1:15" s="10" customFormat="1" x14ac:dyDescent="0.4">
      <c r="A19" s="117" t="s">
        <v>499</v>
      </c>
      <c r="B19" s="12" t="s">
        <v>154</v>
      </c>
      <c r="C19" s="13"/>
      <c r="D19" s="78"/>
      <c r="E19" s="78"/>
      <c r="F19" s="78"/>
      <c r="G19" s="78"/>
      <c r="H19" s="78"/>
      <c r="I19" s="79">
        <f t="shared" si="0"/>
        <v>0</v>
      </c>
      <c r="J19" s="78" t="s">
        <v>287</v>
      </c>
      <c r="K19" s="79">
        <f t="shared" si="1"/>
        <v>0</v>
      </c>
      <c r="M19" s="78"/>
      <c r="N19" s="21"/>
    </row>
    <row r="20" spans="1:15" s="10" customFormat="1" x14ac:dyDescent="0.4">
      <c r="A20" s="117" t="s">
        <v>639</v>
      </c>
      <c r="B20" s="12" t="s">
        <v>640</v>
      </c>
      <c r="C20" s="13"/>
      <c r="D20" s="78"/>
      <c r="E20" s="78"/>
      <c r="F20" s="78"/>
      <c r="G20" s="78"/>
      <c r="H20" s="78"/>
      <c r="I20" s="79">
        <f t="shared" si="0"/>
        <v>0</v>
      </c>
      <c r="J20" s="78" t="s">
        <v>287</v>
      </c>
      <c r="K20" s="79">
        <f t="shared" si="1"/>
        <v>0</v>
      </c>
      <c r="M20" s="78"/>
      <c r="N20" s="21"/>
    </row>
    <row r="21" spans="1:15" s="10" customFormat="1" x14ac:dyDescent="0.4">
      <c r="A21" s="117" t="s">
        <v>500</v>
      </c>
      <c r="B21" s="12" t="s">
        <v>155</v>
      </c>
      <c r="C21" s="13"/>
      <c r="D21" s="78"/>
      <c r="E21" s="78"/>
      <c r="F21" s="78"/>
      <c r="G21" s="78"/>
      <c r="H21" s="78"/>
      <c r="I21" s="79">
        <f t="shared" si="0"/>
        <v>0</v>
      </c>
      <c r="J21" s="78" t="s">
        <v>287</v>
      </c>
      <c r="K21" s="79">
        <f t="shared" si="1"/>
        <v>0</v>
      </c>
      <c r="M21" s="78"/>
      <c r="N21" s="21"/>
    </row>
    <row r="22" spans="1:15" s="10" customFormat="1" x14ac:dyDescent="0.4">
      <c r="A22" s="117" t="s">
        <v>501</v>
      </c>
      <c r="B22" s="12" t="s">
        <v>156</v>
      </c>
      <c r="C22" s="13"/>
      <c r="D22" s="78"/>
      <c r="E22" s="78"/>
      <c r="F22" s="78"/>
      <c r="G22" s="78"/>
      <c r="H22" s="78"/>
      <c r="I22" s="79">
        <f t="shared" si="0"/>
        <v>0</v>
      </c>
      <c r="J22" s="78" t="s">
        <v>287</v>
      </c>
      <c r="K22" s="79">
        <f t="shared" si="1"/>
        <v>0</v>
      </c>
      <c r="M22" s="78"/>
      <c r="N22" s="21"/>
    </row>
    <row r="23" spans="1:15" s="10" customFormat="1" x14ac:dyDescent="0.4">
      <c r="A23" s="88" t="s">
        <v>662</v>
      </c>
      <c r="B23" s="100" t="s">
        <v>663</v>
      </c>
      <c r="C23" s="13"/>
      <c r="D23" s="78"/>
      <c r="E23" s="78"/>
      <c r="F23" s="78"/>
      <c r="G23" s="78"/>
      <c r="H23" s="78"/>
      <c r="I23" s="79">
        <f t="shared" si="0"/>
        <v>0</v>
      </c>
      <c r="J23" s="78" t="s">
        <v>287</v>
      </c>
      <c r="K23" s="79">
        <f t="shared" si="1"/>
        <v>0</v>
      </c>
      <c r="M23" s="78"/>
      <c r="N23" s="78"/>
    </row>
    <row r="24" spans="1:15" s="10" customFormat="1" x14ac:dyDescent="0.4">
      <c r="A24" s="117" t="s">
        <v>502</v>
      </c>
      <c r="B24" s="12" t="s">
        <v>157</v>
      </c>
      <c r="C24" s="13"/>
      <c r="D24" s="78"/>
      <c r="E24" s="78"/>
      <c r="F24" s="78"/>
      <c r="G24" s="78"/>
      <c r="H24" s="78"/>
      <c r="I24" s="79">
        <f t="shared" si="0"/>
        <v>0</v>
      </c>
      <c r="J24" s="78" t="s">
        <v>287</v>
      </c>
      <c r="K24" s="79">
        <f t="shared" si="1"/>
        <v>0</v>
      </c>
      <c r="M24" s="78"/>
      <c r="N24" s="78"/>
    </row>
    <row r="25" spans="1:15" s="10" customFormat="1" x14ac:dyDescent="0.4">
      <c r="A25" s="117" t="s">
        <v>699</v>
      </c>
      <c r="B25" s="27" t="s">
        <v>698</v>
      </c>
      <c r="C25" s="13"/>
      <c r="D25" s="78"/>
      <c r="E25" s="78"/>
      <c r="F25" s="78"/>
      <c r="G25" s="78"/>
      <c r="H25" s="78"/>
      <c r="I25" s="79">
        <f t="shared" si="0"/>
        <v>0</v>
      </c>
      <c r="J25" s="78" t="s">
        <v>287</v>
      </c>
      <c r="K25" s="79">
        <f t="shared" si="1"/>
        <v>0</v>
      </c>
      <c r="M25" s="78"/>
      <c r="N25" s="78"/>
    </row>
    <row r="26" spans="1:15" s="10" customFormat="1" x14ac:dyDescent="0.4">
      <c r="A26" s="117" t="s">
        <v>503</v>
      </c>
      <c r="B26" s="12" t="s">
        <v>158</v>
      </c>
      <c r="C26" s="13"/>
      <c r="D26" s="78"/>
      <c r="E26" s="78"/>
      <c r="F26" s="78"/>
      <c r="G26" s="78"/>
      <c r="H26" s="78"/>
      <c r="I26" s="79">
        <f t="shared" si="0"/>
        <v>0</v>
      </c>
      <c r="J26" s="78" t="s">
        <v>287</v>
      </c>
      <c r="K26" s="79">
        <f t="shared" si="1"/>
        <v>0</v>
      </c>
      <c r="M26" s="78"/>
      <c r="N26" s="78"/>
    </row>
    <row r="27" spans="1:15" s="10" customFormat="1" x14ac:dyDescent="0.4">
      <c r="A27" s="117" t="s">
        <v>504</v>
      </c>
      <c r="B27" s="12" t="s">
        <v>159</v>
      </c>
      <c r="C27" s="13"/>
      <c r="D27" s="78"/>
      <c r="E27" s="78"/>
      <c r="F27" s="78"/>
      <c r="G27" s="78"/>
      <c r="H27" s="78"/>
      <c r="I27" s="79">
        <f t="shared" si="0"/>
        <v>0</v>
      </c>
      <c r="J27" s="78" t="s">
        <v>287</v>
      </c>
      <c r="K27" s="79">
        <f t="shared" si="1"/>
        <v>0</v>
      </c>
      <c r="M27" s="78"/>
      <c r="N27" s="78"/>
    </row>
    <row r="28" spans="1:15" s="10" customFormat="1" x14ac:dyDescent="0.4">
      <c r="A28" s="100" t="s">
        <v>680</v>
      </c>
      <c r="B28" s="100" t="s">
        <v>681</v>
      </c>
      <c r="C28" s="13"/>
      <c r="D28" s="78"/>
      <c r="E28" s="78"/>
      <c r="F28" s="78"/>
      <c r="G28" s="78"/>
      <c r="H28" s="78"/>
      <c r="I28" s="79">
        <f t="shared" si="0"/>
        <v>0</v>
      </c>
      <c r="J28" s="78" t="s">
        <v>287</v>
      </c>
      <c r="K28" s="79">
        <f t="shared" si="1"/>
        <v>0</v>
      </c>
      <c r="M28" s="78"/>
      <c r="N28" s="78"/>
    </row>
    <row r="29" spans="1:15" s="10" customFormat="1" x14ac:dyDescent="0.4">
      <c r="A29" s="117" t="s">
        <v>505</v>
      </c>
      <c r="B29" s="12" t="s">
        <v>160</v>
      </c>
      <c r="C29" s="13"/>
      <c r="D29" s="78"/>
      <c r="E29" s="78"/>
      <c r="F29" s="78"/>
      <c r="G29" s="78"/>
      <c r="H29" s="78"/>
      <c r="I29" s="79">
        <f t="shared" si="0"/>
        <v>0</v>
      </c>
      <c r="J29" s="78" t="s">
        <v>287</v>
      </c>
      <c r="K29" s="79">
        <f t="shared" si="1"/>
        <v>0</v>
      </c>
      <c r="M29" s="78"/>
      <c r="N29" s="78"/>
    </row>
    <row r="30" spans="1:15" s="10" customFormat="1" x14ac:dyDescent="0.4">
      <c r="A30" s="117" t="s">
        <v>506</v>
      </c>
      <c r="B30" s="12" t="s">
        <v>161</v>
      </c>
      <c r="C30" s="13"/>
      <c r="D30" s="78"/>
      <c r="E30" s="78"/>
      <c r="F30" s="78"/>
      <c r="G30" s="78"/>
      <c r="H30" s="78"/>
      <c r="I30" s="79">
        <f t="shared" si="0"/>
        <v>0</v>
      </c>
      <c r="J30" s="78" t="s">
        <v>287</v>
      </c>
      <c r="K30" s="79">
        <f t="shared" si="1"/>
        <v>0</v>
      </c>
      <c r="M30" s="78"/>
      <c r="N30" s="78"/>
    </row>
    <row r="31" spans="1:15" s="10" customFormat="1" x14ac:dyDescent="0.4">
      <c r="A31" s="117" t="s">
        <v>507</v>
      </c>
      <c r="B31" s="12" t="s">
        <v>162</v>
      </c>
      <c r="C31" s="13"/>
      <c r="D31" s="78"/>
      <c r="E31" s="78"/>
      <c r="F31" s="78"/>
      <c r="G31" s="78"/>
      <c r="H31" s="78"/>
      <c r="I31" s="79">
        <f t="shared" si="0"/>
        <v>0</v>
      </c>
      <c r="J31" s="78" t="s">
        <v>287</v>
      </c>
      <c r="K31" s="79">
        <f t="shared" si="1"/>
        <v>0</v>
      </c>
      <c r="M31" s="78"/>
      <c r="N31" s="78"/>
    </row>
    <row r="32" spans="1:15" s="78" customFormat="1" x14ac:dyDescent="0.4">
      <c r="A32" s="117" t="s">
        <v>508</v>
      </c>
      <c r="B32" s="12" t="s">
        <v>163</v>
      </c>
      <c r="C32" s="13"/>
      <c r="I32" s="79">
        <f t="shared" si="0"/>
        <v>0</v>
      </c>
      <c r="J32" s="78" t="s">
        <v>287</v>
      </c>
      <c r="K32" s="79">
        <f t="shared" si="1"/>
        <v>0</v>
      </c>
      <c r="L32" s="10"/>
      <c r="M32" s="78">
        <f>SUM(K6:K32)</f>
        <v>0</v>
      </c>
      <c r="O32" s="10"/>
    </row>
    <row r="33" spans="1:15" s="78" customFormat="1" x14ac:dyDescent="0.4">
      <c r="A33" s="117" t="s">
        <v>509</v>
      </c>
      <c r="B33" s="12" t="s">
        <v>164</v>
      </c>
      <c r="C33" s="82"/>
      <c r="I33" s="79">
        <f t="shared" si="0"/>
        <v>0</v>
      </c>
      <c r="J33" s="78" t="s">
        <v>288</v>
      </c>
      <c r="K33" s="79">
        <f t="shared" si="1"/>
        <v>0</v>
      </c>
      <c r="L33" s="10"/>
      <c r="O33" s="10"/>
    </row>
    <row r="34" spans="1:15" s="78" customFormat="1" x14ac:dyDescent="0.4">
      <c r="A34" s="117" t="s">
        <v>510</v>
      </c>
      <c r="B34" s="12" t="s">
        <v>165</v>
      </c>
      <c r="C34" s="82"/>
      <c r="I34" s="79">
        <f t="shared" si="0"/>
        <v>0</v>
      </c>
      <c r="J34" s="78" t="s">
        <v>288</v>
      </c>
      <c r="K34" s="79">
        <f t="shared" si="1"/>
        <v>0</v>
      </c>
    </row>
    <row r="35" spans="1:15" s="10" customFormat="1" x14ac:dyDescent="0.4">
      <c r="A35" s="117" t="s">
        <v>511</v>
      </c>
      <c r="B35" s="12" t="s">
        <v>166</v>
      </c>
      <c r="C35" s="82"/>
      <c r="D35" s="78"/>
      <c r="E35" s="78"/>
      <c r="F35" s="78"/>
      <c r="G35" s="78"/>
      <c r="H35" s="78"/>
      <c r="I35" s="79">
        <f t="shared" si="0"/>
        <v>0</v>
      </c>
      <c r="J35" s="78" t="s">
        <v>288</v>
      </c>
      <c r="K35" s="79">
        <f t="shared" si="1"/>
        <v>0</v>
      </c>
      <c r="M35" s="78"/>
      <c r="N35" s="78"/>
    </row>
    <row r="36" spans="1:15" s="10" customFormat="1" x14ac:dyDescent="0.4">
      <c r="A36" s="68" t="s">
        <v>512</v>
      </c>
      <c r="B36" s="12" t="s">
        <v>167</v>
      </c>
      <c r="C36" s="82"/>
      <c r="D36" s="78"/>
      <c r="E36" s="78"/>
      <c r="F36" s="78"/>
      <c r="G36" s="78"/>
      <c r="H36" s="78"/>
      <c r="I36" s="79">
        <f t="shared" si="0"/>
        <v>0</v>
      </c>
      <c r="J36" s="78" t="s">
        <v>288</v>
      </c>
      <c r="K36" s="79">
        <f t="shared" si="1"/>
        <v>0</v>
      </c>
      <c r="M36" s="78"/>
      <c r="N36" s="78"/>
    </row>
    <row r="37" spans="1:15" s="10" customFormat="1" x14ac:dyDescent="0.4">
      <c r="A37" s="117" t="s">
        <v>513</v>
      </c>
      <c r="B37" s="12" t="s">
        <v>168</v>
      </c>
      <c r="C37" s="82"/>
      <c r="D37" s="78"/>
      <c r="E37" s="78"/>
      <c r="F37" s="78"/>
      <c r="G37" s="78"/>
      <c r="H37" s="78"/>
      <c r="I37" s="79">
        <f t="shared" si="0"/>
        <v>0</v>
      </c>
      <c r="J37" s="78" t="s">
        <v>288</v>
      </c>
      <c r="K37" s="79">
        <f t="shared" si="1"/>
        <v>0</v>
      </c>
      <c r="M37" s="78"/>
      <c r="N37" s="78"/>
    </row>
    <row r="38" spans="1:15" s="10" customFormat="1" x14ac:dyDescent="0.4">
      <c r="A38" s="117" t="s">
        <v>514</v>
      </c>
      <c r="B38" s="12" t="s">
        <v>169</v>
      </c>
      <c r="C38" s="82"/>
      <c r="D38" s="78"/>
      <c r="E38" s="78"/>
      <c r="F38" s="78"/>
      <c r="G38" s="78"/>
      <c r="H38" s="78"/>
      <c r="I38" s="79">
        <f t="shared" si="0"/>
        <v>0</v>
      </c>
      <c r="J38" s="78" t="s">
        <v>288</v>
      </c>
      <c r="K38" s="79">
        <f t="shared" si="1"/>
        <v>0</v>
      </c>
      <c r="M38" s="78"/>
      <c r="N38" s="78"/>
    </row>
    <row r="39" spans="1:15" s="10" customFormat="1" x14ac:dyDescent="0.4">
      <c r="A39" s="69" t="s">
        <v>611</v>
      </c>
      <c r="B39" s="12" t="s">
        <v>610</v>
      </c>
      <c r="C39" s="82"/>
      <c r="D39" s="78"/>
      <c r="E39" s="78"/>
      <c r="F39" s="78"/>
      <c r="G39" s="78"/>
      <c r="H39" s="78"/>
      <c r="I39" s="79">
        <f t="shared" si="0"/>
        <v>0</v>
      </c>
      <c r="J39" s="78" t="s">
        <v>288</v>
      </c>
      <c r="K39" s="79">
        <f t="shared" si="1"/>
        <v>0</v>
      </c>
      <c r="M39" s="78"/>
      <c r="N39" s="78"/>
    </row>
    <row r="40" spans="1:15" s="10" customFormat="1" x14ac:dyDescent="0.4">
      <c r="A40" s="69"/>
      <c r="B40" s="12" t="s">
        <v>170</v>
      </c>
      <c r="C40" s="82"/>
      <c r="D40" s="79"/>
      <c r="E40" s="79"/>
      <c r="F40" s="79"/>
      <c r="G40" s="79"/>
      <c r="H40" s="79"/>
      <c r="I40" s="79">
        <f t="shared" si="0"/>
        <v>0</v>
      </c>
      <c r="J40" s="79" t="s">
        <v>288</v>
      </c>
      <c r="K40" s="79">
        <f t="shared" si="1"/>
        <v>0</v>
      </c>
      <c r="M40" s="78"/>
      <c r="N40" s="78"/>
    </row>
    <row r="41" spans="1:15" s="10" customFormat="1" x14ac:dyDescent="0.4">
      <c r="A41" s="69"/>
      <c r="B41" s="12" t="s">
        <v>759</v>
      </c>
      <c r="C41" s="82"/>
      <c r="D41" s="79"/>
      <c r="E41" s="78"/>
      <c r="F41" s="78"/>
      <c r="G41" s="78"/>
      <c r="H41" s="79">
        <f>-D41</f>
        <v>0</v>
      </c>
      <c r="I41" s="79">
        <f t="shared" si="0"/>
        <v>0</v>
      </c>
      <c r="J41" s="78" t="s">
        <v>288</v>
      </c>
      <c r="K41" s="79">
        <f t="shared" si="1"/>
        <v>0</v>
      </c>
      <c r="L41" s="78"/>
      <c r="M41" s="78"/>
      <c r="N41" s="78"/>
    </row>
    <row r="42" spans="1:15" s="10" customFormat="1" x14ac:dyDescent="0.4">
      <c r="A42" s="117" t="s">
        <v>515</v>
      </c>
      <c r="B42" s="12" t="s">
        <v>171</v>
      </c>
      <c r="C42" s="82"/>
      <c r="D42" s="78"/>
      <c r="E42" s="78"/>
      <c r="F42" s="78"/>
      <c r="G42" s="78"/>
      <c r="H42" s="78"/>
      <c r="I42" s="79">
        <f t="shared" si="0"/>
        <v>0</v>
      </c>
      <c r="J42" s="78" t="s">
        <v>291</v>
      </c>
      <c r="K42" s="79">
        <f t="shared" si="1"/>
        <v>0</v>
      </c>
      <c r="L42" s="78"/>
      <c r="M42" s="78"/>
      <c r="N42" s="78"/>
    </row>
    <row r="43" spans="1:15" s="10" customFormat="1" x14ac:dyDescent="0.4">
      <c r="A43" s="117" t="s">
        <v>516</v>
      </c>
      <c r="B43" s="12" t="s">
        <v>172</v>
      </c>
      <c r="C43" s="82"/>
      <c r="D43" s="78"/>
      <c r="E43" s="78"/>
      <c r="F43" s="78"/>
      <c r="G43" s="78"/>
      <c r="H43" s="78"/>
      <c r="I43" s="79">
        <f t="shared" si="0"/>
        <v>0</v>
      </c>
      <c r="J43" s="78" t="s">
        <v>291</v>
      </c>
      <c r="K43" s="79">
        <f t="shared" si="1"/>
        <v>0</v>
      </c>
      <c r="M43" s="78"/>
      <c r="N43" s="78"/>
    </row>
    <row r="44" spans="1:15" s="10" customFormat="1" x14ac:dyDescent="0.4">
      <c r="A44" s="100" t="s">
        <v>655</v>
      </c>
      <c r="B44" s="100" t="s">
        <v>654</v>
      </c>
      <c r="C44" s="82"/>
      <c r="D44" s="78"/>
      <c r="E44" s="78"/>
      <c r="F44" s="78"/>
      <c r="G44" s="78"/>
      <c r="H44" s="78"/>
      <c r="I44" s="79">
        <f t="shared" ref="I44" si="2">SUM(C44:H44)</f>
        <v>0</v>
      </c>
      <c r="J44" s="78" t="s">
        <v>291</v>
      </c>
      <c r="K44" s="79">
        <f t="shared" si="1"/>
        <v>0</v>
      </c>
      <c r="M44" s="78"/>
      <c r="N44" s="78"/>
    </row>
    <row r="45" spans="1:15" s="10" customFormat="1" x14ac:dyDescent="0.4">
      <c r="A45" s="117" t="s">
        <v>517</v>
      </c>
      <c r="B45" s="12" t="s">
        <v>173</v>
      </c>
      <c r="C45" s="82"/>
      <c r="D45" s="78"/>
      <c r="E45" s="78"/>
      <c r="F45" s="78"/>
      <c r="G45" s="78"/>
      <c r="H45" s="78"/>
      <c r="I45" s="79">
        <f t="shared" si="0"/>
        <v>0</v>
      </c>
      <c r="J45" s="78" t="s">
        <v>289</v>
      </c>
      <c r="K45" s="79">
        <f t="shared" si="1"/>
        <v>0</v>
      </c>
      <c r="M45" s="78"/>
      <c r="N45" s="78"/>
    </row>
    <row r="46" spans="1:15" s="10" customFormat="1" x14ac:dyDescent="0.4">
      <c r="A46" s="117" t="s">
        <v>518</v>
      </c>
      <c r="B46" s="12" t="s">
        <v>174</v>
      </c>
      <c r="C46" s="82"/>
      <c r="D46" s="78"/>
      <c r="E46" s="78"/>
      <c r="F46" s="78"/>
      <c r="G46" s="78"/>
      <c r="H46" s="78"/>
      <c r="I46" s="79">
        <f t="shared" si="0"/>
        <v>0</v>
      </c>
      <c r="J46" s="78" t="s">
        <v>292</v>
      </c>
      <c r="K46" s="79">
        <f t="shared" si="1"/>
        <v>0</v>
      </c>
      <c r="M46" s="78"/>
      <c r="N46" s="78"/>
    </row>
    <row r="47" spans="1:15" s="10" customFormat="1" x14ac:dyDescent="0.4">
      <c r="A47" s="117" t="s">
        <v>519</v>
      </c>
      <c r="B47" s="12" t="s">
        <v>175</v>
      </c>
      <c r="C47" s="82"/>
      <c r="D47" s="78"/>
      <c r="E47" s="78"/>
      <c r="F47" s="78"/>
      <c r="G47" s="78"/>
      <c r="H47" s="78"/>
      <c r="I47" s="79">
        <f t="shared" si="0"/>
        <v>0</v>
      </c>
      <c r="J47" s="78" t="s">
        <v>288</v>
      </c>
      <c r="K47" s="79">
        <f t="shared" si="1"/>
        <v>0</v>
      </c>
      <c r="M47" s="78"/>
      <c r="N47" s="78"/>
    </row>
    <row r="48" spans="1:15" s="10" customFormat="1" x14ac:dyDescent="0.4">
      <c r="A48" s="117" t="s">
        <v>520</v>
      </c>
      <c r="B48" s="12" t="s">
        <v>176</v>
      </c>
      <c r="C48" s="82"/>
      <c r="D48" s="78"/>
      <c r="E48" s="78"/>
      <c r="F48" s="78"/>
      <c r="G48" s="78"/>
      <c r="H48" s="78"/>
      <c r="I48" s="79">
        <f t="shared" si="0"/>
        <v>0</v>
      </c>
      <c r="J48" s="78" t="s">
        <v>288</v>
      </c>
      <c r="K48" s="79">
        <f t="shared" si="1"/>
        <v>0</v>
      </c>
      <c r="M48" s="78"/>
      <c r="N48" s="78"/>
    </row>
    <row r="49" spans="1:14" s="10" customFormat="1" x14ac:dyDescent="0.4">
      <c r="A49" s="117" t="s">
        <v>521</v>
      </c>
      <c r="B49" s="12" t="s">
        <v>177</v>
      </c>
      <c r="C49" s="82"/>
      <c r="D49" s="78"/>
      <c r="E49" s="78"/>
      <c r="F49" s="78"/>
      <c r="G49" s="78"/>
      <c r="H49" s="78"/>
      <c r="I49" s="79">
        <f t="shared" si="0"/>
        <v>0</v>
      </c>
      <c r="J49" s="78" t="s">
        <v>288</v>
      </c>
      <c r="K49" s="79">
        <f t="shared" si="1"/>
        <v>0</v>
      </c>
      <c r="M49" s="78"/>
      <c r="N49" s="78"/>
    </row>
    <row r="50" spans="1:14" s="10" customFormat="1" x14ac:dyDescent="0.4">
      <c r="A50" s="117" t="s">
        <v>522</v>
      </c>
      <c r="B50" s="12" t="s">
        <v>178</v>
      </c>
      <c r="C50" s="82"/>
      <c r="D50" s="78"/>
      <c r="E50" s="78"/>
      <c r="F50" s="78"/>
      <c r="G50" s="78"/>
      <c r="H50" s="78"/>
      <c r="I50" s="79">
        <f t="shared" si="0"/>
        <v>0</v>
      </c>
      <c r="J50" s="78" t="s">
        <v>292</v>
      </c>
      <c r="K50" s="79">
        <f t="shared" si="1"/>
        <v>0</v>
      </c>
      <c r="M50" s="78"/>
      <c r="N50" s="78"/>
    </row>
    <row r="51" spans="1:14" s="10" customFormat="1" x14ac:dyDescent="0.4">
      <c r="A51" s="117" t="s">
        <v>523</v>
      </c>
      <c r="B51" s="12" t="s">
        <v>179</v>
      </c>
      <c r="C51" s="82"/>
      <c r="D51" s="78"/>
      <c r="E51" s="78"/>
      <c r="F51" s="78"/>
      <c r="G51" s="78"/>
      <c r="H51" s="78"/>
      <c r="I51" s="79">
        <f t="shared" si="0"/>
        <v>0</v>
      </c>
      <c r="J51" s="78" t="s">
        <v>292</v>
      </c>
      <c r="K51" s="79">
        <f t="shared" si="1"/>
        <v>0</v>
      </c>
      <c r="M51" s="78"/>
      <c r="N51" s="78"/>
    </row>
    <row r="52" spans="1:14" s="10" customFormat="1" x14ac:dyDescent="0.4">
      <c r="A52" s="117" t="s">
        <v>524</v>
      </c>
      <c r="B52" s="12" t="s">
        <v>180</v>
      </c>
      <c r="C52" s="82"/>
      <c r="D52" s="78"/>
      <c r="E52" s="78"/>
      <c r="F52" s="78"/>
      <c r="G52" s="78"/>
      <c r="H52" s="78"/>
      <c r="I52" s="79">
        <f t="shared" si="0"/>
        <v>0</v>
      </c>
      <c r="J52" s="78" t="s">
        <v>292</v>
      </c>
      <c r="K52" s="79">
        <f t="shared" si="1"/>
        <v>0</v>
      </c>
      <c r="M52" s="78"/>
      <c r="N52" s="78"/>
    </row>
    <row r="53" spans="1:14" s="10" customFormat="1" x14ac:dyDescent="0.4">
      <c r="A53" s="117" t="s">
        <v>525</v>
      </c>
      <c r="B53" s="12" t="s">
        <v>254</v>
      </c>
      <c r="C53" s="82"/>
      <c r="D53" s="78"/>
      <c r="E53" s="78"/>
      <c r="F53" s="78"/>
      <c r="G53" s="78"/>
      <c r="H53" s="78"/>
      <c r="I53" s="79">
        <f t="shared" si="0"/>
        <v>0</v>
      </c>
      <c r="J53" s="78" t="s">
        <v>292</v>
      </c>
      <c r="K53" s="79">
        <f t="shared" si="1"/>
        <v>0</v>
      </c>
      <c r="M53" s="78"/>
      <c r="N53" s="78"/>
    </row>
    <row r="54" spans="1:14" s="10" customFormat="1" x14ac:dyDescent="0.4">
      <c r="A54" s="88" t="s">
        <v>783</v>
      </c>
      <c r="B54" s="100" t="s">
        <v>784</v>
      </c>
      <c r="C54" s="82"/>
      <c r="D54" s="78"/>
      <c r="E54" s="78"/>
      <c r="F54" s="78"/>
      <c r="G54" s="78"/>
      <c r="H54" s="78"/>
      <c r="I54" s="79">
        <f>SUM(C54:H54)</f>
        <v>0</v>
      </c>
      <c r="J54" s="78" t="s">
        <v>292</v>
      </c>
      <c r="K54" s="79">
        <f t="shared" si="1"/>
        <v>0</v>
      </c>
      <c r="M54" s="78"/>
      <c r="N54" s="78"/>
    </row>
    <row r="55" spans="1:14" s="10" customFormat="1" x14ac:dyDescent="0.4">
      <c r="A55" s="100" t="s">
        <v>526</v>
      </c>
      <c r="B55" s="100" t="s">
        <v>255</v>
      </c>
      <c r="C55" s="82"/>
      <c r="D55" s="78"/>
      <c r="E55" s="78"/>
      <c r="F55" s="78"/>
      <c r="G55" s="78"/>
      <c r="H55" s="78"/>
      <c r="I55" s="79">
        <f>SUM(C55:H55)</f>
        <v>0</v>
      </c>
      <c r="J55" s="78" t="s">
        <v>292</v>
      </c>
      <c r="K55" s="79">
        <f t="shared" si="1"/>
        <v>0</v>
      </c>
      <c r="M55" s="78"/>
      <c r="N55" s="78"/>
    </row>
    <row r="56" spans="1:14" s="10" customFormat="1" x14ac:dyDescent="0.4">
      <c r="A56" s="117" t="s">
        <v>527</v>
      </c>
      <c r="B56" s="12" t="s">
        <v>181</v>
      </c>
      <c r="C56" s="82"/>
      <c r="D56" s="78"/>
      <c r="E56" s="78"/>
      <c r="F56" s="78"/>
      <c r="G56" s="78"/>
      <c r="H56" s="78"/>
      <c r="I56" s="79">
        <f t="shared" si="0"/>
        <v>0</v>
      </c>
      <c r="J56" s="78" t="s">
        <v>292</v>
      </c>
      <c r="K56" s="79">
        <f t="shared" si="1"/>
        <v>0</v>
      </c>
      <c r="M56" s="78"/>
      <c r="N56" s="78"/>
    </row>
    <row r="57" spans="1:14" s="10" customFormat="1" x14ac:dyDescent="0.4">
      <c r="A57" s="117" t="s">
        <v>528</v>
      </c>
      <c r="B57" s="12" t="s">
        <v>182</v>
      </c>
      <c r="C57" s="82"/>
      <c r="D57" s="78"/>
      <c r="E57" s="78"/>
      <c r="F57" s="78"/>
      <c r="G57" s="78"/>
      <c r="H57" s="78"/>
      <c r="I57" s="79">
        <f t="shared" si="0"/>
        <v>0</v>
      </c>
      <c r="J57" s="78" t="s">
        <v>292</v>
      </c>
      <c r="K57" s="79">
        <f t="shared" si="1"/>
        <v>0</v>
      </c>
      <c r="M57" s="78"/>
      <c r="N57" s="78"/>
    </row>
    <row r="58" spans="1:14" s="10" customFormat="1" x14ac:dyDescent="0.4">
      <c r="A58" s="117" t="s">
        <v>529</v>
      </c>
      <c r="B58" s="12" t="s">
        <v>183</v>
      </c>
      <c r="C58" s="82"/>
      <c r="D58" s="78"/>
      <c r="E58" s="78"/>
      <c r="F58" s="78"/>
      <c r="G58" s="78"/>
      <c r="H58" s="78"/>
      <c r="I58" s="79">
        <f t="shared" si="0"/>
        <v>0</v>
      </c>
      <c r="J58" s="78" t="s">
        <v>292</v>
      </c>
      <c r="K58" s="79">
        <f t="shared" si="1"/>
        <v>0</v>
      </c>
      <c r="M58" s="78"/>
      <c r="N58" s="78"/>
    </row>
    <row r="59" spans="1:14" s="10" customFormat="1" x14ac:dyDescent="0.4">
      <c r="A59" s="117" t="s">
        <v>530</v>
      </c>
      <c r="B59" s="12" t="s">
        <v>256</v>
      </c>
      <c r="C59" s="82"/>
      <c r="D59" s="78"/>
      <c r="E59" s="78"/>
      <c r="F59" s="78"/>
      <c r="G59" s="78"/>
      <c r="H59" s="78"/>
      <c r="I59" s="79">
        <f t="shared" si="0"/>
        <v>0</v>
      </c>
      <c r="J59" s="78" t="s">
        <v>292</v>
      </c>
      <c r="K59" s="79">
        <f t="shared" si="1"/>
        <v>0</v>
      </c>
      <c r="M59" s="78"/>
      <c r="N59" s="78"/>
    </row>
    <row r="60" spans="1:14" s="10" customFormat="1" x14ac:dyDescent="0.4">
      <c r="A60" s="117" t="s">
        <v>531</v>
      </c>
      <c r="B60" s="12" t="s">
        <v>184</v>
      </c>
      <c r="C60" s="82"/>
      <c r="D60" s="78"/>
      <c r="E60" s="78"/>
      <c r="F60" s="78"/>
      <c r="G60" s="78"/>
      <c r="H60" s="78"/>
      <c r="I60" s="79">
        <f t="shared" si="0"/>
        <v>0</v>
      </c>
      <c r="J60" s="78" t="s">
        <v>292</v>
      </c>
      <c r="K60" s="79">
        <f t="shared" si="1"/>
        <v>0</v>
      </c>
      <c r="M60" s="78"/>
      <c r="N60" s="78"/>
    </row>
    <row r="61" spans="1:14" s="10" customFormat="1" x14ac:dyDescent="0.4">
      <c r="A61" s="117" t="s">
        <v>532</v>
      </c>
      <c r="B61" s="12" t="s">
        <v>185</v>
      </c>
      <c r="C61" s="82"/>
      <c r="D61" s="78"/>
      <c r="E61" s="78"/>
      <c r="F61" s="78"/>
      <c r="G61" s="78"/>
      <c r="H61" s="78"/>
      <c r="I61" s="79">
        <f t="shared" si="0"/>
        <v>0</v>
      </c>
      <c r="J61" s="78" t="s">
        <v>289</v>
      </c>
      <c r="K61" s="79">
        <f t="shared" si="1"/>
        <v>0</v>
      </c>
      <c r="M61" s="78"/>
      <c r="N61" s="78"/>
    </row>
    <row r="62" spans="1:14" s="10" customFormat="1" x14ac:dyDescent="0.4">
      <c r="A62" s="117" t="s">
        <v>533</v>
      </c>
      <c r="B62" s="12" t="s">
        <v>186</v>
      </c>
      <c r="C62" s="82"/>
      <c r="D62" s="78"/>
      <c r="E62" s="78"/>
      <c r="F62" s="78"/>
      <c r="G62" s="78"/>
      <c r="H62" s="78"/>
      <c r="I62" s="79">
        <f t="shared" si="0"/>
        <v>0</v>
      </c>
      <c r="J62" s="78" t="s">
        <v>292</v>
      </c>
      <c r="K62" s="79">
        <f t="shared" si="1"/>
        <v>0</v>
      </c>
      <c r="M62" s="78"/>
      <c r="N62" s="78"/>
    </row>
    <row r="63" spans="1:14" s="10" customFormat="1" x14ac:dyDescent="0.4">
      <c r="A63" s="117" t="s">
        <v>534</v>
      </c>
      <c r="B63" s="12" t="s">
        <v>187</v>
      </c>
      <c r="C63" s="82"/>
      <c r="D63" s="78"/>
      <c r="E63" s="78"/>
      <c r="F63" s="78"/>
      <c r="G63" s="78"/>
      <c r="H63" s="78"/>
      <c r="I63" s="79">
        <f t="shared" si="0"/>
        <v>0</v>
      </c>
      <c r="J63" s="78" t="s">
        <v>292</v>
      </c>
      <c r="K63" s="79">
        <f t="shared" si="1"/>
        <v>0</v>
      </c>
      <c r="M63" s="78"/>
      <c r="N63" s="78"/>
    </row>
    <row r="64" spans="1:14" s="10" customFormat="1" x14ac:dyDescent="0.4">
      <c r="A64" s="117" t="s">
        <v>535</v>
      </c>
      <c r="B64" s="12" t="s">
        <v>188</v>
      </c>
      <c r="C64" s="82"/>
      <c r="D64" s="78"/>
      <c r="E64" s="78"/>
      <c r="F64" s="78"/>
      <c r="G64" s="78"/>
      <c r="H64" s="78"/>
      <c r="I64" s="79">
        <f t="shared" si="0"/>
        <v>0</v>
      </c>
      <c r="J64" s="78" t="s">
        <v>292</v>
      </c>
      <c r="K64" s="79">
        <f t="shared" si="1"/>
        <v>0</v>
      </c>
      <c r="M64" s="78"/>
      <c r="N64" s="78"/>
    </row>
    <row r="65" spans="1:14" s="10" customFormat="1" x14ac:dyDescent="0.4">
      <c r="A65" s="117" t="s">
        <v>536</v>
      </c>
      <c r="B65" s="12" t="s">
        <v>189</v>
      </c>
      <c r="C65" s="82"/>
      <c r="D65" s="78"/>
      <c r="E65" s="78"/>
      <c r="F65" s="78"/>
      <c r="G65" s="78"/>
      <c r="H65" s="78"/>
      <c r="I65" s="79">
        <f t="shared" si="0"/>
        <v>0</v>
      </c>
      <c r="J65" s="78" t="s">
        <v>292</v>
      </c>
      <c r="K65" s="79">
        <f t="shared" si="1"/>
        <v>0</v>
      </c>
      <c r="M65" s="78"/>
      <c r="N65" s="78"/>
    </row>
    <row r="66" spans="1:14" s="10" customFormat="1" x14ac:dyDescent="0.4">
      <c r="A66" s="117" t="s">
        <v>537</v>
      </c>
      <c r="B66" s="12" t="s">
        <v>190</v>
      </c>
      <c r="C66" s="82"/>
      <c r="D66" s="78"/>
      <c r="E66" s="78"/>
      <c r="F66" s="78"/>
      <c r="G66" s="78"/>
      <c r="H66" s="78"/>
      <c r="I66" s="79">
        <f t="shared" si="0"/>
        <v>0</v>
      </c>
      <c r="J66" s="78" t="s">
        <v>292</v>
      </c>
      <c r="K66" s="79">
        <f t="shared" si="1"/>
        <v>0</v>
      </c>
      <c r="M66" s="78"/>
      <c r="N66" s="78"/>
    </row>
    <row r="67" spans="1:14" s="10" customFormat="1" x14ac:dyDescent="0.4">
      <c r="A67" s="100" t="s">
        <v>785</v>
      </c>
      <c r="B67" s="100" t="s">
        <v>616</v>
      </c>
      <c r="C67" s="82"/>
      <c r="D67" s="78"/>
      <c r="E67" s="78"/>
      <c r="F67" s="78"/>
      <c r="G67" s="78"/>
      <c r="H67" s="78"/>
      <c r="I67" s="79">
        <f t="shared" ref="I67" si="3">SUM(C67:H67)</f>
        <v>0</v>
      </c>
      <c r="J67" s="78" t="s">
        <v>292</v>
      </c>
      <c r="K67" s="79">
        <f t="shared" si="1"/>
        <v>0</v>
      </c>
      <c r="M67" s="78"/>
      <c r="N67" s="78"/>
    </row>
    <row r="68" spans="1:14" s="10" customFormat="1" x14ac:dyDescent="0.4">
      <c r="A68" s="117" t="s">
        <v>538</v>
      </c>
      <c r="B68" s="12" t="s">
        <v>191</v>
      </c>
      <c r="C68" s="82"/>
      <c r="D68" s="78"/>
      <c r="E68" s="78"/>
      <c r="F68" s="78"/>
      <c r="G68" s="78"/>
      <c r="H68" s="78"/>
      <c r="I68" s="79">
        <f t="shared" si="0"/>
        <v>0</v>
      </c>
      <c r="J68" s="78" t="s">
        <v>292</v>
      </c>
      <c r="K68" s="79">
        <f t="shared" si="1"/>
        <v>0</v>
      </c>
      <c r="M68" s="78"/>
      <c r="N68" s="78"/>
    </row>
    <row r="69" spans="1:14" s="10" customFormat="1" x14ac:dyDescent="0.4">
      <c r="A69" s="117" t="s">
        <v>539</v>
      </c>
      <c r="B69" s="12" t="s">
        <v>192</v>
      </c>
      <c r="C69" s="82"/>
      <c r="D69" s="78"/>
      <c r="E69" s="78"/>
      <c r="F69" s="78"/>
      <c r="G69" s="78"/>
      <c r="H69" s="78"/>
      <c r="I69" s="79">
        <f t="shared" si="0"/>
        <v>0</v>
      </c>
      <c r="J69" s="78" t="s">
        <v>292</v>
      </c>
      <c r="K69" s="79">
        <f t="shared" si="1"/>
        <v>0</v>
      </c>
      <c r="M69" s="78"/>
      <c r="N69" s="78"/>
    </row>
    <row r="70" spans="1:14" s="10" customFormat="1" x14ac:dyDescent="0.4">
      <c r="A70" s="117" t="s">
        <v>540</v>
      </c>
      <c r="B70" s="12" t="s">
        <v>193</v>
      </c>
      <c r="C70" s="82"/>
      <c r="D70" s="78"/>
      <c r="E70" s="78"/>
      <c r="F70" s="78"/>
      <c r="G70" s="78"/>
      <c r="H70" s="78"/>
      <c r="I70" s="79">
        <f t="shared" si="0"/>
        <v>0</v>
      </c>
      <c r="J70" s="78" t="s">
        <v>292</v>
      </c>
      <c r="K70" s="79">
        <f t="shared" si="1"/>
        <v>0</v>
      </c>
      <c r="M70" s="78"/>
      <c r="N70" s="78"/>
    </row>
    <row r="71" spans="1:14" s="10" customFormat="1" x14ac:dyDescent="0.4">
      <c r="A71" s="117" t="s">
        <v>541</v>
      </c>
      <c r="B71" s="12" t="s">
        <v>194</v>
      </c>
      <c r="C71" s="82"/>
      <c r="D71" s="78"/>
      <c r="E71" s="78"/>
      <c r="F71" s="78"/>
      <c r="G71" s="78"/>
      <c r="H71" s="78"/>
      <c r="I71" s="79">
        <f t="shared" si="0"/>
        <v>0</v>
      </c>
      <c r="J71" s="78" t="s">
        <v>292</v>
      </c>
      <c r="K71" s="79">
        <f t="shared" si="1"/>
        <v>0</v>
      </c>
      <c r="M71" s="78"/>
      <c r="N71" s="78"/>
    </row>
    <row r="72" spans="1:14" s="10" customFormat="1" x14ac:dyDescent="0.4">
      <c r="A72" s="117" t="s">
        <v>542</v>
      </c>
      <c r="B72" s="12" t="s">
        <v>195</v>
      </c>
      <c r="C72" s="82"/>
      <c r="D72" s="78"/>
      <c r="E72" s="78"/>
      <c r="F72" s="78"/>
      <c r="G72" s="78"/>
      <c r="H72" s="78"/>
      <c r="I72" s="79">
        <f t="shared" si="0"/>
        <v>0</v>
      </c>
      <c r="J72" s="78" t="s">
        <v>292</v>
      </c>
      <c r="K72" s="79">
        <f t="shared" si="1"/>
        <v>0</v>
      </c>
      <c r="M72" s="78"/>
      <c r="N72" s="78"/>
    </row>
    <row r="73" spans="1:14" s="10" customFormat="1" x14ac:dyDescent="0.4">
      <c r="A73" s="117" t="s">
        <v>543</v>
      </c>
      <c r="B73" s="12" t="s">
        <v>196</v>
      </c>
      <c r="C73" s="82"/>
      <c r="D73" s="78"/>
      <c r="E73" s="78"/>
      <c r="F73" s="78"/>
      <c r="G73" s="78"/>
      <c r="H73" s="78"/>
      <c r="I73" s="79">
        <f t="shared" si="0"/>
        <v>0</v>
      </c>
      <c r="J73" s="78" t="s">
        <v>292</v>
      </c>
      <c r="K73" s="79">
        <f t="shared" si="1"/>
        <v>0</v>
      </c>
      <c r="M73" s="78"/>
      <c r="N73" s="78"/>
    </row>
    <row r="74" spans="1:14" s="10" customFormat="1" x14ac:dyDescent="0.4">
      <c r="A74" s="117" t="s">
        <v>544</v>
      </c>
      <c r="B74" s="12" t="s">
        <v>197</v>
      </c>
      <c r="C74" s="82"/>
      <c r="D74" s="78"/>
      <c r="E74" s="78"/>
      <c r="F74" s="78"/>
      <c r="G74" s="78"/>
      <c r="H74" s="78"/>
      <c r="I74" s="79">
        <f t="shared" ref="I74:I139" si="4">SUM(C74:H74)</f>
        <v>0</v>
      </c>
      <c r="J74" s="78" t="s">
        <v>290</v>
      </c>
      <c r="K74" s="79">
        <f t="shared" ref="K74:K143" si="5">I74*1</f>
        <v>0</v>
      </c>
      <c r="M74" s="78"/>
      <c r="N74" s="78"/>
    </row>
    <row r="75" spans="1:14" s="10" customFormat="1" x14ac:dyDescent="0.4">
      <c r="A75" s="117" t="s">
        <v>545</v>
      </c>
      <c r="B75" s="12" t="s">
        <v>198</v>
      </c>
      <c r="C75" s="82"/>
      <c r="D75" s="78"/>
      <c r="E75" s="78"/>
      <c r="F75" s="78"/>
      <c r="G75" s="78"/>
      <c r="H75" s="78"/>
      <c r="I75" s="79">
        <f t="shared" si="4"/>
        <v>0</v>
      </c>
      <c r="J75" s="78" t="s">
        <v>292</v>
      </c>
      <c r="K75" s="79">
        <f t="shared" si="5"/>
        <v>0</v>
      </c>
      <c r="M75" s="78"/>
      <c r="N75" s="78"/>
    </row>
    <row r="76" spans="1:14" s="10" customFormat="1" x14ac:dyDescent="0.4">
      <c r="A76" s="117" t="s">
        <v>546</v>
      </c>
      <c r="B76" s="12" t="s">
        <v>199</v>
      </c>
      <c r="C76" s="82"/>
      <c r="D76" s="78"/>
      <c r="E76" s="78"/>
      <c r="F76" s="78"/>
      <c r="G76" s="78"/>
      <c r="H76" s="78"/>
      <c r="I76" s="79">
        <f t="shared" si="4"/>
        <v>0</v>
      </c>
      <c r="J76" s="78" t="s">
        <v>292</v>
      </c>
      <c r="K76" s="79">
        <f t="shared" si="5"/>
        <v>0</v>
      </c>
      <c r="M76" s="78"/>
      <c r="N76" s="78"/>
    </row>
    <row r="77" spans="1:14" s="10" customFormat="1" x14ac:dyDescent="0.4">
      <c r="A77" s="117" t="s">
        <v>547</v>
      </c>
      <c r="B77" s="12" t="s">
        <v>200</v>
      </c>
      <c r="C77" s="82"/>
      <c r="D77" s="78"/>
      <c r="E77" s="78"/>
      <c r="F77" s="78"/>
      <c r="G77" s="78"/>
      <c r="H77" s="78"/>
      <c r="I77" s="79">
        <f t="shared" si="4"/>
        <v>0</v>
      </c>
      <c r="J77" s="78" t="s">
        <v>292</v>
      </c>
      <c r="K77" s="79">
        <f t="shared" si="5"/>
        <v>0</v>
      </c>
      <c r="M77" s="78"/>
      <c r="N77" s="78"/>
    </row>
    <row r="78" spans="1:14" s="10" customFormat="1" x14ac:dyDescent="0.4">
      <c r="A78" s="100" t="s">
        <v>874</v>
      </c>
      <c r="B78" s="100" t="s">
        <v>875</v>
      </c>
      <c r="C78" s="82"/>
      <c r="D78" s="78"/>
      <c r="E78" s="78"/>
      <c r="F78" s="78"/>
      <c r="G78" s="78"/>
      <c r="H78" s="78"/>
      <c r="I78" s="79">
        <f t="shared" si="4"/>
        <v>0</v>
      </c>
      <c r="J78" s="78" t="s">
        <v>292</v>
      </c>
      <c r="K78" s="79">
        <f t="shared" si="5"/>
        <v>0</v>
      </c>
      <c r="M78" s="78"/>
      <c r="N78" s="78"/>
    </row>
    <row r="79" spans="1:14" s="10" customFormat="1" x14ac:dyDescent="0.4">
      <c r="A79" s="100" t="s">
        <v>548</v>
      </c>
      <c r="B79" s="100" t="s">
        <v>201</v>
      </c>
      <c r="C79" s="82"/>
      <c r="D79" s="78"/>
      <c r="E79" s="78"/>
      <c r="F79" s="78"/>
      <c r="G79" s="78"/>
      <c r="H79" s="78"/>
      <c r="I79" s="79">
        <f t="shared" si="4"/>
        <v>0</v>
      </c>
      <c r="J79" s="78" t="s">
        <v>292</v>
      </c>
      <c r="K79" s="79">
        <f t="shared" si="5"/>
        <v>0</v>
      </c>
      <c r="M79" s="78"/>
      <c r="N79" s="78"/>
    </row>
    <row r="80" spans="1:14" s="10" customFormat="1" x14ac:dyDescent="0.4">
      <c r="A80" s="117" t="s">
        <v>549</v>
      </c>
      <c r="B80" s="12" t="s">
        <v>202</v>
      </c>
      <c r="C80" s="82"/>
      <c r="D80" s="78"/>
      <c r="E80" s="78"/>
      <c r="F80" s="78"/>
      <c r="G80" s="78"/>
      <c r="H80" s="78"/>
      <c r="I80" s="79">
        <f t="shared" si="4"/>
        <v>0</v>
      </c>
      <c r="J80" s="78" t="s">
        <v>292</v>
      </c>
      <c r="K80" s="79">
        <f t="shared" si="5"/>
        <v>0</v>
      </c>
      <c r="M80" s="78"/>
      <c r="N80" s="78"/>
    </row>
    <row r="81" spans="1:14" s="10" customFormat="1" x14ac:dyDescent="0.4">
      <c r="A81" s="117" t="s">
        <v>550</v>
      </c>
      <c r="B81" s="12" t="s">
        <v>203</v>
      </c>
      <c r="C81" s="82"/>
      <c r="D81" s="78"/>
      <c r="E81" s="78"/>
      <c r="F81" s="78"/>
      <c r="G81" s="78"/>
      <c r="H81" s="78"/>
      <c r="I81" s="79">
        <f t="shared" si="4"/>
        <v>0</v>
      </c>
      <c r="J81" s="78" t="s">
        <v>292</v>
      </c>
      <c r="K81" s="79">
        <f t="shared" si="5"/>
        <v>0</v>
      </c>
      <c r="M81" s="78"/>
      <c r="N81" s="78"/>
    </row>
    <row r="82" spans="1:14" s="10" customFormat="1" x14ac:dyDescent="0.4">
      <c r="A82" s="117" t="s">
        <v>551</v>
      </c>
      <c r="B82" s="12" t="s">
        <v>204</v>
      </c>
      <c r="C82" s="82"/>
      <c r="D82" s="78"/>
      <c r="E82" s="78"/>
      <c r="F82" s="78"/>
      <c r="G82" s="78"/>
      <c r="H82" s="78"/>
      <c r="I82" s="79">
        <f t="shared" si="4"/>
        <v>0</v>
      </c>
      <c r="J82" s="78" t="s">
        <v>292</v>
      </c>
      <c r="K82" s="79">
        <f t="shared" si="5"/>
        <v>0</v>
      </c>
      <c r="M82" s="78"/>
      <c r="N82" s="78"/>
    </row>
    <row r="83" spans="1:14" s="10" customFormat="1" x14ac:dyDescent="0.4">
      <c r="A83" s="117" t="s">
        <v>552</v>
      </c>
      <c r="B83" s="12" t="s">
        <v>205</v>
      </c>
      <c r="C83" s="82"/>
      <c r="D83" s="78"/>
      <c r="E83" s="78"/>
      <c r="F83" s="78"/>
      <c r="G83" s="78"/>
      <c r="H83" s="78"/>
      <c r="I83" s="79">
        <f t="shared" si="4"/>
        <v>0</v>
      </c>
      <c r="J83" s="78" t="s">
        <v>292</v>
      </c>
      <c r="K83" s="79">
        <f t="shared" si="5"/>
        <v>0</v>
      </c>
      <c r="M83" s="78"/>
      <c r="N83" s="78"/>
    </row>
    <row r="84" spans="1:14" s="10" customFormat="1" x14ac:dyDescent="0.4">
      <c r="A84" s="117" t="s">
        <v>553</v>
      </c>
      <c r="B84" s="12" t="s">
        <v>206</v>
      </c>
      <c r="C84" s="82"/>
      <c r="D84" s="78"/>
      <c r="E84" s="78"/>
      <c r="F84" s="78"/>
      <c r="G84" s="78"/>
      <c r="H84" s="78"/>
      <c r="I84" s="79">
        <f t="shared" si="4"/>
        <v>0</v>
      </c>
      <c r="J84" s="78" t="s">
        <v>292</v>
      </c>
      <c r="K84" s="79">
        <f t="shared" si="5"/>
        <v>0</v>
      </c>
      <c r="M84" s="78"/>
      <c r="N84" s="78"/>
    </row>
    <row r="85" spans="1:14" s="10" customFormat="1" x14ac:dyDescent="0.4">
      <c r="A85" s="100" t="s">
        <v>799</v>
      </c>
      <c r="B85" s="100" t="s">
        <v>800</v>
      </c>
      <c r="C85" s="82"/>
      <c r="D85" s="78"/>
      <c r="E85" s="78"/>
      <c r="F85" s="78"/>
      <c r="G85" s="78"/>
      <c r="H85" s="78"/>
      <c r="I85" s="79">
        <f t="shared" si="4"/>
        <v>0</v>
      </c>
      <c r="J85" s="78" t="s">
        <v>292</v>
      </c>
      <c r="K85" s="79">
        <f t="shared" si="5"/>
        <v>0</v>
      </c>
      <c r="M85" s="78"/>
      <c r="N85" s="78"/>
    </row>
    <row r="86" spans="1:14" s="10" customFormat="1" x14ac:dyDescent="0.4">
      <c r="A86" s="117" t="s">
        <v>554</v>
      </c>
      <c r="B86" s="12" t="s">
        <v>207</v>
      </c>
      <c r="C86" s="82"/>
      <c r="D86" s="78"/>
      <c r="E86" s="78"/>
      <c r="F86" s="78"/>
      <c r="G86" s="78"/>
      <c r="H86" s="78"/>
      <c r="I86" s="79">
        <f t="shared" si="4"/>
        <v>0</v>
      </c>
      <c r="J86" s="78" t="s">
        <v>299</v>
      </c>
      <c r="K86" s="79">
        <f t="shared" si="5"/>
        <v>0</v>
      </c>
      <c r="M86" s="78"/>
      <c r="N86" s="78"/>
    </row>
    <row r="87" spans="1:14" s="10" customFormat="1" x14ac:dyDescent="0.4">
      <c r="A87" s="117" t="s">
        <v>555</v>
      </c>
      <c r="B87" s="12" t="s">
        <v>208</v>
      </c>
      <c r="C87" s="82"/>
      <c r="D87" s="78"/>
      <c r="E87" s="78"/>
      <c r="F87" s="78"/>
      <c r="G87" s="78"/>
      <c r="H87" s="78"/>
      <c r="I87" s="79">
        <f t="shared" si="4"/>
        <v>0</v>
      </c>
      <c r="J87" s="78" t="s">
        <v>292</v>
      </c>
      <c r="K87" s="79">
        <f t="shared" si="5"/>
        <v>0</v>
      </c>
      <c r="M87" s="78"/>
      <c r="N87" s="78"/>
    </row>
    <row r="88" spans="1:14" s="10" customFormat="1" x14ac:dyDescent="0.4">
      <c r="A88" s="117" t="s">
        <v>556</v>
      </c>
      <c r="B88" s="12" t="s">
        <v>209</v>
      </c>
      <c r="C88" s="82"/>
      <c r="D88" s="78"/>
      <c r="E88" s="78"/>
      <c r="F88" s="78"/>
      <c r="G88" s="78"/>
      <c r="H88" s="78"/>
      <c r="I88" s="79">
        <f t="shared" si="4"/>
        <v>0</v>
      </c>
      <c r="J88" s="78" t="s">
        <v>292</v>
      </c>
      <c r="K88" s="79">
        <f t="shared" si="5"/>
        <v>0</v>
      </c>
      <c r="M88" s="78"/>
      <c r="N88" s="78"/>
    </row>
    <row r="89" spans="1:14" s="10" customFormat="1" x14ac:dyDescent="0.4">
      <c r="A89" s="117" t="s">
        <v>557</v>
      </c>
      <c r="B89" s="12" t="s">
        <v>210</v>
      </c>
      <c r="C89" s="82"/>
      <c r="D89" s="78"/>
      <c r="E89" s="78"/>
      <c r="F89" s="78"/>
      <c r="G89" s="78"/>
      <c r="H89" s="78"/>
      <c r="I89" s="79">
        <f t="shared" si="4"/>
        <v>0</v>
      </c>
      <c r="J89" s="78" t="s">
        <v>292</v>
      </c>
      <c r="K89" s="79">
        <f t="shared" si="5"/>
        <v>0</v>
      </c>
      <c r="M89" s="78"/>
      <c r="N89" s="78"/>
    </row>
    <row r="90" spans="1:14" s="10" customFormat="1" x14ac:dyDescent="0.4">
      <c r="A90" s="117" t="s">
        <v>558</v>
      </c>
      <c r="B90" s="12" t="s">
        <v>211</v>
      </c>
      <c r="C90" s="82"/>
      <c r="D90" s="78"/>
      <c r="E90" s="78"/>
      <c r="F90" s="78"/>
      <c r="G90" s="78"/>
      <c r="H90" s="78"/>
      <c r="I90" s="79">
        <f t="shared" si="4"/>
        <v>0</v>
      </c>
      <c r="J90" s="78" t="s">
        <v>292</v>
      </c>
      <c r="K90" s="79">
        <f t="shared" si="5"/>
        <v>0</v>
      </c>
      <c r="M90" s="78"/>
      <c r="N90" s="78"/>
    </row>
    <row r="91" spans="1:14" s="10" customFormat="1" x14ac:dyDescent="0.4">
      <c r="A91" s="117" t="s">
        <v>559</v>
      </c>
      <c r="B91" s="12" t="s">
        <v>212</v>
      </c>
      <c r="C91" s="82"/>
      <c r="D91" s="78"/>
      <c r="E91" s="78"/>
      <c r="F91" s="78"/>
      <c r="G91" s="78"/>
      <c r="H91" s="78"/>
      <c r="I91" s="79">
        <f t="shared" si="4"/>
        <v>0</v>
      </c>
      <c r="J91" s="78" t="s">
        <v>292</v>
      </c>
      <c r="K91" s="79">
        <f t="shared" si="5"/>
        <v>0</v>
      </c>
      <c r="M91" s="78"/>
      <c r="N91" s="78"/>
    </row>
    <row r="92" spans="1:14" s="10" customFormat="1" x14ac:dyDescent="0.4">
      <c r="A92" s="117" t="s">
        <v>560</v>
      </c>
      <c r="B92" s="12" t="s">
        <v>213</v>
      </c>
      <c r="C92" s="82"/>
      <c r="D92" s="78"/>
      <c r="E92" s="78"/>
      <c r="F92" s="78"/>
      <c r="G92" s="78"/>
      <c r="H92" s="78"/>
      <c r="I92" s="79">
        <f t="shared" si="4"/>
        <v>0</v>
      </c>
      <c r="J92" s="78" t="s">
        <v>292</v>
      </c>
      <c r="K92" s="79">
        <f t="shared" si="5"/>
        <v>0</v>
      </c>
      <c r="M92" s="78"/>
      <c r="N92" s="78"/>
    </row>
    <row r="93" spans="1:14" s="10" customFormat="1" x14ac:dyDescent="0.4">
      <c r="A93" s="100" t="s">
        <v>561</v>
      </c>
      <c r="B93" s="100" t="s">
        <v>214</v>
      </c>
      <c r="C93" s="82"/>
      <c r="D93" s="78"/>
      <c r="E93" s="78"/>
      <c r="F93" s="78"/>
      <c r="G93" s="78"/>
      <c r="H93" s="78"/>
      <c r="I93" s="79">
        <f t="shared" si="4"/>
        <v>0</v>
      </c>
      <c r="J93" s="78" t="s">
        <v>292</v>
      </c>
      <c r="K93" s="79">
        <f t="shared" si="5"/>
        <v>0</v>
      </c>
      <c r="M93" s="78"/>
      <c r="N93" s="78"/>
    </row>
    <row r="94" spans="1:14" s="10" customFormat="1" x14ac:dyDescent="0.4">
      <c r="A94" s="100" t="s">
        <v>641</v>
      </c>
      <c r="B94" s="100" t="s">
        <v>642</v>
      </c>
      <c r="C94" s="82"/>
      <c r="D94" s="78"/>
      <c r="E94" s="78"/>
      <c r="F94" s="78"/>
      <c r="G94" s="78"/>
      <c r="H94" s="78"/>
      <c r="I94" s="79">
        <f t="shared" si="4"/>
        <v>0</v>
      </c>
      <c r="J94" s="78" t="s">
        <v>292</v>
      </c>
      <c r="K94" s="79">
        <f t="shared" si="5"/>
        <v>0</v>
      </c>
      <c r="M94" s="78"/>
      <c r="N94" s="78"/>
    </row>
    <row r="95" spans="1:14" s="10" customFormat="1" x14ac:dyDescent="0.4">
      <c r="A95" s="117" t="s">
        <v>562</v>
      </c>
      <c r="B95" s="12" t="s">
        <v>257</v>
      </c>
      <c r="C95" s="82"/>
      <c r="D95" s="78"/>
      <c r="E95" s="78"/>
      <c r="F95" s="78"/>
      <c r="G95" s="78"/>
      <c r="H95" s="78"/>
      <c r="I95" s="79">
        <f t="shared" si="4"/>
        <v>0</v>
      </c>
      <c r="J95" s="78" t="s">
        <v>292</v>
      </c>
      <c r="K95" s="79">
        <f t="shared" si="5"/>
        <v>0</v>
      </c>
      <c r="M95" s="78"/>
      <c r="N95" s="78"/>
    </row>
    <row r="96" spans="1:14" s="10" customFormat="1" x14ac:dyDescent="0.4">
      <c r="A96" s="68" t="s">
        <v>563</v>
      </c>
      <c r="B96" s="12" t="s">
        <v>215</v>
      </c>
      <c r="C96" s="82"/>
      <c r="D96" s="78"/>
      <c r="E96" s="78"/>
      <c r="F96" s="78"/>
      <c r="G96" s="78"/>
      <c r="H96" s="78"/>
      <c r="I96" s="79">
        <f t="shared" si="4"/>
        <v>0</v>
      </c>
      <c r="J96" s="78" t="s">
        <v>292</v>
      </c>
      <c r="K96" s="79">
        <f t="shared" si="5"/>
        <v>0</v>
      </c>
      <c r="M96" s="78"/>
      <c r="N96" s="78"/>
    </row>
    <row r="97" spans="1:15" s="10" customFormat="1" x14ac:dyDescent="0.4">
      <c r="A97" s="71" t="s">
        <v>624</v>
      </c>
      <c r="B97" s="71" t="s">
        <v>625</v>
      </c>
      <c r="C97" s="82"/>
      <c r="D97" s="78"/>
      <c r="E97" s="78"/>
      <c r="F97" s="78"/>
      <c r="G97" s="78"/>
      <c r="H97" s="78"/>
      <c r="I97" s="79">
        <f t="shared" si="4"/>
        <v>0</v>
      </c>
      <c r="J97" s="78" t="s">
        <v>292</v>
      </c>
      <c r="K97" s="79">
        <f t="shared" si="5"/>
        <v>0</v>
      </c>
      <c r="M97" s="78"/>
      <c r="N97" s="78"/>
    </row>
    <row r="98" spans="1:15" s="10" customFormat="1" x14ac:dyDescent="0.4">
      <c r="A98" s="117" t="s">
        <v>564</v>
      </c>
      <c r="B98" s="12" t="s">
        <v>216</v>
      </c>
      <c r="C98" s="82"/>
      <c r="D98" s="78"/>
      <c r="E98" s="78"/>
      <c r="F98" s="78"/>
      <c r="G98" s="78"/>
      <c r="H98" s="78"/>
      <c r="I98" s="79">
        <f t="shared" si="4"/>
        <v>0</v>
      </c>
      <c r="J98" s="78" t="s">
        <v>292</v>
      </c>
      <c r="K98" s="79">
        <f t="shared" si="5"/>
        <v>0</v>
      </c>
      <c r="M98" s="78"/>
      <c r="N98" s="78"/>
    </row>
    <row r="99" spans="1:15" s="10" customFormat="1" x14ac:dyDescent="0.4">
      <c r="A99" s="117" t="s">
        <v>565</v>
      </c>
      <c r="B99" s="12" t="s">
        <v>217</v>
      </c>
      <c r="C99" s="82"/>
      <c r="D99" s="78"/>
      <c r="E99" s="78"/>
      <c r="F99" s="78"/>
      <c r="G99" s="78"/>
      <c r="H99" s="78"/>
      <c r="I99" s="79">
        <f t="shared" si="4"/>
        <v>0</v>
      </c>
      <c r="J99" s="78" t="s">
        <v>292</v>
      </c>
      <c r="K99" s="79">
        <f t="shared" si="5"/>
        <v>0</v>
      </c>
      <c r="M99" s="78"/>
      <c r="N99" s="78"/>
    </row>
    <row r="100" spans="1:15" s="10" customFormat="1" x14ac:dyDescent="0.4">
      <c r="A100" s="117" t="s">
        <v>566</v>
      </c>
      <c r="B100" s="12" t="s">
        <v>218</v>
      </c>
      <c r="C100" s="82"/>
      <c r="D100" s="78"/>
      <c r="E100" s="78"/>
      <c r="F100" s="78"/>
      <c r="G100" s="78"/>
      <c r="H100" s="78"/>
      <c r="I100" s="79">
        <f t="shared" si="4"/>
        <v>0</v>
      </c>
      <c r="J100" s="78" t="s">
        <v>292</v>
      </c>
      <c r="K100" s="79">
        <f t="shared" si="5"/>
        <v>0</v>
      </c>
      <c r="M100" s="78"/>
      <c r="N100" s="78"/>
    </row>
    <row r="101" spans="1:15" s="10" customFormat="1" x14ac:dyDescent="0.4">
      <c r="A101" s="117" t="s">
        <v>567</v>
      </c>
      <c r="B101" s="12" t="s">
        <v>219</v>
      </c>
      <c r="C101" s="82"/>
      <c r="D101" s="78"/>
      <c r="E101" s="78"/>
      <c r="F101" s="78"/>
      <c r="G101" s="78"/>
      <c r="H101" s="78"/>
      <c r="I101" s="79">
        <f t="shared" si="4"/>
        <v>0</v>
      </c>
      <c r="J101" s="78" t="s">
        <v>292</v>
      </c>
      <c r="K101" s="79">
        <f t="shared" si="5"/>
        <v>0</v>
      </c>
      <c r="M101" s="78"/>
      <c r="N101" s="78"/>
    </row>
    <row r="102" spans="1:15" s="10" customFormat="1" x14ac:dyDescent="0.4">
      <c r="A102" s="117" t="s">
        <v>568</v>
      </c>
      <c r="B102" s="12" t="s">
        <v>220</v>
      </c>
      <c r="C102" s="82"/>
      <c r="D102" s="78"/>
      <c r="E102" s="78"/>
      <c r="F102" s="78"/>
      <c r="G102" s="78"/>
      <c r="H102" s="78"/>
      <c r="I102" s="79">
        <f t="shared" si="4"/>
        <v>0</v>
      </c>
      <c r="J102" s="78" t="s">
        <v>292</v>
      </c>
      <c r="K102" s="79">
        <f t="shared" si="5"/>
        <v>0</v>
      </c>
      <c r="M102" s="78"/>
      <c r="N102" s="78"/>
    </row>
    <row r="103" spans="1:15" s="10" customFormat="1" x14ac:dyDescent="0.4">
      <c r="A103" s="117" t="s">
        <v>569</v>
      </c>
      <c r="B103" s="12" t="s">
        <v>221</v>
      </c>
      <c r="C103" s="82"/>
      <c r="D103" s="78"/>
      <c r="E103" s="78"/>
      <c r="F103" s="78"/>
      <c r="G103" s="78"/>
      <c r="H103" s="78"/>
      <c r="I103" s="79">
        <f t="shared" si="4"/>
        <v>0</v>
      </c>
      <c r="J103" s="78" t="s">
        <v>292</v>
      </c>
      <c r="K103" s="79">
        <f t="shared" si="5"/>
        <v>0</v>
      </c>
      <c r="M103" s="78"/>
      <c r="N103" s="78"/>
    </row>
    <row r="104" spans="1:15" s="10" customFormat="1" x14ac:dyDescent="0.4">
      <c r="A104" s="117" t="s">
        <v>570</v>
      </c>
      <c r="B104" s="12" t="s">
        <v>222</v>
      </c>
      <c r="C104" s="82"/>
      <c r="D104" s="78"/>
      <c r="E104" s="78"/>
      <c r="F104" s="78"/>
      <c r="G104" s="78"/>
      <c r="H104" s="78"/>
      <c r="I104" s="79">
        <f t="shared" si="4"/>
        <v>0</v>
      </c>
      <c r="J104" s="78" t="s">
        <v>292</v>
      </c>
      <c r="K104" s="79">
        <f t="shared" si="5"/>
        <v>0</v>
      </c>
      <c r="M104" s="78"/>
      <c r="N104" s="78"/>
    </row>
    <row r="105" spans="1:15" s="10" customFormat="1" x14ac:dyDescent="0.4">
      <c r="A105" s="117" t="s">
        <v>571</v>
      </c>
      <c r="B105" s="12" t="s">
        <v>223</v>
      </c>
      <c r="C105" s="82"/>
      <c r="D105" s="78"/>
      <c r="E105" s="78"/>
      <c r="F105" s="78"/>
      <c r="G105" s="78"/>
      <c r="H105" s="78"/>
      <c r="I105" s="79">
        <f t="shared" si="4"/>
        <v>0</v>
      </c>
      <c r="J105" s="78" t="s">
        <v>292</v>
      </c>
      <c r="K105" s="79">
        <f t="shared" si="5"/>
        <v>0</v>
      </c>
      <c r="M105" s="78"/>
      <c r="N105" s="78"/>
    </row>
    <row r="106" spans="1:15" s="10" customFormat="1" x14ac:dyDescent="0.4">
      <c r="A106" s="117" t="s">
        <v>572</v>
      </c>
      <c r="B106" s="12" t="s">
        <v>224</v>
      </c>
      <c r="C106" s="82"/>
      <c r="D106" s="78"/>
      <c r="E106" s="78"/>
      <c r="F106" s="78"/>
      <c r="G106" s="78"/>
      <c r="H106" s="78"/>
      <c r="I106" s="79">
        <f t="shared" si="4"/>
        <v>0</v>
      </c>
      <c r="J106" s="78" t="s">
        <v>292</v>
      </c>
      <c r="K106" s="79">
        <f t="shared" si="5"/>
        <v>0</v>
      </c>
      <c r="M106" s="78"/>
      <c r="N106" s="78"/>
    </row>
    <row r="107" spans="1:15" s="10" customFormat="1" x14ac:dyDescent="0.4">
      <c r="A107" s="117" t="s">
        <v>573</v>
      </c>
      <c r="B107" s="12" t="s">
        <v>225</v>
      </c>
      <c r="C107" s="82"/>
      <c r="D107" s="78"/>
      <c r="E107" s="78"/>
      <c r="F107" s="78"/>
      <c r="G107" s="78"/>
      <c r="H107" s="78"/>
      <c r="I107" s="79">
        <f t="shared" si="4"/>
        <v>0</v>
      </c>
      <c r="J107" s="78" t="s">
        <v>292</v>
      </c>
      <c r="K107" s="79">
        <f t="shared" si="5"/>
        <v>0</v>
      </c>
      <c r="M107" s="78"/>
      <c r="N107" s="78"/>
    </row>
    <row r="108" spans="1:15" s="78" customFormat="1" x14ac:dyDescent="0.4">
      <c r="A108" s="117" t="s">
        <v>574</v>
      </c>
      <c r="B108" s="12" t="s">
        <v>226</v>
      </c>
      <c r="C108" s="82"/>
      <c r="I108" s="79">
        <f t="shared" si="4"/>
        <v>0</v>
      </c>
      <c r="J108" s="78" t="s">
        <v>292</v>
      </c>
      <c r="K108" s="79">
        <f t="shared" si="5"/>
        <v>0</v>
      </c>
      <c r="L108" s="10"/>
      <c r="O108" s="10"/>
    </row>
    <row r="109" spans="1:15" s="78" customFormat="1" x14ac:dyDescent="0.4">
      <c r="A109" s="117" t="s">
        <v>575</v>
      </c>
      <c r="B109" s="12" t="s">
        <v>227</v>
      </c>
      <c r="C109" s="82"/>
      <c r="I109" s="79">
        <f t="shared" si="4"/>
        <v>0</v>
      </c>
      <c r="J109" s="78" t="s">
        <v>292</v>
      </c>
      <c r="K109" s="79">
        <f t="shared" si="5"/>
        <v>0</v>
      </c>
      <c r="L109" s="10"/>
      <c r="O109" s="10"/>
    </row>
    <row r="110" spans="1:15" s="10" customFormat="1" x14ac:dyDescent="0.4">
      <c r="A110" s="117" t="s">
        <v>576</v>
      </c>
      <c r="B110" s="12" t="s">
        <v>228</v>
      </c>
      <c r="C110" s="82"/>
      <c r="D110" s="78"/>
      <c r="E110" s="78"/>
      <c r="F110" s="78"/>
      <c r="G110" s="78"/>
      <c r="H110" s="78"/>
      <c r="I110" s="79">
        <f t="shared" si="4"/>
        <v>0</v>
      </c>
      <c r="J110" s="78" t="s">
        <v>291</v>
      </c>
      <c r="K110" s="79">
        <f t="shared" si="5"/>
        <v>0</v>
      </c>
      <c r="M110" s="78"/>
      <c r="N110" s="78"/>
    </row>
    <row r="111" spans="1:15" s="78" customFormat="1" x14ac:dyDescent="0.4">
      <c r="A111" s="117" t="s">
        <v>577</v>
      </c>
      <c r="B111" s="12" t="s">
        <v>229</v>
      </c>
      <c r="C111" s="82"/>
      <c r="I111" s="79">
        <f t="shared" si="4"/>
        <v>0</v>
      </c>
      <c r="J111" s="78" t="s">
        <v>292</v>
      </c>
      <c r="K111" s="79">
        <f t="shared" si="5"/>
        <v>0</v>
      </c>
      <c r="L111" s="10"/>
      <c r="O111" s="10"/>
    </row>
    <row r="112" spans="1:15" s="10" customFormat="1" x14ac:dyDescent="0.4">
      <c r="A112" s="117" t="s">
        <v>578</v>
      </c>
      <c r="B112" s="12" t="s">
        <v>230</v>
      </c>
      <c r="C112" s="82"/>
      <c r="D112" s="78"/>
      <c r="E112" s="78"/>
      <c r="F112" s="78"/>
      <c r="G112" s="78"/>
      <c r="H112" s="78"/>
      <c r="I112" s="79">
        <f t="shared" si="4"/>
        <v>0</v>
      </c>
      <c r="J112" s="78" t="s">
        <v>292</v>
      </c>
      <c r="K112" s="79">
        <f t="shared" si="5"/>
        <v>0</v>
      </c>
      <c r="M112" s="78"/>
      <c r="N112" s="78"/>
    </row>
    <row r="113" spans="1:14" s="10" customFormat="1" x14ac:dyDescent="0.4">
      <c r="A113" s="117" t="s">
        <v>579</v>
      </c>
      <c r="B113" s="12" t="s">
        <v>231</v>
      </c>
      <c r="C113" s="82"/>
      <c r="D113" s="78"/>
      <c r="E113" s="78"/>
      <c r="F113" s="78"/>
      <c r="G113" s="78"/>
      <c r="H113" s="78"/>
      <c r="I113" s="79">
        <f t="shared" si="4"/>
        <v>0</v>
      </c>
      <c r="J113" s="78" t="s">
        <v>288</v>
      </c>
      <c r="K113" s="79">
        <f t="shared" si="5"/>
        <v>0</v>
      </c>
      <c r="M113" s="78"/>
      <c r="N113" s="78"/>
    </row>
    <row r="114" spans="1:14" s="10" customFormat="1" x14ac:dyDescent="0.4">
      <c r="A114" s="117" t="s">
        <v>580</v>
      </c>
      <c r="B114" s="12" t="s">
        <v>232</v>
      </c>
      <c r="C114" s="82"/>
      <c r="D114" s="78"/>
      <c r="E114" s="78"/>
      <c r="F114" s="78"/>
      <c r="G114" s="78"/>
      <c r="H114" s="78"/>
      <c r="I114" s="79">
        <f t="shared" si="4"/>
        <v>0</v>
      </c>
      <c r="J114" s="78" t="s">
        <v>292</v>
      </c>
      <c r="K114" s="79">
        <f t="shared" si="5"/>
        <v>0</v>
      </c>
      <c r="M114" s="78"/>
      <c r="N114" s="78"/>
    </row>
    <row r="115" spans="1:14" s="10" customFormat="1" x14ac:dyDescent="0.4">
      <c r="A115" s="117" t="s">
        <v>581</v>
      </c>
      <c r="B115" s="12" t="s">
        <v>233</v>
      </c>
      <c r="C115" s="82"/>
      <c r="D115" s="78"/>
      <c r="E115" s="78"/>
      <c r="F115" s="78"/>
      <c r="G115" s="78"/>
      <c r="H115" s="78"/>
      <c r="I115" s="79">
        <f t="shared" si="4"/>
        <v>0</v>
      </c>
      <c r="J115" s="78" t="s">
        <v>292</v>
      </c>
      <c r="K115" s="79">
        <f t="shared" si="5"/>
        <v>0</v>
      </c>
      <c r="M115" s="78"/>
      <c r="N115" s="78"/>
    </row>
    <row r="116" spans="1:14" s="10" customFormat="1" x14ac:dyDescent="0.4">
      <c r="A116" s="117" t="s">
        <v>582</v>
      </c>
      <c r="B116" s="12" t="s">
        <v>234</v>
      </c>
      <c r="C116" s="82"/>
      <c r="D116" s="78"/>
      <c r="E116" s="78"/>
      <c r="F116" s="78"/>
      <c r="G116" s="78"/>
      <c r="H116" s="78"/>
      <c r="I116" s="79">
        <f t="shared" si="4"/>
        <v>0</v>
      </c>
      <c r="J116" s="78" t="s">
        <v>288</v>
      </c>
      <c r="K116" s="79">
        <f t="shared" si="5"/>
        <v>0</v>
      </c>
      <c r="M116" s="78"/>
      <c r="N116" s="78"/>
    </row>
    <row r="117" spans="1:14" s="10" customFormat="1" x14ac:dyDescent="0.4">
      <c r="A117" s="100" t="s">
        <v>869</v>
      </c>
      <c r="B117" s="100" t="s">
        <v>870</v>
      </c>
      <c r="C117" s="82"/>
      <c r="D117" s="78"/>
      <c r="E117" s="78"/>
      <c r="F117" s="78"/>
      <c r="G117" s="78"/>
      <c r="H117" s="78"/>
      <c r="I117" s="79">
        <f t="shared" si="4"/>
        <v>0</v>
      </c>
      <c r="J117" s="78" t="s">
        <v>292</v>
      </c>
      <c r="K117" s="79">
        <f t="shared" si="5"/>
        <v>0</v>
      </c>
      <c r="M117" s="78"/>
      <c r="N117" s="78"/>
    </row>
    <row r="118" spans="1:14" s="10" customFormat="1" x14ac:dyDescent="0.4">
      <c r="A118" s="117" t="s">
        <v>583</v>
      </c>
      <c r="B118" s="12" t="s">
        <v>235</v>
      </c>
      <c r="C118" s="82"/>
      <c r="D118" s="78"/>
      <c r="E118" s="78"/>
      <c r="F118" s="78"/>
      <c r="G118" s="78"/>
      <c r="H118" s="78"/>
      <c r="I118" s="79">
        <f t="shared" si="4"/>
        <v>0</v>
      </c>
      <c r="J118" s="78" t="s">
        <v>292</v>
      </c>
      <c r="K118" s="79">
        <f t="shared" si="5"/>
        <v>0</v>
      </c>
      <c r="M118" s="78"/>
      <c r="N118" s="78"/>
    </row>
    <row r="119" spans="1:14" s="10" customFormat="1" x14ac:dyDescent="0.4">
      <c r="A119" s="100" t="s">
        <v>664</v>
      </c>
      <c r="B119" s="100" t="s">
        <v>665</v>
      </c>
      <c r="C119" s="82"/>
      <c r="D119" s="78"/>
      <c r="E119" s="78"/>
      <c r="F119" s="78"/>
      <c r="G119" s="78"/>
      <c r="H119" s="78"/>
      <c r="I119" s="79">
        <f t="shared" si="4"/>
        <v>0</v>
      </c>
      <c r="J119" s="78" t="s">
        <v>292</v>
      </c>
      <c r="K119" s="79">
        <f t="shared" si="5"/>
        <v>0</v>
      </c>
      <c r="M119" s="78"/>
      <c r="N119" s="78"/>
    </row>
    <row r="120" spans="1:14" s="10" customFormat="1" x14ac:dyDescent="0.4">
      <c r="A120" s="117" t="s">
        <v>584</v>
      </c>
      <c r="B120" s="12" t="s">
        <v>236</v>
      </c>
      <c r="C120" s="82"/>
      <c r="D120" s="78"/>
      <c r="E120" s="78"/>
      <c r="F120" s="78"/>
      <c r="G120" s="78"/>
      <c r="H120" s="78"/>
      <c r="I120" s="79">
        <f t="shared" si="4"/>
        <v>0</v>
      </c>
      <c r="J120" s="78" t="s">
        <v>292</v>
      </c>
      <c r="K120" s="79">
        <f t="shared" si="5"/>
        <v>0</v>
      </c>
      <c r="M120" s="78"/>
      <c r="N120" s="78"/>
    </row>
    <row r="121" spans="1:14" s="10" customFormat="1" x14ac:dyDescent="0.4">
      <c r="A121" s="117" t="s">
        <v>585</v>
      </c>
      <c r="B121" s="12" t="s">
        <v>237</v>
      </c>
      <c r="C121" s="82"/>
      <c r="D121" s="78"/>
      <c r="E121" s="78"/>
      <c r="F121" s="78"/>
      <c r="G121" s="78"/>
      <c r="H121" s="78"/>
      <c r="I121" s="79">
        <f t="shared" si="4"/>
        <v>0</v>
      </c>
      <c r="J121" s="78" t="s">
        <v>292</v>
      </c>
      <c r="K121" s="79">
        <f t="shared" si="5"/>
        <v>0</v>
      </c>
      <c r="M121" s="78"/>
      <c r="N121" s="78"/>
    </row>
    <row r="122" spans="1:14" s="10" customFormat="1" x14ac:dyDescent="0.4">
      <c r="A122" s="117" t="s">
        <v>626</v>
      </c>
      <c r="B122" s="12" t="s">
        <v>627</v>
      </c>
      <c r="C122" s="82"/>
      <c r="D122" s="78"/>
      <c r="E122" s="78"/>
      <c r="F122" s="78"/>
      <c r="G122" s="78"/>
      <c r="H122" s="78"/>
      <c r="I122" s="79">
        <f t="shared" si="4"/>
        <v>0</v>
      </c>
      <c r="J122" s="78" t="s">
        <v>292</v>
      </c>
      <c r="K122" s="79">
        <f t="shared" si="5"/>
        <v>0</v>
      </c>
      <c r="M122" s="78"/>
      <c r="N122" s="78"/>
    </row>
    <row r="123" spans="1:14" s="10" customFormat="1" x14ac:dyDescent="0.4">
      <c r="A123" s="117" t="s">
        <v>586</v>
      </c>
      <c r="B123" s="12" t="s">
        <v>238</v>
      </c>
      <c r="C123" s="82"/>
      <c r="D123" s="78"/>
      <c r="E123" s="78"/>
      <c r="F123" s="78"/>
      <c r="G123" s="78"/>
      <c r="H123" s="78"/>
      <c r="I123" s="79">
        <f t="shared" si="4"/>
        <v>0</v>
      </c>
      <c r="J123" s="78" t="s">
        <v>291</v>
      </c>
      <c r="K123" s="79">
        <f t="shared" si="5"/>
        <v>0</v>
      </c>
      <c r="M123" s="78"/>
      <c r="N123" s="78"/>
    </row>
    <row r="124" spans="1:14" s="10" customFormat="1" x14ac:dyDescent="0.4">
      <c r="A124" s="117" t="s">
        <v>587</v>
      </c>
      <c r="B124" s="12" t="s">
        <v>239</v>
      </c>
      <c r="C124" s="82"/>
      <c r="D124" s="78"/>
      <c r="E124" s="78"/>
      <c r="F124" s="78"/>
      <c r="G124" s="78"/>
      <c r="H124" s="78"/>
      <c r="I124" s="79">
        <f t="shared" si="4"/>
        <v>0</v>
      </c>
      <c r="J124" s="78" t="s">
        <v>292</v>
      </c>
      <c r="K124" s="79">
        <f t="shared" si="5"/>
        <v>0</v>
      </c>
      <c r="L124" s="78"/>
      <c r="M124" s="78"/>
      <c r="N124" s="78"/>
    </row>
    <row r="125" spans="1:14" s="10" customFormat="1" x14ac:dyDescent="0.4">
      <c r="A125" s="117" t="s">
        <v>588</v>
      </c>
      <c r="B125" s="12" t="s">
        <v>240</v>
      </c>
      <c r="C125" s="82"/>
      <c r="D125" s="78"/>
      <c r="E125" s="78"/>
      <c r="F125" s="78"/>
      <c r="G125" s="78"/>
      <c r="H125" s="78"/>
      <c r="I125" s="79">
        <f t="shared" si="4"/>
        <v>0</v>
      </c>
      <c r="J125" s="78" t="s">
        <v>292</v>
      </c>
      <c r="K125" s="79">
        <f t="shared" si="5"/>
        <v>0</v>
      </c>
      <c r="L125" s="78"/>
      <c r="M125" s="78"/>
      <c r="N125" s="78"/>
    </row>
    <row r="126" spans="1:14" s="10" customFormat="1" x14ac:dyDescent="0.4">
      <c r="A126" s="117" t="s">
        <v>589</v>
      </c>
      <c r="B126" s="12" t="s">
        <v>241</v>
      </c>
      <c r="C126" s="82"/>
      <c r="D126" s="78"/>
      <c r="E126" s="78"/>
      <c r="F126" s="78"/>
      <c r="G126" s="78"/>
      <c r="H126" s="78"/>
      <c r="I126" s="79">
        <f t="shared" si="4"/>
        <v>0</v>
      </c>
      <c r="J126" s="78" t="s">
        <v>288</v>
      </c>
      <c r="K126" s="79">
        <f t="shared" si="5"/>
        <v>0</v>
      </c>
      <c r="L126" s="78"/>
      <c r="M126" s="78"/>
      <c r="N126" s="78"/>
    </row>
    <row r="127" spans="1:14" s="10" customFormat="1" x14ac:dyDescent="0.4">
      <c r="A127" s="117" t="s">
        <v>590</v>
      </c>
      <c r="B127" s="12" t="s">
        <v>242</v>
      </c>
      <c r="C127" s="82"/>
      <c r="D127" s="78"/>
      <c r="E127" s="78"/>
      <c r="F127" s="78"/>
      <c r="G127" s="78"/>
      <c r="H127" s="78"/>
      <c r="I127" s="79">
        <f t="shared" si="4"/>
        <v>0</v>
      </c>
      <c r="J127" s="78" t="s">
        <v>292</v>
      </c>
      <c r="K127" s="79">
        <f t="shared" si="5"/>
        <v>0</v>
      </c>
      <c r="L127" s="78"/>
      <c r="M127" s="78"/>
      <c r="N127" s="78"/>
    </row>
    <row r="128" spans="1:14" s="10" customFormat="1" x14ac:dyDescent="0.4">
      <c r="A128" s="117" t="s">
        <v>591</v>
      </c>
      <c r="B128" s="12" t="s">
        <v>243</v>
      </c>
      <c r="C128" s="82"/>
      <c r="D128" s="78"/>
      <c r="E128" s="78"/>
      <c r="F128" s="78"/>
      <c r="G128" s="78"/>
      <c r="H128" s="78"/>
      <c r="I128" s="79">
        <f t="shared" si="4"/>
        <v>0</v>
      </c>
      <c r="J128" s="78" t="s">
        <v>288</v>
      </c>
      <c r="K128" s="79">
        <f t="shared" si="5"/>
        <v>0</v>
      </c>
      <c r="L128" s="78"/>
      <c r="M128" s="78"/>
      <c r="N128" s="78"/>
    </row>
    <row r="129" spans="1:14" x14ac:dyDescent="0.4">
      <c r="A129" s="117" t="s">
        <v>592</v>
      </c>
      <c r="B129" s="12" t="s">
        <v>244</v>
      </c>
      <c r="C129" s="82"/>
      <c r="D129" s="78"/>
      <c r="I129" s="79">
        <f t="shared" si="4"/>
        <v>0</v>
      </c>
      <c r="J129" s="78" t="s">
        <v>292</v>
      </c>
      <c r="K129" s="79">
        <f t="shared" si="5"/>
        <v>0</v>
      </c>
      <c r="L129" s="78"/>
      <c r="M129" s="78"/>
      <c r="N129" s="78"/>
    </row>
    <row r="130" spans="1:14" x14ac:dyDescent="0.4">
      <c r="A130" s="100" t="s">
        <v>866</v>
      </c>
      <c r="B130" s="100" t="s">
        <v>867</v>
      </c>
      <c r="C130" s="82"/>
      <c r="D130" s="78"/>
      <c r="I130" s="79">
        <f t="shared" si="4"/>
        <v>0</v>
      </c>
      <c r="J130" s="78" t="s">
        <v>292</v>
      </c>
      <c r="K130" s="79">
        <f t="shared" si="5"/>
        <v>0</v>
      </c>
      <c r="L130" s="10"/>
      <c r="M130" s="78"/>
      <c r="N130" s="78"/>
    </row>
    <row r="131" spans="1:14" x14ac:dyDescent="0.4">
      <c r="A131" s="117" t="s">
        <v>593</v>
      </c>
      <c r="B131" s="12" t="s">
        <v>245</v>
      </c>
      <c r="C131" s="82"/>
      <c r="D131" s="78"/>
      <c r="I131" s="79">
        <f t="shared" si="4"/>
        <v>0</v>
      </c>
      <c r="J131" s="78" t="s">
        <v>292</v>
      </c>
      <c r="K131" s="79">
        <f t="shared" si="5"/>
        <v>0</v>
      </c>
      <c r="L131" s="10"/>
      <c r="M131" s="78"/>
      <c r="N131" s="78"/>
    </row>
    <row r="132" spans="1:14" x14ac:dyDescent="0.4">
      <c r="A132" s="117" t="s">
        <v>594</v>
      </c>
      <c r="B132" s="12" t="s">
        <v>246</v>
      </c>
      <c r="C132" s="82"/>
      <c r="D132" s="78"/>
      <c r="I132" s="79">
        <f t="shared" si="4"/>
        <v>0</v>
      </c>
      <c r="J132" s="78" t="s">
        <v>292</v>
      </c>
      <c r="K132" s="79">
        <f t="shared" si="5"/>
        <v>0</v>
      </c>
      <c r="L132" s="10"/>
      <c r="M132" s="78"/>
      <c r="N132" s="78"/>
    </row>
    <row r="133" spans="1:14" x14ac:dyDescent="0.4">
      <c r="A133" s="100" t="s">
        <v>666</v>
      </c>
      <c r="B133" s="100" t="s">
        <v>667</v>
      </c>
      <c r="C133" s="82"/>
      <c r="D133" s="78"/>
      <c r="I133" s="79">
        <f t="shared" si="4"/>
        <v>0</v>
      </c>
      <c r="J133" s="78" t="s">
        <v>292</v>
      </c>
      <c r="K133" s="79">
        <f t="shared" si="5"/>
        <v>0</v>
      </c>
      <c r="L133" s="10"/>
      <c r="M133" s="78"/>
      <c r="N133" s="78"/>
    </row>
    <row r="134" spans="1:14" x14ac:dyDescent="0.4">
      <c r="A134" s="68" t="s">
        <v>595</v>
      </c>
      <c r="B134" s="12" t="s">
        <v>247</v>
      </c>
      <c r="C134" s="82"/>
      <c r="D134" s="78"/>
      <c r="F134" s="78">
        <f>-F140</f>
        <v>0</v>
      </c>
      <c r="G134" s="78">
        <v>0</v>
      </c>
      <c r="I134" s="79">
        <f t="shared" si="4"/>
        <v>0</v>
      </c>
      <c r="J134" s="78" t="s">
        <v>292</v>
      </c>
      <c r="K134" s="79">
        <f t="shared" si="5"/>
        <v>0</v>
      </c>
      <c r="L134" s="10"/>
      <c r="M134" s="78"/>
      <c r="N134" s="78"/>
    </row>
    <row r="135" spans="1:14" x14ac:dyDescent="0.4">
      <c r="A135" s="117" t="s">
        <v>596</v>
      </c>
      <c r="B135" s="12" t="s">
        <v>248</v>
      </c>
      <c r="C135" s="82"/>
      <c r="D135" s="78"/>
      <c r="F135" s="78" t="s">
        <v>261</v>
      </c>
      <c r="G135" s="78">
        <f>-C135</f>
        <v>0</v>
      </c>
      <c r="I135" s="79">
        <f t="shared" si="4"/>
        <v>0</v>
      </c>
      <c r="J135" s="78" t="s">
        <v>292</v>
      </c>
      <c r="K135" s="79">
        <f t="shared" si="5"/>
        <v>0</v>
      </c>
      <c r="L135" s="10"/>
      <c r="M135" s="78"/>
      <c r="N135" s="78"/>
    </row>
    <row r="136" spans="1:14" x14ac:dyDescent="0.4">
      <c r="A136" s="117" t="s">
        <v>597</v>
      </c>
      <c r="B136" s="12" t="s">
        <v>249</v>
      </c>
      <c r="C136" s="82"/>
      <c r="D136" s="78"/>
      <c r="F136" s="78" t="s">
        <v>261</v>
      </c>
      <c r="G136" s="78">
        <f>-C136</f>
        <v>0</v>
      </c>
      <c r="I136" s="79">
        <f t="shared" si="4"/>
        <v>0</v>
      </c>
      <c r="J136" s="78" t="s">
        <v>292</v>
      </c>
      <c r="K136" s="79">
        <f t="shared" si="5"/>
        <v>0</v>
      </c>
      <c r="L136" s="10"/>
      <c r="M136" s="78"/>
      <c r="N136" s="78"/>
    </row>
    <row r="137" spans="1:14" x14ac:dyDescent="0.4">
      <c r="A137" s="69" t="s">
        <v>754</v>
      </c>
      <c r="B137" s="12" t="s">
        <v>782</v>
      </c>
      <c r="C137" s="82"/>
      <c r="D137" s="78"/>
      <c r="F137" s="78" t="s">
        <v>261</v>
      </c>
      <c r="G137" s="78">
        <f>-E137-D137</f>
        <v>0</v>
      </c>
      <c r="I137" s="79">
        <f t="shared" si="4"/>
        <v>0</v>
      </c>
      <c r="J137" s="78" t="s">
        <v>292</v>
      </c>
      <c r="K137" s="79">
        <f t="shared" si="5"/>
        <v>0</v>
      </c>
      <c r="L137" s="10"/>
      <c r="M137" s="78"/>
      <c r="N137" s="78"/>
    </row>
    <row r="138" spans="1:14" x14ac:dyDescent="0.4">
      <c r="A138" s="69"/>
      <c r="B138" s="12" t="s">
        <v>755</v>
      </c>
      <c r="C138" s="82"/>
      <c r="D138" s="78"/>
      <c r="F138" s="78" t="s">
        <v>261</v>
      </c>
      <c r="G138" s="78">
        <f>-E138-D138</f>
        <v>0</v>
      </c>
      <c r="I138" s="79">
        <f t="shared" si="4"/>
        <v>0</v>
      </c>
      <c r="J138" s="78" t="s">
        <v>292</v>
      </c>
      <c r="K138" s="79">
        <f t="shared" si="5"/>
        <v>0</v>
      </c>
      <c r="L138" s="10"/>
      <c r="M138" s="78"/>
      <c r="N138" s="78"/>
    </row>
    <row r="139" spans="1:14" x14ac:dyDescent="0.4">
      <c r="A139" s="69"/>
      <c r="B139" s="12" t="s">
        <v>756</v>
      </c>
      <c r="C139" s="82"/>
      <c r="D139" s="78"/>
      <c r="F139" s="78" t="s">
        <v>261</v>
      </c>
      <c r="G139" s="78">
        <f>-E139-D139</f>
        <v>0</v>
      </c>
      <c r="I139" s="79">
        <f t="shared" si="4"/>
        <v>0</v>
      </c>
      <c r="J139" s="78" t="s">
        <v>292</v>
      </c>
      <c r="K139" s="79">
        <f t="shared" si="5"/>
        <v>0</v>
      </c>
      <c r="L139" s="10"/>
      <c r="M139" s="78"/>
      <c r="N139" s="78"/>
    </row>
    <row r="140" spans="1:14" x14ac:dyDescent="0.4">
      <c r="A140" s="117" t="s">
        <v>761</v>
      </c>
      <c r="B140" s="12" t="s">
        <v>760</v>
      </c>
      <c r="C140" s="82"/>
      <c r="D140" s="78"/>
      <c r="F140" s="78">
        <f>-E140-D140-C140</f>
        <v>0</v>
      </c>
      <c r="I140" s="79">
        <f t="shared" ref="I140:I147" si="6">SUM(C140:H140)</f>
        <v>0</v>
      </c>
      <c r="J140" s="78" t="s">
        <v>292</v>
      </c>
      <c r="K140" s="79">
        <f t="shared" si="5"/>
        <v>0</v>
      </c>
      <c r="L140" s="10"/>
      <c r="M140" s="78"/>
      <c r="N140" s="78"/>
    </row>
    <row r="141" spans="1:14" x14ac:dyDescent="0.4">
      <c r="A141" s="117" t="s">
        <v>598</v>
      </c>
      <c r="B141" s="12" t="s">
        <v>250</v>
      </c>
      <c r="C141" s="82"/>
      <c r="D141" s="78"/>
      <c r="I141" s="79">
        <f t="shared" si="6"/>
        <v>0</v>
      </c>
      <c r="J141" s="78" t="s">
        <v>292</v>
      </c>
      <c r="K141" s="79">
        <f t="shared" si="5"/>
        <v>0</v>
      </c>
      <c r="L141" s="10"/>
      <c r="M141" s="78"/>
      <c r="N141" s="78"/>
    </row>
    <row r="142" spans="1:14" x14ac:dyDescent="0.4">
      <c r="A142" s="69"/>
      <c r="B142" s="12" t="s">
        <v>260</v>
      </c>
      <c r="C142" s="82"/>
      <c r="D142" s="78"/>
      <c r="I142" s="79">
        <f t="shared" si="6"/>
        <v>0</v>
      </c>
      <c r="J142" s="78" t="s">
        <v>292</v>
      </c>
      <c r="K142" s="79">
        <f t="shared" si="5"/>
        <v>0</v>
      </c>
      <c r="L142" s="10"/>
      <c r="M142" s="78"/>
      <c r="N142" s="78"/>
    </row>
    <row r="143" spans="1:14" x14ac:dyDescent="0.4">
      <c r="A143" s="117" t="s">
        <v>599</v>
      </c>
      <c r="B143" s="12" t="s">
        <v>251</v>
      </c>
      <c r="C143" s="82"/>
      <c r="D143" s="78"/>
      <c r="I143" s="79">
        <f t="shared" si="6"/>
        <v>0</v>
      </c>
      <c r="J143" s="78" t="s">
        <v>292</v>
      </c>
      <c r="K143" s="79">
        <f t="shared" si="5"/>
        <v>0</v>
      </c>
      <c r="L143" s="10"/>
      <c r="M143" s="78"/>
      <c r="N143" s="78"/>
    </row>
    <row r="144" spans="1:14" x14ac:dyDescent="0.4">
      <c r="A144" s="117" t="s">
        <v>600</v>
      </c>
      <c r="B144" s="12" t="s">
        <v>252</v>
      </c>
      <c r="C144" s="82"/>
      <c r="D144" s="78"/>
      <c r="I144" s="79">
        <f t="shared" si="6"/>
        <v>0</v>
      </c>
      <c r="J144" s="78" t="s">
        <v>292</v>
      </c>
      <c r="K144" s="79">
        <f t="shared" ref="K144:K147" si="7">I144*1</f>
        <v>0</v>
      </c>
      <c r="L144" s="10"/>
      <c r="M144" s="78"/>
      <c r="N144" s="78"/>
    </row>
    <row r="145" spans="1:14" x14ac:dyDescent="0.4">
      <c r="A145" s="117" t="s">
        <v>601</v>
      </c>
      <c r="B145" s="12" t="s">
        <v>253</v>
      </c>
      <c r="C145" s="82"/>
      <c r="D145" s="78"/>
      <c r="I145" s="79">
        <f t="shared" si="6"/>
        <v>0</v>
      </c>
      <c r="J145" s="78" t="s">
        <v>292</v>
      </c>
      <c r="K145" s="79">
        <f t="shared" si="7"/>
        <v>0</v>
      </c>
      <c r="L145" s="10"/>
      <c r="M145" s="76"/>
      <c r="N145" s="78"/>
    </row>
    <row r="146" spans="1:14" x14ac:dyDescent="0.4">
      <c r="A146" s="117" t="s">
        <v>602</v>
      </c>
      <c r="B146" s="12" t="s">
        <v>258</v>
      </c>
      <c r="C146" s="82"/>
      <c r="D146" s="78"/>
      <c r="I146" s="79">
        <f t="shared" si="6"/>
        <v>0</v>
      </c>
      <c r="J146" s="78" t="s">
        <v>862</v>
      </c>
      <c r="K146" s="79">
        <f t="shared" si="7"/>
        <v>0</v>
      </c>
      <c r="L146" s="10"/>
      <c r="M146" s="76"/>
      <c r="N146" s="78"/>
    </row>
    <row r="147" spans="1:14" x14ac:dyDescent="0.4">
      <c r="A147" s="117" t="s">
        <v>615</v>
      </c>
      <c r="B147" s="12" t="s">
        <v>616</v>
      </c>
      <c r="C147" s="72"/>
      <c r="D147" s="78"/>
      <c r="I147" s="79">
        <f t="shared" si="6"/>
        <v>0</v>
      </c>
      <c r="J147" s="78" t="s">
        <v>292</v>
      </c>
      <c r="K147" s="79">
        <f t="shared" si="7"/>
        <v>0</v>
      </c>
      <c r="L147" s="10"/>
      <c r="M147" s="76"/>
      <c r="N147" s="78"/>
    </row>
    <row r="148" spans="1:14" x14ac:dyDescent="0.4">
      <c r="C148" s="109">
        <f>SUM(C6:C147)</f>
        <v>0</v>
      </c>
      <c r="D148" s="109">
        <f t="shared" ref="D148:G148" si="8">SUM(D6:D147)</f>
        <v>0</v>
      </c>
      <c r="E148" s="110">
        <f t="shared" si="8"/>
        <v>0</v>
      </c>
      <c r="F148" s="109">
        <f t="shared" si="8"/>
        <v>0</v>
      </c>
      <c r="G148" s="109">
        <f t="shared" si="8"/>
        <v>0</v>
      </c>
      <c r="H148" s="109">
        <f>SUM(H6:H147)</f>
        <v>0</v>
      </c>
      <c r="I148" s="109">
        <f>SUM(I6:I147)</f>
        <v>0</v>
      </c>
      <c r="J148" s="111"/>
      <c r="K148" s="109">
        <f>SUM(K6:K147)</f>
        <v>0</v>
      </c>
      <c r="M148" s="76"/>
      <c r="N148" s="78"/>
    </row>
    <row r="149" spans="1:14" x14ac:dyDescent="0.4">
      <c r="C149" s="112"/>
      <c r="D149" s="113"/>
      <c r="M149" s="76"/>
      <c r="N149" s="78"/>
    </row>
    <row r="150" spans="1:14" x14ac:dyDescent="0.4">
      <c r="D150" s="113"/>
      <c r="K150" s="79">
        <f>K148-K74-K86-K61-K45</f>
        <v>0</v>
      </c>
      <c r="M150" s="76"/>
      <c r="N150" s="78"/>
    </row>
    <row r="151" spans="1:14" x14ac:dyDescent="0.4">
      <c r="C151" s="112"/>
      <c r="D151" s="113"/>
      <c r="M151" s="76"/>
      <c r="N151" s="78"/>
    </row>
    <row r="152" spans="1:14" x14ac:dyDescent="0.4">
      <c r="C152" s="112"/>
      <c r="D152" s="113" t="s">
        <v>261</v>
      </c>
      <c r="M152" s="76"/>
      <c r="N152" s="78"/>
    </row>
    <row r="153" spans="1:14" x14ac:dyDescent="0.4">
      <c r="C153" s="112"/>
      <c r="D153" s="113" t="s">
        <v>261</v>
      </c>
      <c r="M153" s="76"/>
      <c r="N153" s="76"/>
    </row>
    <row r="154" spans="1:14" x14ac:dyDescent="0.4">
      <c r="C154" s="112"/>
      <c r="D154" s="113"/>
    </row>
    <row r="155" spans="1:14" x14ac:dyDescent="0.4">
      <c r="C155" s="112"/>
      <c r="D155" s="113"/>
    </row>
    <row r="156" spans="1:14" x14ac:dyDescent="0.4">
      <c r="C156" s="112"/>
      <c r="D156" s="113"/>
    </row>
    <row r="157" spans="1:14" x14ac:dyDescent="0.4">
      <c r="C157" s="112"/>
      <c r="D157" s="113"/>
    </row>
    <row r="158" spans="1:14" x14ac:dyDescent="0.4">
      <c r="C158" s="112"/>
      <c r="D158" s="113"/>
      <c r="F158" s="10"/>
      <c r="G158" s="10"/>
      <c r="H158" s="10"/>
    </row>
  </sheetData>
  <mergeCells count="3">
    <mergeCell ref="A1:B1"/>
    <mergeCell ref="A2:B2"/>
    <mergeCell ref="A3:B3"/>
  </mergeCells>
  <pageMargins left="0.7" right="0.7" top="0.75" bottom="0.75" header="0.3" footer="0.3"/>
  <pageSetup orientation="portrait"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90"/>
  <sheetViews>
    <sheetView workbookViewId="0">
      <pane ySplit="5" topLeftCell="A6" activePane="bottomLeft" state="frozen"/>
      <selection pane="bottomLeft" activeCell="N16" sqref="N16"/>
    </sheetView>
  </sheetViews>
  <sheetFormatPr defaultColWidth="9.05859375" defaultRowHeight="12.7" outlineLevelCol="1" x14ac:dyDescent="0.4"/>
  <cols>
    <col min="1" max="1" width="11.05859375" style="76" customWidth="1"/>
    <col min="2" max="2" width="30" style="76" bestFit="1" customWidth="1"/>
    <col min="3" max="3" width="13.52734375" style="78" hidden="1" customWidth="1" outlineLevel="1"/>
    <col min="4" max="4" width="13.52734375" style="89" hidden="1" customWidth="1" outlineLevel="1"/>
    <col min="5" max="5" width="13.05859375" style="78" hidden="1" customWidth="1" outlineLevel="1"/>
    <col min="6" max="6" width="11" style="78" hidden="1" customWidth="1" outlineLevel="1"/>
    <col min="7" max="7" width="13.52734375" style="78" hidden="1" customWidth="1" outlineLevel="1"/>
    <col min="8" max="8" width="12.3515625" style="78" hidden="1" customWidth="1" outlineLevel="1"/>
    <col min="9" max="9" width="14.87890625" style="79" hidden="1" customWidth="1" outlineLevel="1"/>
    <col min="10" max="10" width="20.64453125" style="78" hidden="1" customWidth="1" outlineLevel="1"/>
    <col min="11" max="11" width="13.52734375" style="79" customWidth="1" collapsed="1"/>
    <col min="12" max="12" width="9.05859375" style="78" customWidth="1"/>
    <col min="13" max="13" width="17.8203125" style="76" customWidth="1"/>
    <col min="14" max="14" width="10.703125" style="76" customWidth="1"/>
    <col min="15" max="16384" width="9.05859375" style="76"/>
  </cols>
  <sheetData>
    <row r="1" spans="1:14" x14ac:dyDescent="0.4">
      <c r="A1" s="75" t="s">
        <v>0</v>
      </c>
    </row>
    <row r="2" spans="1:14" x14ac:dyDescent="0.4">
      <c r="A2" s="75" t="s">
        <v>482</v>
      </c>
    </row>
    <row r="3" spans="1:14" x14ac:dyDescent="0.4">
      <c r="A3" s="3">
        <v>43404</v>
      </c>
      <c r="F3" s="14" t="s">
        <v>261</v>
      </c>
      <c r="G3" s="14"/>
      <c r="H3" s="14"/>
      <c r="I3" s="19"/>
      <c r="J3" s="15"/>
    </row>
    <row r="4" spans="1:14" x14ac:dyDescent="0.4">
      <c r="B4" s="5" t="s">
        <v>261</v>
      </c>
    </row>
    <row r="5" spans="1:14" x14ac:dyDescent="0.4">
      <c r="A5" s="76" t="s">
        <v>484</v>
      </c>
      <c r="B5" s="68" t="s">
        <v>279</v>
      </c>
      <c r="C5" s="15" t="s">
        <v>0</v>
      </c>
      <c r="D5" s="118" t="s">
        <v>2</v>
      </c>
      <c r="E5" s="15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8" t="s">
        <v>280</v>
      </c>
      <c r="K5" s="19" t="s">
        <v>281</v>
      </c>
      <c r="M5" s="416" t="s">
        <v>282</v>
      </c>
      <c r="N5" s="416" t="s">
        <v>284</v>
      </c>
    </row>
    <row r="6" spans="1:14" ht="14.35" x14ac:dyDescent="0.5">
      <c r="A6" s="68" t="s">
        <v>305</v>
      </c>
      <c r="B6" s="68" t="s">
        <v>5</v>
      </c>
      <c r="C6" s="82"/>
      <c r="D6" s="81"/>
      <c r="E6" s="80"/>
      <c r="I6" s="79">
        <f>SUM(C6:H6)</f>
        <v>0</v>
      </c>
      <c r="J6" s="78" t="s">
        <v>264</v>
      </c>
      <c r="K6" s="79">
        <f>I6</f>
        <v>0</v>
      </c>
      <c r="M6" s="417" t="s">
        <v>264</v>
      </c>
      <c r="N6" s="418">
        <v>0</v>
      </c>
    </row>
    <row r="7" spans="1:14" ht="14.35" x14ac:dyDescent="0.5">
      <c r="A7" s="100" t="s">
        <v>876</v>
      </c>
      <c r="B7" s="100" t="s">
        <v>877</v>
      </c>
      <c r="C7" s="82"/>
      <c r="D7" s="81"/>
      <c r="E7" s="80"/>
      <c r="I7" s="79">
        <f>SUM(C7:H7)</f>
        <v>0</v>
      </c>
      <c r="J7" s="78" t="s">
        <v>264</v>
      </c>
      <c r="K7" s="79">
        <f>I7</f>
        <v>0</v>
      </c>
      <c r="M7" s="417" t="s">
        <v>265</v>
      </c>
      <c r="N7" s="418">
        <v>0</v>
      </c>
    </row>
    <row r="8" spans="1:14" ht="14.35" x14ac:dyDescent="0.5">
      <c r="A8" s="68" t="s">
        <v>306</v>
      </c>
      <c r="B8" s="68" t="s">
        <v>6</v>
      </c>
      <c r="C8" s="82"/>
      <c r="D8" s="81"/>
      <c r="E8" s="80"/>
      <c r="I8" s="79">
        <f t="shared" ref="I8:I73" si="0">SUM(C8:H8)</f>
        <v>0</v>
      </c>
      <c r="J8" s="78" t="s">
        <v>264</v>
      </c>
      <c r="K8" s="79">
        <f t="shared" ref="K8:K73" si="1">I8</f>
        <v>0</v>
      </c>
      <c r="M8" s="417" t="s">
        <v>268</v>
      </c>
      <c r="N8" s="418">
        <v>0</v>
      </c>
    </row>
    <row r="9" spans="1:14" ht="14.35" x14ac:dyDescent="0.5">
      <c r="A9" s="68" t="s">
        <v>668</v>
      </c>
      <c r="B9" s="68" t="s">
        <v>250</v>
      </c>
      <c r="C9" s="82"/>
      <c r="D9" s="81"/>
      <c r="E9" s="80"/>
      <c r="I9" s="79">
        <f t="shared" si="0"/>
        <v>0</v>
      </c>
      <c r="J9" s="78" t="s">
        <v>264</v>
      </c>
      <c r="K9" s="79">
        <f t="shared" si="1"/>
        <v>0</v>
      </c>
      <c r="M9" s="417" t="s">
        <v>271</v>
      </c>
      <c r="N9" s="418">
        <v>0</v>
      </c>
    </row>
    <row r="10" spans="1:14" ht="14.35" x14ac:dyDescent="0.5">
      <c r="A10" s="100" t="s">
        <v>786</v>
      </c>
      <c r="B10" s="100" t="s">
        <v>787</v>
      </c>
      <c r="C10" s="82"/>
      <c r="D10" s="81"/>
      <c r="E10" s="80"/>
      <c r="I10" s="79">
        <f t="shared" si="0"/>
        <v>0</v>
      </c>
      <c r="J10" s="78" t="s">
        <v>264</v>
      </c>
      <c r="K10" s="79">
        <f t="shared" si="1"/>
        <v>0</v>
      </c>
      <c r="M10" s="417" t="s">
        <v>266</v>
      </c>
      <c r="N10" s="418">
        <v>0</v>
      </c>
    </row>
    <row r="11" spans="1:14" ht="14.35" x14ac:dyDescent="0.5">
      <c r="A11" s="68" t="s">
        <v>307</v>
      </c>
      <c r="B11" s="68" t="s">
        <v>7</v>
      </c>
      <c r="C11" s="82"/>
      <c r="D11" s="81"/>
      <c r="E11" s="80"/>
      <c r="I11" s="79">
        <f t="shared" si="0"/>
        <v>0</v>
      </c>
      <c r="J11" s="78" t="s">
        <v>264</v>
      </c>
      <c r="K11" s="79">
        <f t="shared" si="1"/>
        <v>0</v>
      </c>
      <c r="M11" s="417" t="s">
        <v>270</v>
      </c>
      <c r="N11" s="418">
        <v>0</v>
      </c>
    </row>
    <row r="12" spans="1:14" ht="14.35" x14ac:dyDescent="0.5">
      <c r="A12" s="69"/>
      <c r="B12" s="68" t="s">
        <v>781</v>
      </c>
      <c r="C12" s="82"/>
      <c r="E12" s="80"/>
      <c r="I12" s="79">
        <f t="shared" si="0"/>
        <v>0</v>
      </c>
      <c r="J12" s="78" t="s">
        <v>264</v>
      </c>
      <c r="K12" s="79">
        <f t="shared" si="1"/>
        <v>0</v>
      </c>
      <c r="M12" s="417" t="s">
        <v>269</v>
      </c>
      <c r="N12" s="418">
        <v>0</v>
      </c>
    </row>
    <row r="13" spans="1:14" ht="14.35" x14ac:dyDescent="0.5">
      <c r="A13" s="68" t="s">
        <v>669</v>
      </c>
      <c r="B13" s="100" t="s">
        <v>670</v>
      </c>
      <c r="C13" s="82"/>
      <c r="D13" s="81"/>
      <c r="E13" s="80"/>
      <c r="I13" s="79">
        <f t="shared" si="0"/>
        <v>0</v>
      </c>
      <c r="J13" s="78" t="s">
        <v>264</v>
      </c>
      <c r="K13" s="79">
        <f t="shared" si="1"/>
        <v>0</v>
      </c>
      <c r="M13" s="417" t="s">
        <v>272</v>
      </c>
      <c r="N13" s="418">
        <v>0</v>
      </c>
    </row>
    <row r="14" spans="1:14" ht="14.35" x14ac:dyDescent="0.5">
      <c r="A14" s="68" t="s">
        <v>308</v>
      </c>
      <c r="B14" s="100" t="s">
        <v>671</v>
      </c>
      <c r="C14" s="82"/>
      <c r="D14" s="81"/>
      <c r="E14" s="80"/>
      <c r="I14" s="79">
        <f t="shared" si="0"/>
        <v>0</v>
      </c>
      <c r="J14" s="78" t="s">
        <v>264</v>
      </c>
      <c r="K14" s="79">
        <f t="shared" si="1"/>
        <v>0</v>
      </c>
      <c r="M14" s="417" t="s">
        <v>273</v>
      </c>
      <c r="N14" s="418">
        <v>0</v>
      </c>
    </row>
    <row r="15" spans="1:14" ht="14.35" x14ac:dyDescent="0.5">
      <c r="A15" s="68" t="s">
        <v>683</v>
      </c>
      <c r="B15" s="100" t="s">
        <v>682</v>
      </c>
      <c r="C15" s="82"/>
      <c r="D15" s="81"/>
      <c r="E15" s="80"/>
      <c r="I15" s="79">
        <f t="shared" si="0"/>
        <v>0</v>
      </c>
      <c r="J15" s="78" t="s">
        <v>264</v>
      </c>
      <c r="K15" s="79">
        <f t="shared" si="1"/>
        <v>0</v>
      </c>
      <c r="M15" s="417" t="s">
        <v>274</v>
      </c>
      <c r="N15" s="418">
        <v>0</v>
      </c>
    </row>
    <row r="16" spans="1:14" ht="14.35" x14ac:dyDescent="0.5">
      <c r="A16" s="68" t="s">
        <v>309</v>
      </c>
      <c r="B16" s="100" t="s">
        <v>672</v>
      </c>
      <c r="C16" s="82"/>
      <c r="D16" s="81"/>
      <c r="E16" s="80"/>
      <c r="I16" s="79">
        <f t="shared" si="0"/>
        <v>0</v>
      </c>
      <c r="J16" s="78" t="s">
        <v>264</v>
      </c>
      <c r="K16" s="79">
        <f t="shared" si="1"/>
        <v>0</v>
      </c>
      <c r="M16" s="417" t="s">
        <v>275</v>
      </c>
      <c r="N16" s="418">
        <v>0</v>
      </c>
    </row>
    <row r="17" spans="1:14" ht="14.35" x14ac:dyDescent="0.5">
      <c r="A17" s="68" t="s">
        <v>310</v>
      </c>
      <c r="B17" s="100" t="s">
        <v>673</v>
      </c>
      <c r="C17" s="82"/>
      <c r="E17" s="80"/>
      <c r="I17" s="79">
        <f t="shared" si="0"/>
        <v>0</v>
      </c>
      <c r="J17" s="78" t="s">
        <v>264</v>
      </c>
      <c r="K17" s="79">
        <f t="shared" si="1"/>
        <v>0</v>
      </c>
      <c r="M17" s="417" t="s">
        <v>276</v>
      </c>
      <c r="N17" s="418">
        <v>0</v>
      </c>
    </row>
    <row r="18" spans="1:14" ht="14.35" x14ac:dyDescent="0.5">
      <c r="A18" s="68" t="s">
        <v>684</v>
      </c>
      <c r="B18" s="100" t="s">
        <v>685</v>
      </c>
      <c r="C18" s="82"/>
      <c r="D18" s="81"/>
      <c r="E18" s="80"/>
      <c r="I18" s="79">
        <f t="shared" si="0"/>
        <v>0</v>
      </c>
      <c r="J18" s="78" t="s">
        <v>264</v>
      </c>
      <c r="K18" s="79">
        <f t="shared" si="1"/>
        <v>0</v>
      </c>
      <c r="M18" s="417" t="s">
        <v>277</v>
      </c>
      <c r="N18" s="418">
        <v>0</v>
      </c>
    </row>
    <row r="19" spans="1:14" ht="14.35" x14ac:dyDescent="0.5">
      <c r="A19" s="68" t="s">
        <v>311</v>
      </c>
      <c r="B19" s="68" t="s">
        <v>8</v>
      </c>
      <c r="C19" s="82"/>
      <c r="D19" s="81"/>
      <c r="E19" s="80"/>
      <c r="I19" s="79">
        <f t="shared" si="0"/>
        <v>0</v>
      </c>
      <c r="J19" s="78" t="s">
        <v>265</v>
      </c>
      <c r="K19" s="79">
        <f t="shared" si="1"/>
        <v>0</v>
      </c>
      <c r="M19" s="417" t="s">
        <v>278</v>
      </c>
      <c r="N19" s="418">
        <v>0</v>
      </c>
    </row>
    <row r="20" spans="1:14" ht="14.35" x14ac:dyDescent="0.5">
      <c r="A20" s="68" t="s">
        <v>312</v>
      </c>
      <c r="B20" s="68" t="s">
        <v>9</v>
      </c>
      <c r="C20" s="82"/>
      <c r="D20" s="81"/>
      <c r="E20" s="80"/>
      <c r="I20" s="79">
        <f t="shared" si="0"/>
        <v>0</v>
      </c>
      <c r="J20" s="78" t="s">
        <v>265</v>
      </c>
      <c r="K20" s="79">
        <f t="shared" si="1"/>
        <v>0</v>
      </c>
      <c r="M20" s="417" t="s">
        <v>267</v>
      </c>
      <c r="N20" s="418">
        <v>0</v>
      </c>
    </row>
    <row r="21" spans="1:14" ht="14.35" x14ac:dyDescent="0.5">
      <c r="A21" s="68" t="s">
        <v>313</v>
      </c>
      <c r="B21" s="68" t="s">
        <v>10</v>
      </c>
      <c r="C21" s="82"/>
      <c r="D21" s="81"/>
      <c r="E21" s="80"/>
      <c r="I21" s="79">
        <f t="shared" si="0"/>
        <v>0</v>
      </c>
      <c r="J21" s="78" t="s">
        <v>265</v>
      </c>
      <c r="K21" s="79">
        <f t="shared" si="1"/>
        <v>0</v>
      </c>
      <c r="M21" s="417" t="s">
        <v>861</v>
      </c>
      <c r="N21" s="418">
        <v>0</v>
      </c>
    </row>
    <row r="22" spans="1:14" ht="14.35" x14ac:dyDescent="0.5">
      <c r="A22" s="68" t="s">
        <v>314</v>
      </c>
      <c r="B22" s="68" t="s">
        <v>11</v>
      </c>
      <c r="C22" s="82"/>
      <c r="D22" s="81"/>
      <c r="E22" s="80"/>
      <c r="I22" s="79">
        <f t="shared" si="0"/>
        <v>0</v>
      </c>
      <c r="J22" s="78" t="s">
        <v>265</v>
      </c>
      <c r="K22" s="79">
        <f t="shared" si="1"/>
        <v>0</v>
      </c>
      <c r="M22" s="417" t="s">
        <v>650</v>
      </c>
      <c r="N22" s="418">
        <v>0</v>
      </c>
    </row>
    <row r="23" spans="1:14" ht="14.35" x14ac:dyDescent="0.5">
      <c r="A23" s="68" t="s">
        <v>315</v>
      </c>
      <c r="B23" s="68" t="s">
        <v>12</v>
      </c>
      <c r="C23" s="82"/>
      <c r="D23" s="81"/>
      <c r="E23" s="80"/>
      <c r="I23" s="79">
        <f t="shared" si="0"/>
        <v>0</v>
      </c>
      <c r="J23" s="78" t="s">
        <v>265</v>
      </c>
      <c r="K23" s="79">
        <f t="shared" si="1"/>
        <v>0</v>
      </c>
      <c r="M23" s="417" t="s">
        <v>858</v>
      </c>
      <c r="N23" s="418">
        <v>0</v>
      </c>
    </row>
    <row r="24" spans="1:14" ht="14.35" x14ac:dyDescent="0.5">
      <c r="A24" s="100" t="s">
        <v>696</v>
      </c>
      <c r="B24" s="100" t="s">
        <v>697</v>
      </c>
      <c r="C24" s="82"/>
      <c r="D24" s="81"/>
      <c r="E24" s="80"/>
      <c r="I24" s="79">
        <f t="shared" si="0"/>
        <v>0</v>
      </c>
      <c r="J24" s="78" t="s">
        <v>265</v>
      </c>
      <c r="K24" s="79">
        <f t="shared" si="1"/>
        <v>0</v>
      </c>
      <c r="M24" s="417" t="s">
        <v>859</v>
      </c>
      <c r="N24" s="418">
        <v>0</v>
      </c>
    </row>
    <row r="25" spans="1:14" ht="14.35" x14ac:dyDescent="0.5">
      <c r="A25" s="68" t="s">
        <v>316</v>
      </c>
      <c r="B25" s="68" t="s">
        <v>13</v>
      </c>
      <c r="C25" s="82"/>
      <c r="E25" s="80"/>
      <c r="I25" s="79">
        <f t="shared" si="0"/>
        <v>0</v>
      </c>
      <c r="J25" s="78" t="s">
        <v>265</v>
      </c>
      <c r="K25" s="79">
        <f t="shared" si="1"/>
        <v>0</v>
      </c>
      <c r="M25" s="417" t="s">
        <v>860</v>
      </c>
      <c r="N25" s="418">
        <v>0</v>
      </c>
    </row>
    <row r="26" spans="1:14" ht="14.35" x14ac:dyDescent="0.5">
      <c r="A26" s="68" t="s">
        <v>317</v>
      </c>
      <c r="B26" s="68" t="s">
        <v>14</v>
      </c>
      <c r="C26" s="82"/>
      <c r="D26" s="81"/>
      <c r="E26" s="80"/>
      <c r="I26" s="79">
        <f t="shared" si="0"/>
        <v>0</v>
      </c>
      <c r="J26" s="78" t="s">
        <v>265</v>
      </c>
      <c r="K26" s="79">
        <f t="shared" si="1"/>
        <v>0</v>
      </c>
      <c r="M26" s="417" t="s">
        <v>283</v>
      </c>
      <c r="N26" s="418">
        <v>0</v>
      </c>
    </row>
    <row r="27" spans="1:14" ht="14.35" x14ac:dyDescent="0.5">
      <c r="A27" s="68" t="s">
        <v>318</v>
      </c>
      <c r="B27" s="68" t="s">
        <v>15</v>
      </c>
      <c r="C27" s="82"/>
      <c r="D27" s="81"/>
      <c r="E27" s="80"/>
      <c r="I27" s="79">
        <f t="shared" si="0"/>
        <v>0</v>
      </c>
      <c r="J27" s="78" t="s">
        <v>271</v>
      </c>
      <c r="K27" s="79">
        <f t="shared" si="1"/>
        <v>0</v>
      </c>
      <c r="M27" s="98"/>
      <c r="N27" s="98"/>
    </row>
    <row r="28" spans="1:14" ht="14.35" x14ac:dyDescent="0.5">
      <c r="A28" s="68" t="s">
        <v>617</v>
      </c>
      <c r="B28" s="68" t="s">
        <v>618</v>
      </c>
      <c r="C28" s="82"/>
      <c r="D28" s="81"/>
      <c r="E28" s="80"/>
      <c r="I28" s="79">
        <f t="shared" si="0"/>
        <v>0</v>
      </c>
      <c r="J28" s="78" t="s">
        <v>858</v>
      </c>
      <c r="K28" s="79">
        <f t="shared" si="1"/>
        <v>0</v>
      </c>
      <c r="M28" s="98"/>
      <c r="N28" s="98"/>
    </row>
    <row r="29" spans="1:14" ht="14.35" x14ac:dyDescent="0.5">
      <c r="A29" s="69"/>
      <c r="B29" s="68" t="s">
        <v>614</v>
      </c>
      <c r="C29" s="82"/>
      <c r="E29" s="80"/>
      <c r="I29" s="79">
        <f t="shared" si="0"/>
        <v>0</v>
      </c>
      <c r="J29" s="78" t="s">
        <v>650</v>
      </c>
      <c r="K29" s="79">
        <f t="shared" si="1"/>
        <v>0</v>
      </c>
    </row>
    <row r="30" spans="1:14" ht="14.35" x14ac:dyDescent="0.5">
      <c r="A30" s="68" t="s">
        <v>319</v>
      </c>
      <c r="B30" s="68" t="s">
        <v>16</v>
      </c>
      <c r="C30" s="82"/>
      <c r="D30" s="81"/>
      <c r="E30" s="80"/>
      <c r="I30" s="79">
        <f t="shared" si="0"/>
        <v>0</v>
      </c>
      <c r="J30" s="78" t="s">
        <v>271</v>
      </c>
      <c r="K30" s="79">
        <f t="shared" si="1"/>
        <v>0</v>
      </c>
    </row>
    <row r="31" spans="1:14" ht="14.35" x14ac:dyDescent="0.5">
      <c r="A31" s="26" t="s">
        <v>652</v>
      </c>
      <c r="B31" s="26" t="s">
        <v>653</v>
      </c>
      <c r="C31" s="82"/>
      <c r="D31" s="81"/>
      <c r="E31" s="80"/>
      <c r="I31" s="79">
        <f t="shared" si="0"/>
        <v>0</v>
      </c>
      <c r="J31" s="78" t="s">
        <v>271</v>
      </c>
      <c r="K31" s="79">
        <f t="shared" si="1"/>
        <v>0</v>
      </c>
    </row>
    <row r="32" spans="1:14" ht="14.35" x14ac:dyDescent="0.5">
      <c r="A32" s="68" t="s">
        <v>320</v>
      </c>
      <c r="B32" s="68" t="s">
        <v>17</v>
      </c>
      <c r="C32" s="82"/>
      <c r="D32" s="81"/>
      <c r="E32" s="80"/>
      <c r="I32" s="79">
        <f t="shared" si="0"/>
        <v>0</v>
      </c>
      <c r="J32" s="78" t="s">
        <v>650</v>
      </c>
      <c r="K32" s="79">
        <f t="shared" si="1"/>
        <v>0</v>
      </c>
    </row>
    <row r="33" spans="1:13" ht="14.35" x14ac:dyDescent="0.5">
      <c r="A33" s="68" t="s">
        <v>321</v>
      </c>
      <c r="B33" s="68" t="s">
        <v>18</v>
      </c>
      <c r="C33" s="82"/>
      <c r="D33" s="81"/>
      <c r="E33" s="80"/>
      <c r="I33" s="79">
        <f t="shared" si="0"/>
        <v>0</v>
      </c>
      <c r="J33" s="78" t="s">
        <v>650</v>
      </c>
      <c r="K33" s="79">
        <f t="shared" si="1"/>
        <v>0</v>
      </c>
    </row>
    <row r="34" spans="1:13" ht="14.35" x14ac:dyDescent="0.5">
      <c r="A34" s="68" t="s">
        <v>322</v>
      </c>
      <c r="B34" s="68" t="s">
        <v>19</v>
      </c>
      <c r="C34" s="82"/>
      <c r="D34" s="81"/>
      <c r="E34" s="80"/>
      <c r="I34" s="79">
        <f t="shared" si="0"/>
        <v>0</v>
      </c>
      <c r="J34" s="78" t="s">
        <v>268</v>
      </c>
      <c r="K34" s="79">
        <f t="shared" si="1"/>
        <v>0</v>
      </c>
      <c r="M34" s="77"/>
    </row>
    <row r="35" spans="1:13" ht="14.35" x14ac:dyDescent="0.5">
      <c r="A35" s="68" t="s">
        <v>323</v>
      </c>
      <c r="B35" s="68" t="s">
        <v>20</v>
      </c>
      <c r="C35" s="82"/>
      <c r="D35" s="81"/>
      <c r="E35" s="80"/>
      <c r="I35" s="79">
        <f t="shared" si="0"/>
        <v>0</v>
      </c>
      <c r="J35" s="78" t="s">
        <v>268</v>
      </c>
      <c r="K35" s="79">
        <f t="shared" si="1"/>
        <v>0</v>
      </c>
    </row>
    <row r="36" spans="1:13" ht="14.35" x14ac:dyDescent="0.5">
      <c r="A36" s="88" t="s">
        <v>812</v>
      </c>
      <c r="B36" s="100" t="s">
        <v>813</v>
      </c>
      <c r="C36" s="82"/>
      <c r="D36" s="81"/>
      <c r="E36" s="80"/>
      <c r="I36" s="79">
        <f t="shared" si="0"/>
        <v>0</v>
      </c>
      <c r="J36" s="78" t="s">
        <v>268</v>
      </c>
      <c r="K36" s="79">
        <f t="shared" si="1"/>
        <v>0</v>
      </c>
    </row>
    <row r="37" spans="1:13" ht="14.35" x14ac:dyDescent="0.5">
      <c r="A37" s="68" t="s">
        <v>324</v>
      </c>
      <c r="B37" s="68" t="s">
        <v>21</v>
      </c>
      <c r="C37" s="82"/>
      <c r="D37" s="81"/>
      <c r="E37" s="80"/>
      <c r="I37" s="79">
        <f t="shared" si="0"/>
        <v>0</v>
      </c>
      <c r="J37" s="78" t="s">
        <v>266</v>
      </c>
      <c r="K37" s="79">
        <f t="shared" si="1"/>
        <v>0</v>
      </c>
    </row>
    <row r="38" spans="1:13" ht="14.35" x14ac:dyDescent="0.5">
      <c r="A38" s="100" t="s">
        <v>801</v>
      </c>
      <c r="B38" s="100" t="s">
        <v>802</v>
      </c>
      <c r="C38" s="82"/>
      <c r="D38" s="81"/>
      <c r="E38" s="80"/>
      <c r="I38" s="79">
        <f t="shared" si="0"/>
        <v>0</v>
      </c>
      <c r="J38" s="78" t="s">
        <v>650</v>
      </c>
      <c r="K38" s="79">
        <f t="shared" si="1"/>
        <v>0</v>
      </c>
    </row>
    <row r="39" spans="1:13" ht="14.35" x14ac:dyDescent="0.5">
      <c r="A39" s="68" t="s">
        <v>609</v>
      </c>
      <c r="B39" s="68" t="s">
        <v>608</v>
      </c>
      <c r="C39" s="82"/>
      <c r="D39" s="81"/>
      <c r="E39" s="80"/>
      <c r="I39" s="79">
        <f t="shared" si="0"/>
        <v>0</v>
      </c>
      <c r="J39" s="78" t="s">
        <v>266</v>
      </c>
      <c r="K39" s="79">
        <f t="shared" si="1"/>
        <v>0</v>
      </c>
    </row>
    <row r="40" spans="1:13" ht="14.35" x14ac:dyDescent="0.5">
      <c r="A40" s="69"/>
      <c r="B40" s="68" t="s">
        <v>604</v>
      </c>
      <c r="C40" s="85"/>
      <c r="D40" s="101"/>
      <c r="E40" s="104"/>
      <c r="F40" s="79"/>
      <c r="G40" s="79"/>
      <c r="H40" s="79">
        <f>-D40</f>
        <v>0</v>
      </c>
      <c r="I40" s="79">
        <f t="shared" si="0"/>
        <v>0</v>
      </c>
      <c r="J40" s="79" t="s">
        <v>266</v>
      </c>
      <c r="K40" s="79">
        <f t="shared" si="1"/>
        <v>0</v>
      </c>
    </row>
    <row r="41" spans="1:13" ht="14.35" x14ac:dyDescent="0.5">
      <c r="A41" s="68" t="s">
        <v>325</v>
      </c>
      <c r="B41" s="68" t="s">
        <v>23</v>
      </c>
      <c r="C41" s="82"/>
      <c r="E41" s="80"/>
      <c r="I41" s="79">
        <f t="shared" si="0"/>
        <v>0</v>
      </c>
      <c r="J41" s="78" t="s">
        <v>266</v>
      </c>
      <c r="K41" s="79">
        <f t="shared" si="1"/>
        <v>0</v>
      </c>
    </row>
    <row r="42" spans="1:13" ht="14.35" x14ac:dyDescent="0.5">
      <c r="A42" s="68" t="s">
        <v>326</v>
      </c>
      <c r="B42" s="68" t="s">
        <v>24</v>
      </c>
      <c r="C42" s="82"/>
      <c r="D42" s="81"/>
      <c r="E42" s="80"/>
      <c r="H42" s="78">
        <f>-H40</f>
        <v>0</v>
      </c>
      <c r="I42" s="79">
        <f t="shared" si="0"/>
        <v>0</v>
      </c>
      <c r="J42" s="78" t="s">
        <v>266</v>
      </c>
      <c r="K42" s="79">
        <f t="shared" si="1"/>
        <v>0</v>
      </c>
    </row>
    <row r="43" spans="1:13" ht="14.35" x14ac:dyDescent="0.5">
      <c r="A43" s="68" t="s">
        <v>327</v>
      </c>
      <c r="B43" s="68" t="s">
        <v>25</v>
      </c>
      <c r="C43" s="82"/>
      <c r="D43" s="81"/>
      <c r="E43" s="80"/>
      <c r="I43" s="79">
        <f t="shared" si="0"/>
        <v>0</v>
      </c>
      <c r="J43" s="78" t="s">
        <v>266</v>
      </c>
      <c r="K43" s="79">
        <f t="shared" si="1"/>
        <v>0</v>
      </c>
    </row>
    <row r="44" spans="1:13" ht="14.35" x14ac:dyDescent="0.5">
      <c r="A44" s="68" t="s">
        <v>328</v>
      </c>
      <c r="B44" s="68" t="s">
        <v>26</v>
      </c>
      <c r="C44" s="82"/>
      <c r="E44" s="80"/>
      <c r="I44" s="79">
        <f t="shared" si="0"/>
        <v>0</v>
      </c>
      <c r="J44" s="78" t="s">
        <v>266</v>
      </c>
      <c r="K44" s="79">
        <f t="shared" si="1"/>
        <v>0</v>
      </c>
    </row>
    <row r="45" spans="1:13" ht="14.35" x14ac:dyDescent="0.5">
      <c r="A45" s="68" t="s">
        <v>329</v>
      </c>
      <c r="B45" s="68" t="s">
        <v>27</v>
      </c>
      <c r="C45" s="82"/>
      <c r="E45" s="80"/>
      <c r="I45" s="79">
        <f t="shared" si="0"/>
        <v>0</v>
      </c>
      <c r="J45" s="78" t="s">
        <v>266</v>
      </c>
      <c r="K45" s="79">
        <f t="shared" si="1"/>
        <v>0</v>
      </c>
    </row>
    <row r="46" spans="1:13" ht="14.35" x14ac:dyDescent="0.5">
      <c r="A46" s="68" t="s">
        <v>330</v>
      </c>
      <c r="B46" s="68" t="s">
        <v>28</v>
      </c>
      <c r="C46" s="82"/>
      <c r="E46" s="80"/>
      <c r="I46" s="79">
        <f t="shared" si="0"/>
        <v>0</v>
      </c>
      <c r="J46" s="78" t="s">
        <v>266</v>
      </c>
      <c r="K46" s="79">
        <f t="shared" si="1"/>
        <v>0</v>
      </c>
    </row>
    <row r="47" spans="1:13" ht="14.35" x14ac:dyDescent="0.5">
      <c r="A47" s="68" t="s">
        <v>331</v>
      </c>
      <c r="B47" s="68" t="s">
        <v>29</v>
      </c>
      <c r="C47" s="82"/>
      <c r="E47" s="80"/>
      <c r="I47" s="79">
        <f t="shared" si="0"/>
        <v>0</v>
      </c>
      <c r="J47" s="78" t="s">
        <v>266</v>
      </c>
      <c r="K47" s="79">
        <f t="shared" si="1"/>
        <v>0</v>
      </c>
    </row>
    <row r="48" spans="1:13" ht="14.35" x14ac:dyDescent="0.5">
      <c r="A48" s="68" t="s">
        <v>332</v>
      </c>
      <c r="B48" s="68" t="s">
        <v>30</v>
      </c>
      <c r="C48" s="82"/>
      <c r="D48" s="81"/>
      <c r="E48" s="80"/>
      <c r="I48" s="79">
        <f t="shared" si="0"/>
        <v>0</v>
      </c>
      <c r="J48" s="78" t="s">
        <v>266</v>
      </c>
      <c r="K48" s="79">
        <f t="shared" si="1"/>
        <v>0</v>
      </c>
    </row>
    <row r="49" spans="1:11" ht="14.35" x14ac:dyDescent="0.5">
      <c r="A49" s="68" t="s">
        <v>333</v>
      </c>
      <c r="B49" s="68" t="s">
        <v>31</v>
      </c>
      <c r="C49" s="82"/>
      <c r="D49" s="81"/>
      <c r="E49" s="80"/>
      <c r="I49" s="79">
        <f t="shared" si="0"/>
        <v>0</v>
      </c>
      <c r="J49" s="78" t="s">
        <v>266</v>
      </c>
      <c r="K49" s="79">
        <f t="shared" si="1"/>
        <v>0</v>
      </c>
    </row>
    <row r="50" spans="1:11" ht="14.35" x14ac:dyDescent="0.5">
      <c r="A50" s="68" t="s">
        <v>334</v>
      </c>
      <c r="B50" s="68" t="s">
        <v>32</v>
      </c>
      <c r="C50" s="82"/>
      <c r="D50" s="81"/>
      <c r="E50" s="80"/>
      <c r="I50" s="79">
        <f t="shared" si="0"/>
        <v>0</v>
      </c>
      <c r="J50" s="78" t="s">
        <v>266</v>
      </c>
      <c r="K50" s="79">
        <f t="shared" si="1"/>
        <v>0</v>
      </c>
    </row>
    <row r="51" spans="1:11" ht="14.35" x14ac:dyDescent="0.5">
      <c r="A51" s="68" t="s">
        <v>335</v>
      </c>
      <c r="B51" s="68" t="s">
        <v>33</v>
      </c>
      <c r="C51" s="82"/>
      <c r="E51" s="80"/>
      <c r="I51" s="79">
        <f t="shared" si="0"/>
        <v>0</v>
      </c>
      <c r="J51" s="78" t="s">
        <v>266</v>
      </c>
      <c r="K51" s="79">
        <f t="shared" si="1"/>
        <v>0</v>
      </c>
    </row>
    <row r="52" spans="1:11" ht="14.35" x14ac:dyDescent="0.5">
      <c r="A52" s="68" t="s">
        <v>336</v>
      </c>
      <c r="B52" s="68" t="s">
        <v>34</v>
      </c>
      <c r="C52" s="82"/>
      <c r="E52" s="80"/>
      <c r="I52" s="79">
        <f t="shared" si="0"/>
        <v>0</v>
      </c>
      <c r="J52" s="78" t="s">
        <v>269</v>
      </c>
      <c r="K52" s="79">
        <f t="shared" si="1"/>
        <v>0</v>
      </c>
    </row>
    <row r="53" spans="1:11" ht="14.35" x14ac:dyDescent="0.5">
      <c r="A53" s="68" t="s">
        <v>337</v>
      </c>
      <c r="B53" s="68" t="s">
        <v>35</v>
      </c>
      <c r="C53" s="82"/>
      <c r="D53" s="81"/>
      <c r="E53" s="80"/>
      <c r="I53" s="79">
        <f t="shared" si="0"/>
        <v>0</v>
      </c>
      <c r="J53" s="78" t="s">
        <v>266</v>
      </c>
      <c r="K53" s="79">
        <f t="shared" si="1"/>
        <v>0</v>
      </c>
    </row>
    <row r="54" spans="1:11" ht="14.35" x14ac:dyDescent="0.5">
      <c r="A54" s="69" t="s">
        <v>768</v>
      </c>
      <c r="B54" s="68" t="s">
        <v>36</v>
      </c>
      <c r="C54" s="82"/>
      <c r="D54" s="81"/>
      <c r="I54" s="79">
        <f t="shared" si="0"/>
        <v>0</v>
      </c>
      <c r="J54" s="78" t="s">
        <v>266</v>
      </c>
      <c r="K54" s="79">
        <f t="shared" si="1"/>
        <v>0</v>
      </c>
    </row>
    <row r="55" spans="1:11" ht="14.35" x14ac:dyDescent="0.5">
      <c r="A55" s="68" t="s">
        <v>354</v>
      </c>
      <c r="B55" s="68" t="s">
        <v>55</v>
      </c>
      <c r="C55" s="82"/>
      <c r="E55" s="80"/>
      <c r="I55" s="79">
        <f t="shared" si="0"/>
        <v>0</v>
      </c>
      <c r="J55" s="78" t="s">
        <v>266</v>
      </c>
      <c r="K55" s="79">
        <f t="shared" si="1"/>
        <v>0</v>
      </c>
    </row>
    <row r="56" spans="1:11" ht="14.35" x14ac:dyDescent="0.5">
      <c r="A56" s="68" t="s">
        <v>338</v>
      </c>
      <c r="B56" s="68" t="s">
        <v>37</v>
      </c>
      <c r="C56" s="82"/>
      <c r="D56" s="81"/>
      <c r="E56" s="80"/>
      <c r="I56" s="79">
        <f t="shared" si="0"/>
        <v>0</v>
      </c>
      <c r="J56" s="78" t="s">
        <v>266</v>
      </c>
      <c r="K56" s="79">
        <f t="shared" si="1"/>
        <v>0</v>
      </c>
    </row>
    <row r="57" spans="1:11" ht="14.35" x14ac:dyDescent="0.5">
      <c r="A57" s="68" t="s">
        <v>339</v>
      </c>
      <c r="B57" s="68" t="s">
        <v>38</v>
      </c>
      <c r="C57" s="82"/>
      <c r="E57" s="80"/>
      <c r="I57" s="79">
        <f t="shared" si="0"/>
        <v>0</v>
      </c>
      <c r="J57" s="78" t="s">
        <v>266</v>
      </c>
      <c r="K57" s="79">
        <f t="shared" si="1"/>
        <v>0</v>
      </c>
    </row>
    <row r="58" spans="1:11" ht="14.35" x14ac:dyDescent="0.5">
      <c r="A58" s="68" t="s">
        <v>340</v>
      </c>
      <c r="B58" s="68" t="s">
        <v>39</v>
      </c>
      <c r="C58" s="82"/>
      <c r="D58" s="81"/>
      <c r="E58" s="80"/>
      <c r="I58" s="79">
        <f t="shared" si="0"/>
        <v>0</v>
      </c>
      <c r="J58" s="78" t="s">
        <v>266</v>
      </c>
      <c r="K58" s="79">
        <f t="shared" si="1"/>
        <v>0</v>
      </c>
    </row>
    <row r="59" spans="1:11" ht="14.35" x14ac:dyDescent="0.5">
      <c r="A59" s="68" t="s">
        <v>341</v>
      </c>
      <c r="B59" s="68" t="s">
        <v>40</v>
      </c>
      <c r="C59" s="82"/>
      <c r="D59" s="81"/>
      <c r="E59" s="80"/>
      <c r="I59" s="79">
        <f t="shared" si="0"/>
        <v>0</v>
      </c>
      <c r="J59" s="78" t="s">
        <v>266</v>
      </c>
      <c r="K59" s="79">
        <f t="shared" si="1"/>
        <v>0</v>
      </c>
    </row>
    <row r="60" spans="1:11" ht="14.35" x14ac:dyDescent="0.5">
      <c r="A60" s="69"/>
      <c r="B60" s="68" t="s">
        <v>41</v>
      </c>
      <c r="C60" s="82"/>
      <c r="D60" s="81"/>
      <c r="I60" s="79">
        <f t="shared" si="0"/>
        <v>0</v>
      </c>
      <c r="J60" s="78" t="s">
        <v>266</v>
      </c>
      <c r="K60" s="79">
        <f t="shared" si="1"/>
        <v>0</v>
      </c>
    </row>
    <row r="61" spans="1:11" ht="14.35" x14ac:dyDescent="0.5">
      <c r="A61" s="68" t="s">
        <v>342</v>
      </c>
      <c r="B61" s="68" t="s">
        <v>42</v>
      </c>
      <c r="C61" s="82"/>
      <c r="D61" s="81"/>
      <c r="E61" s="80"/>
      <c r="I61" s="79">
        <f t="shared" si="0"/>
        <v>0</v>
      </c>
      <c r="J61" s="78" t="s">
        <v>266</v>
      </c>
      <c r="K61" s="79">
        <f t="shared" si="1"/>
        <v>0</v>
      </c>
    </row>
    <row r="62" spans="1:11" ht="14.35" x14ac:dyDescent="0.5">
      <c r="A62" s="68" t="s">
        <v>343</v>
      </c>
      <c r="B62" s="68" t="s">
        <v>43</v>
      </c>
      <c r="C62" s="82"/>
      <c r="D62" s="81"/>
      <c r="E62" s="80"/>
      <c r="I62" s="79">
        <f t="shared" si="0"/>
        <v>0</v>
      </c>
      <c r="J62" s="78" t="s">
        <v>266</v>
      </c>
      <c r="K62" s="79">
        <f t="shared" si="1"/>
        <v>0</v>
      </c>
    </row>
    <row r="63" spans="1:11" ht="14.35" x14ac:dyDescent="0.5">
      <c r="A63" s="68" t="s">
        <v>344</v>
      </c>
      <c r="B63" s="68" t="s">
        <v>44</v>
      </c>
      <c r="C63" s="82"/>
      <c r="E63" s="80"/>
      <c r="I63" s="79">
        <f t="shared" si="0"/>
        <v>0</v>
      </c>
      <c r="J63" s="78" t="s">
        <v>266</v>
      </c>
      <c r="K63" s="79">
        <f t="shared" si="1"/>
        <v>0</v>
      </c>
    </row>
    <row r="64" spans="1:11" ht="14.35" x14ac:dyDescent="0.5">
      <c r="A64" s="68" t="s">
        <v>345</v>
      </c>
      <c r="B64" s="68" t="s">
        <v>45</v>
      </c>
      <c r="C64" s="82"/>
      <c r="E64" s="80"/>
      <c r="I64" s="79">
        <f t="shared" si="0"/>
        <v>0</v>
      </c>
      <c r="J64" s="78" t="s">
        <v>266</v>
      </c>
      <c r="K64" s="79">
        <f t="shared" si="1"/>
        <v>0</v>
      </c>
    </row>
    <row r="65" spans="1:11" ht="14.35" x14ac:dyDescent="0.5">
      <c r="A65" s="68" t="s">
        <v>346</v>
      </c>
      <c r="B65" s="68" t="s">
        <v>46</v>
      </c>
      <c r="C65" s="82"/>
      <c r="E65" s="80"/>
      <c r="I65" s="79">
        <f t="shared" si="0"/>
        <v>0</v>
      </c>
      <c r="J65" s="78" t="s">
        <v>266</v>
      </c>
      <c r="K65" s="79">
        <f t="shared" si="1"/>
        <v>0</v>
      </c>
    </row>
    <row r="66" spans="1:11" ht="14.35" x14ac:dyDescent="0.5">
      <c r="A66" s="68" t="s">
        <v>347</v>
      </c>
      <c r="B66" s="68" t="s">
        <v>47</v>
      </c>
      <c r="C66" s="82"/>
      <c r="E66" s="80"/>
      <c r="I66" s="79">
        <f t="shared" si="0"/>
        <v>0</v>
      </c>
      <c r="J66" s="78" t="s">
        <v>266</v>
      </c>
      <c r="K66" s="79">
        <f t="shared" si="1"/>
        <v>0</v>
      </c>
    </row>
    <row r="67" spans="1:11" ht="14.35" x14ac:dyDescent="0.5">
      <c r="A67" s="68" t="s">
        <v>348</v>
      </c>
      <c r="B67" s="68" t="s">
        <v>48</v>
      </c>
      <c r="C67" s="82"/>
      <c r="D67" s="81"/>
      <c r="E67" s="80"/>
      <c r="I67" s="79">
        <f t="shared" si="0"/>
        <v>0</v>
      </c>
      <c r="J67" s="78" t="s">
        <v>266</v>
      </c>
      <c r="K67" s="79">
        <f t="shared" si="1"/>
        <v>0</v>
      </c>
    </row>
    <row r="68" spans="1:11" ht="14.35" x14ac:dyDescent="0.5">
      <c r="A68" s="68" t="s">
        <v>349</v>
      </c>
      <c r="B68" s="68" t="s">
        <v>49</v>
      </c>
      <c r="C68" s="82"/>
      <c r="D68" s="101"/>
      <c r="E68" s="80"/>
      <c r="I68" s="79">
        <f t="shared" si="0"/>
        <v>0</v>
      </c>
      <c r="J68" s="78" t="s">
        <v>266</v>
      </c>
      <c r="K68" s="79">
        <f t="shared" si="1"/>
        <v>0</v>
      </c>
    </row>
    <row r="69" spans="1:11" ht="14.35" x14ac:dyDescent="0.5">
      <c r="A69" s="68" t="s">
        <v>350</v>
      </c>
      <c r="B69" s="68" t="s">
        <v>50</v>
      </c>
      <c r="C69" s="82"/>
      <c r="E69" s="80"/>
      <c r="I69" s="79">
        <f t="shared" si="0"/>
        <v>0</v>
      </c>
      <c r="J69" s="78" t="s">
        <v>269</v>
      </c>
      <c r="K69" s="79">
        <f t="shared" si="1"/>
        <v>0</v>
      </c>
    </row>
    <row r="70" spans="1:11" ht="14.35" x14ac:dyDescent="0.5">
      <c r="A70" s="68" t="s">
        <v>612</v>
      </c>
      <c r="B70" s="68" t="s">
        <v>613</v>
      </c>
      <c r="C70" s="82"/>
      <c r="D70" s="101"/>
      <c r="E70" s="80"/>
      <c r="I70" s="79">
        <f t="shared" si="0"/>
        <v>0</v>
      </c>
      <c r="J70" s="78" t="s">
        <v>266</v>
      </c>
      <c r="K70" s="79">
        <f t="shared" si="1"/>
        <v>0</v>
      </c>
    </row>
    <row r="71" spans="1:11" ht="14.35" x14ac:dyDescent="0.5">
      <c r="A71" s="68" t="s">
        <v>351</v>
      </c>
      <c r="B71" s="68" t="s">
        <v>51</v>
      </c>
      <c r="C71" s="82"/>
      <c r="D71" s="81"/>
      <c r="E71" s="80"/>
      <c r="I71" s="79">
        <f t="shared" si="0"/>
        <v>0</v>
      </c>
      <c r="J71" s="78" t="s">
        <v>266</v>
      </c>
      <c r="K71" s="79">
        <f t="shared" si="1"/>
        <v>0</v>
      </c>
    </row>
    <row r="72" spans="1:11" ht="14.35" x14ac:dyDescent="0.5">
      <c r="A72" s="68" t="s">
        <v>352</v>
      </c>
      <c r="B72" s="68" t="s">
        <v>53</v>
      </c>
      <c r="C72" s="82"/>
      <c r="D72" s="81"/>
      <c r="E72" s="80"/>
      <c r="G72" s="78">
        <f>-C72</f>
        <v>0</v>
      </c>
      <c r="I72" s="79">
        <f t="shared" si="0"/>
        <v>0</v>
      </c>
      <c r="J72" s="78" t="s">
        <v>267</v>
      </c>
      <c r="K72" s="79">
        <f t="shared" si="1"/>
        <v>0</v>
      </c>
    </row>
    <row r="73" spans="1:11" ht="14.35" x14ac:dyDescent="0.5">
      <c r="A73" s="68" t="s">
        <v>353</v>
      </c>
      <c r="B73" s="68" t="s">
        <v>54</v>
      </c>
      <c r="C73" s="82"/>
      <c r="D73" s="81"/>
      <c r="E73" s="80"/>
      <c r="G73" s="78">
        <f>-C73</f>
        <v>0</v>
      </c>
      <c r="I73" s="79">
        <f t="shared" si="0"/>
        <v>0</v>
      </c>
      <c r="J73" s="78" t="s">
        <v>267</v>
      </c>
      <c r="K73" s="79">
        <f t="shared" si="1"/>
        <v>0</v>
      </c>
    </row>
    <row r="74" spans="1:11" ht="14.35" x14ac:dyDescent="0.5">
      <c r="A74" s="68" t="s">
        <v>355</v>
      </c>
      <c r="B74" s="68" t="s">
        <v>56</v>
      </c>
      <c r="C74" s="82"/>
      <c r="D74" s="81"/>
      <c r="E74" s="80"/>
      <c r="I74" s="79">
        <f t="shared" ref="I74:I118" si="2">SUM(C74:H74)</f>
        <v>0</v>
      </c>
      <c r="J74" s="78" t="s">
        <v>271</v>
      </c>
      <c r="K74" s="79">
        <f t="shared" ref="K74:K137" si="3">I74</f>
        <v>0</v>
      </c>
    </row>
    <row r="75" spans="1:11" ht="14.35" x14ac:dyDescent="0.5">
      <c r="A75" s="68" t="s">
        <v>356</v>
      </c>
      <c r="B75" s="68" t="s">
        <v>57</v>
      </c>
      <c r="C75" s="82"/>
      <c r="D75" s="81"/>
      <c r="E75" s="80"/>
      <c r="I75" s="79">
        <f t="shared" si="2"/>
        <v>0</v>
      </c>
      <c r="J75" s="78" t="s">
        <v>268</v>
      </c>
      <c r="K75" s="79">
        <f t="shared" si="3"/>
        <v>0</v>
      </c>
    </row>
    <row r="76" spans="1:11" ht="14.35" x14ac:dyDescent="0.5">
      <c r="A76" s="68" t="s">
        <v>357</v>
      </c>
      <c r="B76" s="68" t="s">
        <v>58</v>
      </c>
      <c r="C76" s="82"/>
      <c r="E76" s="80"/>
      <c r="I76" s="79">
        <f t="shared" si="2"/>
        <v>0</v>
      </c>
      <c r="J76" s="78" t="s">
        <v>270</v>
      </c>
      <c r="K76" s="79">
        <f t="shared" si="3"/>
        <v>0</v>
      </c>
    </row>
    <row r="77" spans="1:11" ht="14.35" x14ac:dyDescent="0.5">
      <c r="A77" s="68" t="s">
        <v>358</v>
      </c>
      <c r="B77" s="68" t="s">
        <v>59</v>
      </c>
      <c r="C77" s="82"/>
      <c r="D77" s="81"/>
      <c r="E77" s="80"/>
      <c r="I77" s="79">
        <f t="shared" si="2"/>
        <v>0</v>
      </c>
      <c r="J77" s="78" t="s">
        <v>270</v>
      </c>
      <c r="K77" s="79">
        <f t="shared" si="3"/>
        <v>0</v>
      </c>
    </row>
    <row r="78" spans="1:11" ht="14.35" x14ac:dyDescent="0.5">
      <c r="A78" s="68" t="s">
        <v>359</v>
      </c>
      <c r="B78" s="68" t="s">
        <v>60</v>
      </c>
      <c r="C78" s="82"/>
      <c r="D78" s="81"/>
      <c r="E78" s="80"/>
      <c r="I78" s="79">
        <f t="shared" si="2"/>
        <v>0</v>
      </c>
      <c r="J78" s="78" t="s">
        <v>274</v>
      </c>
      <c r="K78" s="79">
        <f t="shared" si="3"/>
        <v>0</v>
      </c>
    </row>
    <row r="79" spans="1:11" ht="14.35" x14ac:dyDescent="0.5">
      <c r="A79" s="68" t="s">
        <v>360</v>
      </c>
      <c r="B79" s="68" t="s">
        <v>61</v>
      </c>
      <c r="C79" s="82"/>
      <c r="D79" s="81"/>
      <c r="E79" s="80"/>
      <c r="I79" s="79">
        <f t="shared" si="2"/>
        <v>0</v>
      </c>
      <c r="J79" s="78" t="s">
        <v>274</v>
      </c>
      <c r="K79" s="79">
        <f t="shared" si="3"/>
        <v>0</v>
      </c>
    </row>
    <row r="80" spans="1:11" ht="14.35" x14ac:dyDescent="0.5">
      <c r="A80" s="68" t="s">
        <v>361</v>
      </c>
      <c r="B80" s="68" t="s">
        <v>62</v>
      </c>
      <c r="C80" s="82"/>
      <c r="D80" s="81"/>
      <c r="E80" s="80"/>
      <c r="F80" s="78">
        <f>-C80</f>
        <v>0</v>
      </c>
      <c r="I80" s="79">
        <f t="shared" si="2"/>
        <v>0</v>
      </c>
      <c r="J80" s="78" t="s">
        <v>267</v>
      </c>
      <c r="K80" s="79">
        <f t="shared" si="3"/>
        <v>0</v>
      </c>
    </row>
    <row r="81" spans="1:11" ht="14.35" x14ac:dyDescent="0.5">
      <c r="A81" s="68" t="s">
        <v>362</v>
      </c>
      <c r="B81" s="68" t="s">
        <v>63</v>
      </c>
      <c r="C81" s="82"/>
      <c r="D81" s="81"/>
      <c r="E81" s="80"/>
      <c r="F81" s="78">
        <f>-C81</f>
        <v>0</v>
      </c>
      <c r="I81" s="79">
        <f t="shared" si="2"/>
        <v>0</v>
      </c>
      <c r="J81" s="78" t="s">
        <v>267</v>
      </c>
      <c r="K81" s="79">
        <f t="shared" si="3"/>
        <v>0</v>
      </c>
    </row>
    <row r="82" spans="1:11" ht="14.35" x14ac:dyDescent="0.5">
      <c r="A82" s="68" t="s">
        <v>363</v>
      </c>
      <c r="B82" s="68" t="s">
        <v>64</v>
      </c>
      <c r="C82" s="77"/>
      <c r="E82" s="80"/>
      <c r="I82" s="79">
        <f t="shared" si="2"/>
        <v>0</v>
      </c>
      <c r="J82" s="78" t="s">
        <v>859</v>
      </c>
      <c r="K82" s="79">
        <f t="shared" si="3"/>
        <v>0</v>
      </c>
    </row>
    <row r="83" spans="1:11" x14ac:dyDescent="0.4">
      <c r="A83" s="68" t="s">
        <v>364</v>
      </c>
      <c r="B83" s="68" t="s">
        <v>65</v>
      </c>
      <c r="C83" s="77"/>
      <c r="F83" s="76"/>
      <c r="I83" s="79">
        <f t="shared" si="2"/>
        <v>0</v>
      </c>
      <c r="J83" s="78" t="s">
        <v>860</v>
      </c>
      <c r="K83" s="79">
        <f t="shared" si="3"/>
        <v>0</v>
      </c>
    </row>
    <row r="84" spans="1:11" ht="14.35" x14ac:dyDescent="0.5">
      <c r="A84" s="68" t="s">
        <v>365</v>
      </c>
      <c r="B84" s="68" t="s">
        <v>262</v>
      </c>
      <c r="C84" s="77"/>
      <c r="D84" s="81"/>
      <c r="E84" s="80"/>
      <c r="I84" s="79">
        <f t="shared" si="2"/>
        <v>0</v>
      </c>
      <c r="J84" s="78" t="s">
        <v>860</v>
      </c>
      <c r="K84" s="79">
        <f t="shared" si="3"/>
        <v>0</v>
      </c>
    </row>
    <row r="85" spans="1:11" ht="14.35" x14ac:dyDescent="0.5">
      <c r="A85" s="68" t="s">
        <v>366</v>
      </c>
      <c r="B85" s="68" t="s">
        <v>66</v>
      </c>
      <c r="C85" s="77"/>
      <c r="D85" s="81"/>
      <c r="E85" s="80"/>
      <c r="I85" s="79">
        <f t="shared" si="2"/>
        <v>0</v>
      </c>
      <c r="J85" s="78" t="s">
        <v>860</v>
      </c>
      <c r="K85" s="79">
        <f t="shared" si="3"/>
        <v>0</v>
      </c>
    </row>
    <row r="86" spans="1:11" ht="14.35" x14ac:dyDescent="0.5">
      <c r="A86" s="68" t="s">
        <v>367</v>
      </c>
      <c r="B86" s="68" t="s">
        <v>67</v>
      </c>
      <c r="C86" s="77"/>
      <c r="D86" s="81"/>
      <c r="E86" s="80"/>
      <c r="I86" s="79">
        <f t="shared" si="2"/>
        <v>0</v>
      </c>
      <c r="J86" s="78" t="s">
        <v>860</v>
      </c>
      <c r="K86" s="79">
        <f t="shared" si="3"/>
        <v>0</v>
      </c>
    </row>
    <row r="87" spans="1:11" ht="14.35" x14ac:dyDescent="0.5">
      <c r="A87" s="68" t="s">
        <v>368</v>
      </c>
      <c r="B87" s="68" t="s">
        <v>68</v>
      </c>
      <c r="C87" s="77"/>
      <c r="D87" s="81"/>
      <c r="E87" s="80"/>
      <c r="I87" s="79">
        <f t="shared" si="2"/>
        <v>0</v>
      </c>
      <c r="J87" s="78" t="s">
        <v>860</v>
      </c>
      <c r="K87" s="79">
        <f t="shared" si="3"/>
        <v>0</v>
      </c>
    </row>
    <row r="88" spans="1:11" ht="14.35" x14ac:dyDescent="0.5">
      <c r="A88" s="69" t="s">
        <v>369</v>
      </c>
      <c r="B88" s="68" t="s">
        <v>69</v>
      </c>
      <c r="C88" s="77"/>
      <c r="E88" s="80"/>
      <c r="I88" s="79">
        <f t="shared" si="2"/>
        <v>0</v>
      </c>
      <c r="J88" s="78" t="s">
        <v>860</v>
      </c>
      <c r="K88" s="79">
        <f t="shared" si="3"/>
        <v>0</v>
      </c>
    </row>
    <row r="89" spans="1:11" ht="14.35" x14ac:dyDescent="0.5">
      <c r="A89" s="68" t="s">
        <v>370</v>
      </c>
      <c r="B89" s="68" t="s">
        <v>70</v>
      </c>
      <c r="C89" s="77"/>
      <c r="D89" s="81"/>
      <c r="E89" s="80"/>
      <c r="I89" s="79">
        <f t="shared" si="2"/>
        <v>0</v>
      </c>
      <c r="J89" s="78" t="s">
        <v>273</v>
      </c>
      <c r="K89" s="79">
        <f t="shared" si="3"/>
        <v>0</v>
      </c>
    </row>
    <row r="90" spans="1:11" ht="14.35" x14ac:dyDescent="0.5">
      <c r="A90" s="68" t="s">
        <v>371</v>
      </c>
      <c r="B90" s="68" t="s">
        <v>71</v>
      </c>
      <c r="C90" s="77"/>
      <c r="D90" s="81"/>
      <c r="E90" s="80"/>
      <c r="I90" s="79">
        <f t="shared" si="2"/>
        <v>0</v>
      </c>
      <c r="J90" s="78" t="s">
        <v>273</v>
      </c>
      <c r="K90" s="79">
        <f t="shared" si="3"/>
        <v>0</v>
      </c>
    </row>
    <row r="91" spans="1:11" ht="14.35" x14ac:dyDescent="0.5">
      <c r="A91" s="68" t="s">
        <v>372</v>
      </c>
      <c r="B91" s="68" t="s">
        <v>72</v>
      </c>
      <c r="C91" s="77"/>
      <c r="D91" s="81"/>
      <c r="E91" s="80"/>
      <c r="I91" s="79">
        <f t="shared" si="2"/>
        <v>0</v>
      </c>
      <c r="J91" s="78" t="s">
        <v>273</v>
      </c>
      <c r="K91" s="79">
        <f t="shared" si="3"/>
        <v>0</v>
      </c>
    </row>
    <row r="92" spans="1:11" ht="14.35" x14ac:dyDescent="0.5">
      <c r="A92" s="68" t="s">
        <v>373</v>
      </c>
      <c r="B92" s="68" t="s">
        <v>73</v>
      </c>
      <c r="C92" s="77"/>
      <c r="D92" s="81"/>
      <c r="E92" s="80"/>
      <c r="I92" s="79">
        <f t="shared" si="2"/>
        <v>0</v>
      </c>
      <c r="J92" s="78" t="s">
        <v>273</v>
      </c>
      <c r="K92" s="79">
        <f t="shared" si="3"/>
        <v>0</v>
      </c>
    </row>
    <row r="93" spans="1:11" ht="14.35" x14ac:dyDescent="0.5">
      <c r="A93" s="68" t="s">
        <v>374</v>
      </c>
      <c r="B93" s="68" t="s">
        <v>74</v>
      </c>
      <c r="C93" s="77"/>
      <c r="D93" s="81"/>
      <c r="E93" s="80"/>
      <c r="I93" s="79">
        <f t="shared" si="2"/>
        <v>0</v>
      </c>
      <c r="J93" s="78" t="s">
        <v>273</v>
      </c>
      <c r="K93" s="79">
        <f t="shared" si="3"/>
        <v>0</v>
      </c>
    </row>
    <row r="94" spans="1:11" ht="14.35" x14ac:dyDescent="0.5">
      <c r="A94" s="68" t="s">
        <v>375</v>
      </c>
      <c r="B94" s="68" t="s">
        <v>75</v>
      </c>
      <c r="C94" s="77"/>
      <c r="D94" s="81"/>
      <c r="E94" s="80"/>
      <c r="I94" s="79">
        <f t="shared" si="2"/>
        <v>0</v>
      </c>
      <c r="J94" s="78" t="s">
        <v>273</v>
      </c>
      <c r="K94" s="79">
        <f t="shared" si="3"/>
        <v>0</v>
      </c>
    </row>
    <row r="95" spans="1:11" ht="14.35" x14ac:dyDescent="0.5">
      <c r="A95" s="68" t="s">
        <v>376</v>
      </c>
      <c r="B95" s="68" t="s">
        <v>76</v>
      </c>
      <c r="C95" s="77"/>
      <c r="D95" s="81"/>
      <c r="E95" s="80"/>
      <c r="I95" s="79">
        <f t="shared" si="2"/>
        <v>0</v>
      </c>
      <c r="J95" s="78" t="s">
        <v>273</v>
      </c>
      <c r="K95" s="79">
        <f t="shared" si="3"/>
        <v>0</v>
      </c>
    </row>
    <row r="96" spans="1:11" ht="14.35" x14ac:dyDescent="0.5">
      <c r="A96" s="68" t="s">
        <v>378</v>
      </c>
      <c r="B96" s="68" t="s">
        <v>78</v>
      </c>
      <c r="C96" s="77"/>
      <c r="D96" s="81"/>
      <c r="E96" s="80"/>
      <c r="I96" s="79">
        <f t="shared" si="2"/>
        <v>0</v>
      </c>
      <c r="J96" s="78" t="s">
        <v>273</v>
      </c>
      <c r="K96" s="79">
        <f t="shared" si="3"/>
        <v>0</v>
      </c>
    </row>
    <row r="97" spans="1:11" ht="14.35" x14ac:dyDescent="0.5">
      <c r="A97" s="68" t="s">
        <v>379</v>
      </c>
      <c r="B97" s="68" t="s">
        <v>79</v>
      </c>
      <c r="C97" s="77"/>
      <c r="D97" s="81"/>
      <c r="E97" s="80"/>
      <c r="I97" s="79">
        <f t="shared" si="2"/>
        <v>0</v>
      </c>
      <c r="J97" s="78" t="s">
        <v>273</v>
      </c>
      <c r="K97" s="79">
        <f t="shared" si="3"/>
        <v>0</v>
      </c>
    </row>
    <row r="98" spans="1:11" ht="14.35" x14ac:dyDescent="0.5">
      <c r="A98" s="68" t="s">
        <v>380</v>
      </c>
      <c r="B98" s="68" t="s">
        <v>80</v>
      </c>
      <c r="C98" s="77"/>
      <c r="D98" s="81"/>
      <c r="E98" s="80"/>
      <c r="I98" s="79">
        <f t="shared" si="2"/>
        <v>0</v>
      </c>
      <c r="J98" s="78" t="s">
        <v>273</v>
      </c>
      <c r="K98" s="79">
        <f t="shared" si="3"/>
        <v>0</v>
      </c>
    </row>
    <row r="99" spans="1:11" ht="14.35" x14ac:dyDescent="0.5">
      <c r="A99" s="68" t="s">
        <v>383</v>
      </c>
      <c r="B99" s="68" t="s">
        <v>83</v>
      </c>
      <c r="C99" s="77"/>
      <c r="D99" s="81"/>
      <c r="E99" s="80"/>
      <c r="I99" s="79">
        <f t="shared" si="2"/>
        <v>0</v>
      </c>
      <c r="J99" s="78" t="s">
        <v>273</v>
      </c>
      <c r="K99" s="79">
        <f t="shared" si="3"/>
        <v>0</v>
      </c>
    </row>
    <row r="100" spans="1:11" ht="14.35" x14ac:dyDescent="0.5">
      <c r="A100" s="68" t="s">
        <v>385</v>
      </c>
      <c r="B100" s="68" t="s">
        <v>85</v>
      </c>
      <c r="C100" s="77"/>
      <c r="D100" s="81"/>
      <c r="E100" s="80"/>
      <c r="I100" s="79">
        <f t="shared" si="2"/>
        <v>0</v>
      </c>
      <c r="J100" s="78" t="s">
        <v>273</v>
      </c>
      <c r="K100" s="79">
        <f t="shared" si="3"/>
        <v>0</v>
      </c>
    </row>
    <row r="101" spans="1:11" ht="14.35" x14ac:dyDescent="0.5">
      <c r="A101" s="68" t="s">
        <v>387</v>
      </c>
      <c r="B101" s="68" t="s">
        <v>87</v>
      </c>
      <c r="C101" s="77"/>
      <c r="D101" s="81"/>
      <c r="E101" s="80"/>
      <c r="I101" s="79">
        <f t="shared" si="2"/>
        <v>0</v>
      </c>
      <c r="J101" s="78" t="s">
        <v>273</v>
      </c>
      <c r="K101" s="79">
        <f t="shared" si="3"/>
        <v>0</v>
      </c>
    </row>
    <row r="102" spans="1:11" ht="14.35" x14ac:dyDescent="0.5">
      <c r="A102" s="68" t="s">
        <v>390</v>
      </c>
      <c r="B102" s="68" t="s">
        <v>90</v>
      </c>
      <c r="C102" s="77"/>
      <c r="D102" s="81"/>
      <c r="E102" s="80"/>
      <c r="I102" s="79">
        <f t="shared" si="2"/>
        <v>0</v>
      </c>
      <c r="J102" s="78" t="s">
        <v>273</v>
      </c>
      <c r="K102" s="79">
        <f t="shared" si="3"/>
        <v>0</v>
      </c>
    </row>
    <row r="103" spans="1:11" ht="14.35" x14ac:dyDescent="0.5">
      <c r="A103" s="68" t="s">
        <v>392</v>
      </c>
      <c r="B103" s="68" t="s">
        <v>92</v>
      </c>
      <c r="C103" s="77"/>
      <c r="D103" s="81"/>
      <c r="E103" s="80"/>
      <c r="I103" s="79">
        <f t="shared" si="2"/>
        <v>0</v>
      </c>
      <c r="J103" s="78" t="s">
        <v>273</v>
      </c>
      <c r="K103" s="79">
        <f t="shared" si="3"/>
        <v>0</v>
      </c>
    </row>
    <row r="104" spans="1:11" ht="14.35" x14ac:dyDescent="0.5">
      <c r="A104" s="68" t="s">
        <v>393</v>
      </c>
      <c r="B104" s="68" t="s">
        <v>93</v>
      </c>
      <c r="C104" s="77"/>
      <c r="D104" s="81"/>
      <c r="E104" s="80"/>
      <c r="I104" s="79">
        <f t="shared" si="2"/>
        <v>0</v>
      </c>
      <c r="J104" s="78" t="s">
        <v>273</v>
      </c>
      <c r="K104" s="79">
        <f t="shared" si="3"/>
        <v>0</v>
      </c>
    </row>
    <row r="105" spans="1:11" ht="14.35" x14ac:dyDescent="0.5">
      <c r="A105" s="68" t="s">
        <v>395</v>
      </c>
      <c r="B105" s="68" t="s">
        <v>95</v>
      </c>
      <c r="C105" s="77"/>
      <c r="D105" s="81"/>
      <c r="E105" s="80"/>
      <c r="I105" s="79">
        <f t="shared" si="2"/>
        <v>0</v>
      </c>
      <c r="J105" s="78" t="s">
        <v>859</v>
      </c>
      <c r="K105" s="79">
        <f t="shared" si="3"/>
        <v>0</v>
      </c>
    </row>
    <row r="106" spans="1:11" ht="14.35" x14ac:dyDescent="0.5">
      <c r="A106" s="68" t="s">
        <v>396</v>
      </c>
      <c r="B106" s="68" t="s">
        <v>96</v>
      </c>
      <c r="C106" s="77"/>
      <c r="D106" s="81"/>
      <c r="E106" s="80"/>
      <c r="I106" s="79">
        <f t="shared" si="2"/>
        <v>0</v>
      </c>
      <c r="J106" s="78" t="s">
        <v>859</v>
      </c>
      <c r="K106" s="79">
        <f t="shared" si="3"/>
        <v>0</v>
      </c>
    </row>
    <row r="107" spans="1:11" ht="14.35" x14ac:dyDescent="0.5">
      <c r="A107" s="68" t="s">
        <v>397</v>
      </c>
      <c r="B107" s="68" t="s">
        <v>97</v>
      </c>
      <c r="C107" s="77"/>
      <c r="D107" s="81"/>
      <c r="E107" s="80"/>
      <c r="I107" s="79">
        <f t="shared" si="2"/>
        <v>0</v>
      </c>
      <c r="J107" s="78" t="s">
        <v>859</v>
      </c>
      <c r="K107" s="79">
        <f t="shared" si="3"/>
        <v>0</v>
      </c>
    </row>
    <row r="108" spans="1:11" ht="14.35" x14ac:dyDescent="0.5">
      <c r="A108" s="27" t="s">
        <v>629</v>
      </c>
      <c r="B108" s="100" t="s">
        <v>630</v>
      </c>
      <c r="C108" s="77"/>
      <c r="D108" s="81"/>
      <c r="E108" s="80"/>
      <c r="I108" s="79">
        <f t="shared" si="2"/>
        <v>0</v>
      </c>
      <c r="J108" s="78" t="s">
        <v>859</v>
      </c>
      <c r="K108" s="79">
        <f t="shared" si="3"/>
        <v>0</v>
      </c>
    </row>
    <row r="109" spans="1:11" ht="14.35" x14ac:dyDescent="0.5">
      <c r="A109" s="68" t="s">
        <v>398</v>
      </c>
      <c r="B109" s="68" t="s">
        <v>98</v>
      </c>
      <c r="C109" s="77"/>
      <c r="D109" s="81"/>
      <c r="E109" s="80"/>
      <c r="I109" s="79">
        <f t="shared" si="2"/>
        <v>0</v>
      </c>
      <c r="J109" s="78" t="s">
        <v>859</v>
      </c>
      <c r="K109" s="79">
        <f t="shared" si="3"/>
        <v>0</v>
      </c>
    </row>
    <row r="110" spans="1:11" ht="14.35" x14ac:dyDescent="0.5">
      <c r="A110" s="68" t="s">
        <v>399</v>
      </c>
      <c r="B110" s="68" t="s">
        <v>99</v>
      </c>
      <c r="C110" s="77"/>
      <c r="D110" s="81"/>
      <c r="E110" s="80"/>
      <c r="I110" s="79">
        <f t="shared" si="2"/>
        <v>0</v>
      </c>
      <c r="J110" s="78" t="s">
        <v>859</v>
      </c>
      <c r="K110" s="79">
        <f t="shared" si="3"/>
        <v>0</v>
      </c>
    </row>
    <row r="111" spans="1:11" ht="14.35" x14ac:dyDescent="0.5">
      <c r="A111" s="68" t="s">
        <v>400</v>
      </c>
      <c r="B111" s="68" t="s">
        <v>100</v>
      </c>
      <c r="C111" s="77"/>
      <c r="D111" s="81"/>
      <c r="E111" s="80"/>
      <c r="I111" s="79">
        <f t="shared" si="2"/>
        <v>0</v>
      </c>
      <c r="J111" s="78" t="s">
        <v>859</v>
      </c>
      <c r="K111" s="79">
        <f t="shared" si="3"/>
        <v>0</v>
      </c>
    </row>
    <row r="112" spans="1:11" ht="14.35" x14ac:dyDescent="0.5">
      <c r="A112" s="68" t="s">
        <v>401</v>
      </c>
      <c r="B112" s="68" t="s">
        <v>101</v>
      </c>
      <c r="C112" s="77"/>
      <c r="E112" s="80"/>
      <c r="I112" s="79">
        <f t="shared" si="2"/>
        <v>0</v>
      </c>
      <c r="J112" s="78" t="s">
        <v>859</v>
      </c>
      <c r="K112" s="79">
        <f t="shared" si="3"/>
        <v>0</v>
      </c>
    </row>
    <row r="113" spans="1:11" ht="14.35" x14ac:dyDescent="0.5">
      <c r="A113" s="68" t="s">
        <v>402</v>
      </c>
      <c r="B113" s="68" t="s">
        <v>102</v>
      </c>
      <c r="C113" s="77"/>
      <c r="D113" s="81"/>
      <c r="E113" s="80"/>
      <c r="I113" s="79">
        <f t="shared" si="2"/>
        <v>0</v>
      </c>
      <c r="J113" s="78" t="s">
        <v>859</v>
      </c>
      <c r="K113" s="79">
        <f t="shared" si="3"/>
        <v>0</v>
      </c>
    </row>
    <row r="114" spans="1:11" ht="14.35" x14ac:dyDescent="0.5">
      <c r="A114" s="68" t="s">
        <v>403</v>
      </c>
      <c r="B114" s="68" t="s">
        <v>103</v>
      </c>
      <c r="C114" s="77"/>
      <c r="E114" s="80"/>
      <c r="I114" s="79">
        <f t="shared" si="2"/>
        <v>0</v>
      </c>
      <c r="J114" s="78" t="s">
        <v>859</v>
      </c>
      <c r="K114" s="79">
        <f t="shared" si="3"/>
        <v>0</v>
      </c>
    </row>
    <row r="115" spans="1:11" ht="14.35" x14ac:dyDescent="0.5">
      <c r="A115" s="68" t="s">
        <v>406</v>
      </c>
      <c r="B115" s="68" t="s">
        <v>106</v>
      </c>
      <c r="C115" s="77"/>
      <c r="D115" s="81"/>
      <c r="E115" s="80"/>
      <c r="I115" s="79">
        <f t="shared" si="2"/>
        <v>0</v>
      </c>
      <c r="J115" s="78" t="s">
        <v>273</v>
      </c>
      <c r="K115" s="79">
        <f t="shared" si="3"/>
        <v>0</v>
      </c>
    </row>
    <row r="116" spans="1:11" ht="14.35" x14ac:dyDescent="0.5">
      <c r="A116" s="68" t="s">
        <v>409</v>
      </c>
      <c r="B116" s="68" t="s">
        <v>109</v>
      </c>
      <c r="C116" s="77"/>
      <c r="D116" s="81"/>
      <c r="E116" s="80"/>
      <c r="I116" s="79">
        <f t="shared" si="2"/>
        <v>0</v>
      </c>
      <c r="J116" s="78" t="s">
        <v>273</v>
      </c>
      <c r="K116" s="79">
        <f t="shared" si="3"/>
        <v>0</v>
      </c>
    </row>
    <row r="117" spans="1:11" ht="14.35" x14ac:dyDescent="0.5">
      <c r="A117" s="68" t="s">
        <v>410</v>
      </c>
      <c r="B117" s="68" t="s">
        <v>110</v>
      </c>
      <c r="C117" s="77"/>
      <c r="D117" s="81"/>
      <c r="E117" s="80"/>
      <c r="I117" s="79">
        <f t="shared" si="2"/>
        <v>0</v>
      </c>
      <c r="J117" s="78" t="s">
        <v>273</v>
      </c>
      <c r="K117" s="79">
        <f t="shared" si="3"/>
        <v>0</v>
      </c>
    </row>
    <row r="118" spans="1:11" ht="14.35" x14ac:dyDescent="0.5">
      <c r="A118" s="68" t="s">
        <v>411</v>
      </c>
      <c r="B118" s="68" t="s">
        <v>111</v>
      </c>
      <c r="C118" s="77"/>
      <c r="D118" s="81"/>
      <c r="E118" s="80"/>
      <c r="I118" s="79">
        <f t="shared" si="2"/>
        <v>0</v>
      </c>
      <c r="J118" s="78" t="s">
        <v>273</v>
      </c>
      <c r="K118" s="79">
        <f t="shared" si="3"/>
        <v>0</v>
      </c>
    </row>
    <row r="119" spans="1:11" ht="14.35" x14ac:dyDescent="0.5">
      <c r="A119" s="68" t="s">
        <v>419</v>
      </c>
      <c r="B119" s="68" t="s">
        <v>119</v>
      </c>
      <c r="C119" s="77"/>
      <c r="D119" s="81"/>
      <c r="E119" s="80"/>
      <c r="I119" s="79">
        <f t="shared" ref="I119:I165" si="4">SUM(C119:H119)</f>
        <v>0</v>
      </c>
      <c r="J119" s="78" t="s">
        <v>273</v>
      </c>
      <c r="K119" s="79">
        <f t="shared" si="3"/>
        <v>0</v>
      </c>
    </row>
    <row r="120" spans="1:11" ht="14.35" x14ac:dyDescent="0.5">
      <c r="A120" s="68" t="s">
        <v>421</v>
      </c>
      <c r="B120" s="68" t="s">
        <v>121</v>
      </c>
      <c r="C120" s="77"/>
      <c r="D120" s="81"/>
      <c r="E120" s="80"/>
      <c r="I120" s="79">
        <f t="shared" si="4"/>
        <v>0</v>
      </c>
      <c r="J120" s="78" t="s">
        <v>273</v>
      </c>
      <c r="K120" s="79">
        <f t="shared" si="3"/>
        <v>0</v>
      </c>
    </row>
    <row r="121" spans="1:11" ht="14.35" x14ac:dyDescent="0.5">
      <c r="A121" s="68" t="s">
        <v>423</v>
      </c>
      <c r="B121" s="68" t="s">
        <v>123</v>
      </c>
      <c r="C121" s="77"/>
      <c r="D121" s="81"/>
      <c r="E121" s="80"/>
      <c r="I121" s="79">
        <f t="shared" si="4"/>
        <v>0</v>
      </c>
      <c r="J121" s="78" t="s">
        <v>273</v>
      </c>
      <c r="K121" s="79">
        <f t="shared" si="3"/>
        <v>0</v>
      </c>
    </row>
    <row r="122" spans="1:11" ht="14.35" x14ac:dyDescent="0.5">
      <c r="A122" s="68" t="s">
        <v>424</v>
      </c>
      <c r="B122" s="68" t="s">
        <v>124</v>
      </c>
      <c r="C122" s="77"/>
      <c r="D122" s="81"/>
      <c r="E122" s="80"/>
      <c r="I122" s="79">
        <f t="shared" si="4"/>
        <v>0</v>
      </c>
      <c r="J122" s="78" t="s">
        <v>273</v>
      </c>
      <c r="K122" s="79">
        <f t="shared" si="3"/>
        <v>0</v>
      </c>
    </row>
    <row r="123" spans="1:11" ht="14.35" x14ac:dyDescent="0.5">
      <c r="A123" s="68" t="s">
        <v>425</v>
      </c>
      <c r="B123" s="68" t="s">
        <v>259</v>
      </c>
      <c r="C123" s="77"/>
      <c r="D123" s="81"/>
      <c r="E123" s="80"/>
      <c r="I123" s="79">
        <f t="shared" si="4"/>
        <v>0</v>
      </c>
      <c r="J123" s="78" t="s">
        <v>273</v>
      </c>
      <c r="K123" s="79">
        <f t="shared" si="3"/>
        <v>0</v>
      </c>
    </row>
    <row r="124" spans="1:11" ht="14.35" x14ac:dyDescent="0.5">
      <c r="A124" s="68" t="s">
        <v>628</v>
      </c>
      <c r="B124" s="68" t="s">
        <v>620</v>
      </c>
      <c r="C124" s="77"/>
      <c r="D124" s="81"/>
      <c r="E124" s="80"/>
      <c r="I124" s="79">
        <f t="shared" si="4"/>
        <v>0</v>
      </c>
      <c r="J124" s="78" t="s">
        <v>273</v>
      </c>
      <c r="K124" s="79">
        <f t="shared" si="3"/>
        <v>0</v>
      </c>
    </row>
    <row r="125" spans="1:11" ht="14.35" x14ac:dyDescent="0.5">
      <c r="A125" s="68" t="s">
        <v>623</v>
      </c>
      <c r="B125" s="68" t="s">
        <v>631</v>
      </c>
      <c r="C125" s="77"/>
      <c r="D125" s="81"/>
      <c r="E125" s="80"/>
      <c r="I125" s="79">
        <f t="shared" si="4"/>
        <v>0</v>
      </c>
      <c r="J125" s="78" t="s">
        <v>273</v>
      </c>
      <c r="K125" s="79">
        <f t="shared" si="3"/>
        <v>0</v>
      </c>
    </row>
    <row r="126" spans="1:11" ht="14.35" x14ac:dyDescent="0.5">
      <c r="A126" s="68" t="s">
        <v>635</v>
      </c>
      <c r="B126" s="68" t="s">
        <v>634</v>
      </c>
      <c r="C126" s="77"/>
      <c r="D126" s="81"/>
      <c r="E126" s="80"/>
      <c r="I126" s="79">
        <f t="shared" si="4"/>
        <v>0</v>
      </c>
      <c r="J126" s="78" t="s">
        <v>273</v>
      </c>
      <c r="K126" s="79">
        <f t="shared" si="3"/>
        <v>0</v>
      </c>
    </row>
    <row r="127" spans="1:11" ht="14.35" x14ac:dyDescent="0.5">
      <c r="A127" s="68" t="s">
        <v>645</v>
      </c>
      <c r="B127" s="68" t="s">
        <v>643</v>
      </c>
      <c r="C127" s="77"/>
      <c r="D127" s="81"/>
      <c r="E127" s="80"/>
      <c r="I127" s="79">
        <f t="shared" si="4"/>
        <v>0</v>
      </c>
      <c r="J127" s="78" t="s">
        <v>273</v>
      </c>
      <c r="K127" s="79">
        <f t="shared" si="3"/>
        <v>0</v>
      </c>
    </row>
    <row r="128" spans="1:11" ht="14.35" x14ac:dyDescent="0.5">
      <c r="A128" s="68" t="s">
        <v>646</v>
      </c>
      <c r="B128" s="68" t="s">
        <v>647</v>
      </c>
      <c r="C128" s="77"/>
      <c r="D128" s="81"/>
      <c r="E128" s="80"/>
      <c r="I128" s="79">
        <f t="shared" si="4"/>
        <v>0</v>
      </c>
      <c r="J128" s="78" t="s">
        <v>273</v>
      </c>
      <c r="K128" s="79">
        <f t="shared" si="3"/>
        <v>0</v>
      </c>
    </row>
    <row r="129" spans="1:11" ht="14.35" x14ac:dyDescent="0.5">
      <c r="A129" s="68" t="s">
        <v>658</v>
      </c>
      <c r="B129" s="68" t="s">
        <v>657</v>
      </c>
      <c r="C129" s="77"/>
      <c r="D129" s="81"/>
      <c r="E129" s="80"/>
      <c r="I129" s="79">
        <f t="shared" si="4"/>
        <v>0</v>
      </c>
      <c r="J129" s="78" t="s">
        <v>273</v>
      </c>
      <c r="K129" s="79">
        <f t="shared" si="3"/>
        <v>0</v>
      </c>
    </row>
    <row r="130" spans="1:11" ht="14.35" x14ac:dyDescent="0.5">
      <c r="A130" s="68" t="s">
        <v>661</v>
      </c>
      <c r="B130" s="68" t="s">
        <v>660</v>
      </c>
      <c r="C130" s="77"/>
      <c r="D130" s="81"/>
      <c r="E130" s="80"/>
      <c r="I130" s="79">
        <f t="shared" si="4"/>
        <v>0</v>
      </c>
      <c r="J130" s="78" t="s">
        <v>273</v>
      </c>
      <c r="K130" s="79">
        <f t="shared" si="3"/>
        <v>0</v>
      </c>
    </row>
    <row r="131" spans="1:11" ht="14.35" x14ac:dyDescent="0.5">
      <c r="A131" s="100" t="s">
        <v>674</v>
      </c>
      <c r="B131" s="100" t="s">
        <v>675</v>
      </c>
      <c r="C131" s="77"/>
      <c r="D131" s="81"/>
      <c r="E131" s="80"/>
      <c r="I131" s="79">
        <f t="shared" si="4"/>
        <v>0</v>
      </c>
      <c r="J131" s="78" t="s">
        <v>273</v>
      </c>
      <c r="K131" s="79">
        <f t="shared" si="3"/>
        <v>0</v>
      </c>
    </row>
    <row r="132" spans="1:11" ht="14.35" x14ac:dyDescent="0.5">
      <c r="A132" s="100" t="s">
        <v>692</v>
      </c>
      <c r="B132" s="100" t="s">
        <v>689</v>
      </c>
      <c r="C132" s="77"/>
      <c r="D132" s="81"/>
      <c r="E132" s="80"/>
      <c r="I132" s="79">
        <f t="shared" si="4"/>
        <v>0</v>
      </c>
      <c r="J132" s="78" t="s">
        <v>273</v>
      </c>
      <c r="K132" s="79">
        <f t="shared" si="3"/>
        <v>0</v>
      </c>
    </row>
    <row r="133" spans="1:11" ht="14.35" x14ac:dyDescent="0.5">
      <c r="A133" s="100" t="s">
        <v>693</v>
      </c>
      <c r="B133" s="100" t="s">
        <v>691</v>
      </c>
      <c r="C133" s="77"/>
      <c r="D133" s="81"/>
      <c r="E133" s="80"/>
      <c r="I133" s="79">
        <f t="shared" si="4"/>
        <v>0</v>
      </c>
      <c r="J133" s="78" t="s">
        <v>273</v>
      </c>
      <c r="K133" s="79">
        <f t="shared" si="3"/>
        <v>0</v>
      </c>
    </row>
    <row r="134" spans="1:11" ht="14.35" x14ac:dyDescent="0.5">
      <c r="A134" s="100" t="s">
        <v>676</v>
      </c>
      <c r="B134" s="100" t="s">
        <v>677</v>
      </c>
      <c r="C134" s="77"/>
      <c r="D134" s="81"/>
      <c r="E134" s="80"/>
      <c r="I134" s="79">
        <f t="shared" si="4"/>
        <v>0</v>
      </c>
      <c r="J134" s="78" t="s">
        <v>273</v>
      </c>
      <c r="K134" s="79">
        <f t="shared" si="3"/>
        <v>0</v>
      </c>
    </row>
    <row r="135" spans="1:11" ht="14.35" x14ac:dyDescent="0.5">
      <c r="A135" s="71" t="s">
        <v>762</v>
      </c>
      <c r="B135" s="71" t="s">
        <v>763</v>
      </c>
      <c r="C135" s="77"/>
      <c r="D135" s="81"/>
      <c r="E135" s="80"/>
      <c r="I135" s="79">
        <f t="shared" si="4"/>
        <v>0</v>
      </c>
      <c r="J135" s="78" t="s">
        <v>273</v>
      </c>
      <c r="K135" s="79">
        <f t="shared" si="3"/>
        <v>0</v>
      </c>
    </row>
    <row r="136" spans="1:11" ht="14.35" x14ac:dyDescent="0.5">
      <c r="A136" s="71" t="s">
        <v>764</v>
      </c>
      <c r="B136" s="71" t="s">
        <v>765</v>
      </c>
      <c r="C136" s="77"/>
      <c r="D136" s="81"/>
      <c r="E136" s="80"/>
      <c r="I136" s="79">
        <f t="shared" si="4"/>
        <v>0</v>
      </c>
      <c r="J136" s="78" t="s">
        <v>273</v>
      </c>
      <c r="K136" s="79">
        <f t="shared" si="3"/>
        <v>0</v>
      </c>
    </row>
    <row r="137" spans="1:11" ht="14.35" x14ac:dyDescent="0.5">
      <c r="A137" s="71" t="s">
        <v>775</v>
      </c>
      <c r="B137" s="100" t="s">
        <v>776</v>
      </c>
      <c r="C137" s="77"/>
      <c r="D137" s="81"/>
      <c r="E137" s="80"/>
      <c r="I137" s="79">
        <f t="shared" si="4"/>
        <v>0</v>
      </c>
      <c r="J137" s="78" t="s">
        <v>273</v>
      </c>
      <c r="K137" s="79">
        <f t="shared" si="3"/>
        <v>0</v>
      </c>
    </row>
    <row r="138" spans="1:11" ht="14.35" x14ac:dyDescent="0.5">
      <c r="A138" s="71" t="s">
        <v>777</v>
      </c>
      <c r="B138" s="100" t="s">
        <v>778</v>
      </c>
      <c r="C138" s="77"/>
      <c r="D138" s="81"/>
      <c r="E138" s="80"/>
      <c r="I138" s="79">
        <f t="shared" si="4"/>
        <v>0</v>
      </c>
      <c r="J138" s="78" t="s">
        <v>273</v>
      </c>
      <c r="K138" s="79">
        <f t="shared" ref="K138:K199" si="5">I138</f>
        <v>0</v>
      </c>
    </row>
    <row r="139" spans="1:11" ht="14.35" x14ac:dyDescent="0.5">
      <c r="A139" s="100" t="s">
        <v>788</v>
      </c>
      <c r="B139" s="100" t="s">
        <v>789</v>
      </c>
      <c r="C139" s="77"/>
      <c r="D139" s="81"/>
      <c r="E139" s="80"/>
      <c r="I139" s="79">
        <f t="shared" si="4"/>
        <v>0</v>
      </c>
      <c r="J139" s="78" t="s">
        <v>273</v>
      </c>
      <c r="K139" s="79">
        <f t="shared" si="5"/>
        <v>0</v>
      </c>
    </row>
    <row r="140" spans="1:11" ht="14.35" x14ac:dyDescent="0.5">
      <c r="A140" s="100" t="s">
        <v>790</v>
      </c>
      <c r="B140" s="100" t="s">
        <v>791</v>
      </c>
      <c r="C140" s="77"/>
      <c r="D140" s="81"/>
      <c r="E140" s="80"/>
      <c r="I140" s="79">
        <f t="shared" si="4"/>
        <v>0</v>
      </c>
      <c r="J140" s="78" t="s">
        <v>273</v>
      </c>
      <c r="K140" s="79">
        <f t="shared" si="5"/>
        <v>0</v>
      </c>
    </row>
    <row r="141" spans="1:11" ht="14.35" x14ac:dyDescent="0.5">
      <c r="A141" s="100" t="s">
        <v>803</v>
      </c>
      <c r="B141" s="100" t="s">
        <v>804</v>
      </c>
      <c r="C141" s="77"/>
      <c r="D141" s="81"/>
      <c r="E141" s="80"/>
      <c r="I141" s="79">
        <f t="shared" si="4"/>
        <v>0</v>
      </c>
      <c r="J141" s="78" t="s">
        <v>273</v>
      </c>
      <c r="K141" s="79">
        <f t="shared" si="5"/>
        <v>0</v>
      </c>
    </row>
    <row r="142" spans="1:11" ht="14.35" x14ac:dyDescent="0.5">
      <c r="A142" s="100" t="s">
        <v>814</v>
      </c>
      <c r="B142" s="100" t="s">
        <v>815</v>
      </c>
      <c r="C142" s="77"/>
      <c r="D142" s="81"/>
      <c r="E142" s="80"/>
      <c r="I142" s="79">
        <f t="shared" si="4"/>
        <v>0</v>
      </c>
      <c r="J142" s="78" t="s">
        <v>273</v>
      </c>
      <c r="K142" s="79">
        <f t="shared" si="5"/>
        <v>0</v>
      </c>
    </row>
    <row r="143" spans="1:11" ht="14.35" x14ac:dyDescent="0.5">
      <c r="A143" s="100" t="s">
        <v>863</v>
      </c>
      <c r="B143" s="100" t="s">
        <v>864</v>
      </c>
      <c r="C143" s="77"/>
      <c r="D143" s="81"/>
      <c r="E143" s="80"/>
      <c r="I143" s="79">
        <f t="shared" ref="I143:I144" si="6">SUM(C143:H143)</f>
        <v>0</v>
      </c>
      <c r="J143" s="78" t="s">
        <v>273</v>
      </c>
      <c r="K143" s="79">
        <f t="shared" si="5"/>
        <v>0</v>
      </c>
    </row>
    <row r="144" spans="1:11" ht="14.35" x14ac:dyDescent="0.5">
      <c r="A144" s="100" t="s">
        <v>871</v>
      </c>
      <c r="B144" s="100" t="s">
        <v>872</v>
      </c>
      <c r="C144" s="77"/>
      <c r="D144" s="81"/>
      <c r="E144" s="80"/>
      <c r="I144" s="79">
        <f t="shared" si="6"/>
        <v>0</v>
      </c>
      <c r="J144" s="78" t="s">
        <v>273</v>
      </c>
      <c r="K144" s="79">
        <f t="shared" si="5"/>
        <v>0</v>
      </c>
    </row>
    <row r="145" spans="1:11" ht="14.35" x14ac:dyDescent="0.5">
      <c r="A145" s="68" t="s">
        <v>426</v>
      </c>
      <c r="B145" s="68" t="s">
        <v>125</v>
      </c>
      <c r="C145" s="77"/>
      <c r="D145" s="81"/>
      <c r="E145" s="80"/>
      <c r="I145" s="79">
        <f t="shared" si="4"/>
        <v>0</v>
      </c>
      <c r="J145" s="78" t="s">
        <v>272</v>
      </c>
      <c r="K145" s="79">
        <f t="shared" si="5"/>
        <v>0</v>
      </c>
    </row>
    <row r="146" spans="1:11" ht="14.35" x14ac:dyDescent="0.5">
      <c r="A146" s="100" t="s">
        <v>805</v>
      </c>
      <c r="B146" s="100" t="s">
        <v>806</v>
      </c>
      <c r="C146" s="77"/>
      <c r="D146" s="81"/>
      <c r="E146" s="80"/>
      <c r="I146" s="79">
        <f t="shared" si="4"/>
        <v>0</v>
      </c>
      <c r="J146" s="78" t="s">
        <v>272</v>
      </c>
      <c r="K146" s="79">
        <f t="shared" si="5"/>
        <v>0</v>
      </c>
    </row>
    <row r="147" spans="1:11" ht="14.35" x14ac:dyDescent="0.5">
      <c r="A147" s="68" t="s">
        <v>427</v>
      </c>
      <c r="B147" s="68" t="s">
        <v>126</v>
      </c>
      <c r="C147" s="77"/>
      <c r="D147" s="81"/>
      <c r="E147" s="80"/>
      <c r="I147" s="79">
        <f t="shared" si="4"/>
        <v>0</v>
      </c>
      <c r="J147" s="78" t="s">
        <v>272</v>
      </c>
      <c r="K147" s="79">
        <f t="shared" si="5"/>
        <v>0</v>
      </c>
    </row>
    <row r="148" spans="1:11" ht="14.35" x14ac:dyDescent="0.5">
      <c r="A148" s="68" t="s">
        <v>428</v>
      </c>
      <c r="B148" s="68" t="s">
        <v>127</v>
      </c>
      <c r="C148" s="77"/>
      <c r="D148" s="81"/>
      <c r="E148" s="80"/>
      <c r="I148" s="79">
        <f t="shared" si="4"/>
        <v>0</v>
      </c>
      <c r="J148" s="78" t="s">
        <v>272</v>
      </c>
      <c r="K148" s="79">
        <f t="shared" si="5"/>
        <v>0</v>
      </c>
    </row>
    <row r="149" spans="1:11" ht="14.35" x14ac:dyDescent="0.5">
      <c r="A149" s="68" t="s">
        <v>429</v>
      </c>
      <c r="B149" s="68" t="s">
        <v>128</v>
      </c>
      <c r="C149" s="77"/>
      <c r="D149" s="81"/>
      <c r="E149" s="80"/>
      <c r="I149" s="79">
        <f t="shared" si="4"/>
        <v>0</v>
      </c>
      <c r="J149" s="78" t="s">
        <v>272</v>
      </c>
      <c r="K149" s="79">
        <f t="shared" si="5"/>
        <v>0</v>
      </c>
    </row>
    <row r="150" spans="1:11" ht="14.35" x14ac:dyDescent="0.5">
      <c r="A150" s="68" t="s">
        <v>430</v>
      </c>
      <c r="B150" s="68" t="s">
        <v>129</v>
      </c>
      <c r="C150" s="77"/>
      <c r="D150" s="81"/>
      <c r="E150" s="80"/>
      <c r="I150" s="79">
        <f t="shared" si="4"/>
        <v>0</v>
      </c>
      <c r="J150" s="78" t="s">
        <v>272</v>
      </c>
      <c r="K150" s="79">
        <f t="shared" si="5"/>
        <v>0</v>
      </c>
    </row>
    <row r="151" spans="1:11" ht="14.35" x14ac:dyDescent="0.5">
      <c r="A151" s="68" t="s">
        <v>431</v>
      </c>
      <c r="B151" s="68" t="s">
        <v>70</v>
      </c>
      <c r="C151" s="77"/>
      <c r="D151" s="81"/>
      <c r="E151" s="80"/>
      <c r="I151" s="79">
        <f t="shared" si="4"/>
        <v>0</v>
      </c>
      <c r="J151" s="78" t="s">
        <v>274</v>
      </c>
      <c r="K151" s="79">
        <f t="shared" si="5"/>
        <v>0</v>
      </c>
    </row>
    <row r="152" spans="1:11" ht="14.35" x14ac:dyDescent="0.5">
      <c r="A152" s="68" t="s">
        <v>436</v>
      </c>
      <c r="B152" s="68" t="s">
        <v>76</v>
      </c>
      <c r="C152" s="77"/>
      <c r="D152" s="81"/>
      <c r="E152" s="80"/>
      <c r="I152" s="79">
        <f t="shared" si="4"/>
        <v>0</v>
      </c>
      <c r="J152" s="78" t="s">
        <v>274</v>
      </c>
      <c r="K152" s="79">
        <f t="shared" si="5"/>
        <v>0</v>
      </c>
    </row>
    <row r="153" spans="1:11" ht="14.35" x14ac:dyDescent="0.5">
      <c r="A153" s="68" t="s">
        <v>438</v>
      </c>
      <c r="B153" s="68" t="s">
        <v>78</v>
      </c>
      <c r="C153" s="77"/>
      <c r="D153" s="81"/>
      <c r="E153" s="80"/>
      <c r="I153" s="79">
        <f t="shared" si="4"/>
        <v>0</v>
      </c>
      <c r="J153" s="78" t="s">
        <v>274</v>
      </c>
      <c r="K153" s="79">
        <f t="shared" si="5"/>
        <v>0</v>
      </c>
    </row>
    <row r="154" spans="1:11" ht="14.35" x14ac:dyDescent="0.5">
      <c r="A154" s="68" t="s">
        <v>439</v>
      </c>
      <c r="B154" s="68" t="s">
        <v>79</v>
      </c>
      <c r="C154" s="77"/>
      <c r="D154" s="81"/>
      <c r="E154" s="80"/>
      <c r="I154" s="79">
        <f t="shared" si="4"/>
        <v>0</v>
      </c>
      <c r="J154" s="78" t="s">
        <v>274</v>
      </c>
      <c r="K154" s="79">
        <f t="shared" si="5"/>
        <v>0</v>
      </c>
    </row>
    <row r="155" spans="1:11" ht="14.35" x14ac:dyDescent="0.5">
      <c r="A155" s="68" t="s">
        <v>440</v>
      </c>
      <c r="B155" s="68" t="s">
        <v>80</v>
      </c>
      <c r="C155" s="77"/>
      <c r="D155" s="81"/>
      <c r="E155" s="80"/>
      <c r="I155" s="79">
        <f t="shared" si="4"/>
        <v>0</v>
      </c>
      <c r="J155" s="78" t="s">
        <v>274</v>
      </c>
      <c r="K155" s="79">
        <f t="shared" si="5"/>
        <v>0</v>
      </c>
    </row>
    <row r="156" spans="1:11" ht="14.35" x14ac:dyDescent="0.5">
      <c r="A156" s="68" t="s">
        <v>443</v>
      </c>
      <c r="B156" s="68" t="s">
        <v>83</v>
      </c>
      <c r="C156" s="77"/>
      <c r="D156" s="81"/>
      <c r="E156" s="80"/>
      <c r="I156" s="79">
        <f t="shared" si="4"/>
        <v>0</v>
      </c>
      <c r="J156" s="78" t="s">
        <v>274</v>
      </c>
      <c r="K156" s="79">
        <f t="shared" si="5"/>
        <v>0</v>
      </c>
    </row>
    <row r="157" spans="1:11" ht="14.35" x14ac:dyDescent="0.5">
      <c r="A157" s="68" t="s">
        <v>445</v>
      </c>
      <c r="B157" s="68" t="s">
        <v>85</v>
      </c>
      <c r="C157" s="77"/>
      <c r="D157" s="81"/>
      <c r="E157" s="80"/>
      <c r="I157" s="79">
        <f t="shared" si="4"/>
        <v>0</v>
      </c>
      <c r="J157" s="78" t="s">
        <v>274</v>
      </c>
      <c r="K157" s="79">
        <f t="shared" si="5"/>
        <v>0</v>
      </c>
    </row>
    <row r="158" spans="1:11" ht="14.35" x14ac:dyDescent="0.5">
      <c r="A158" s="68" t="s">
        <v>447</v>
      </c>
      <c r="B158" s="68" t="s">
        <v>87</v>
      </c>
      <c r="C158" s="77"/>
      <c r="D158" s="81"/>
      <c r="E158" s="80"/>
      <c r="I158" s="79">
        <f t="shared" si="4"/>
        <v>0</v>
      </c>
      <c r="J158" s="78" t="s">
        <v>274</v>
      </c>
      <c r="K158" s="79">
        <f t="shared" si="5"/>
        <v>0</v>
      </c>
    </row>
    <row r="159" spans="1:11" ht="14.35" x14ac:dyDescent="0.5">
      <c r="A159" s="68" t="s">
        <v>450</v>
      </c>
      <c r="B159" s="68" t="s">
        <v>90</v>
      </c>
      <c r="C159" s="77"/>
      <c r="D159" s="81"/>
      <c r="E159" s="80"/>
      <c r="I159" s="79">
        <f t="shared" si="4"/>
        <v>0</v>
      </c>
      <c r="J159" s="78" t="s">
        <v>274</v>
      </c>
      <c r="K159" s="79">
        <f t="shared" si="5"/>
        <v>0</v>
      </c>
    </row>
    <row r="160" spans="1:11" ht="14.35" x14ac:dyDescent="0.5">
      <c r="A160" s="68" t="s">
        <v>452</v>
      </c>
      <c r="B160" s="68" t="s">
        <v>92</v>
      </c>
      <c r="C160" s="77"/>
      <c r="D160" s="81"/>
      <c r="E160" s="80"/>
      <c r="I160" s="79">
        <f t="shared" si="4"/>
        <v>0</v>
      </c>
      <c r="J160" s="78" t="s">
        <v>274</v>
      </c>
      <c r="K160" s="79">
        <f t="shared" si="5"/>
        <v>0</v>
      </c>
    </row>
    <row r="161" spans="1:11" ht="14.35" x14ac:dyDescent="0.5">
      <c r="A161" s="68" t="s">
        <v>453</v>
      </c>
      <c r="B161" s="68" t="s">
        <v>93</v>
      </c>
      <c r="C161" s="77"/>
      <c r="D161" s="81"/>
      <c r="E161" s="80"/>
      <c r="I161" s="79">
        <f t="shared" si="4"/>
        <v>0</v>
      </c>
      <c r="J161" s="78" t="s">
        <v>274</v>
      </c>
      <c r="K161" s="79">
        <f t="shared" si="5"/>
        <v>0</v>
      </c>
    </row>
    <row r="162" spans="1:11" ht="14.35" x14ac:dyDescent="0.5">
      <c r="A162" s="68" t="s">
        <v>457</v>
      </c>
      <c r="B162" s="68" t="s">
        <v>106</v>
      </c>
      <c r="C162" s="77"/>
      <c r="D162" s="81"/>
      <c r="E162" s="80"/>
      <c r="I162" s="79">
        <f t="shared" si="4"/>
        <v>0</v>
      </c>
      <c r="J162" s="78" t="s">
        <v>274</v>
      </c>
      <c r="K162" s="79">
        <f t="shared" si="5"/>
        <v>0</v>
      </c>
    </row>
    <row r="163" spans="1:11" ht="14.35" x14ac:dyDescent="0.5">
      <c r="A163" s="68" t="s">
        <v>460</v>
      </c>
      <c r="B163" s="68" t="s">
        <v>109</v>
      </c>
      <c r="C163" s="77"/>
      <c r="D163" s="81"/>
      <c r="E163" s="80"/>
      <c r="I163" s="79">
        <f t="shared" si="4"/>
        <v>0</v>
      </c>
      <c r="J163" s="78" t="s">
        <v>274</v>
      </c>
      <c r="K163" s="79">
        <f t="shared" si="5"/>
        <v>0</v>
      </c>
    </row>
    <row r="164" spans="1:11" ht="14.35" x14ac:dyDescent="0.5">
      <c r="A164" s="68" t="s">
        <v>461</v>
      </c>
      <c r="B164" s="68" t="s">
        <v>110</v>
      </c>
      <c r="C164" s="77"/>
      <c r="D164" s="81"/>
      <c r="E164" s="80"/>
      <c r="I164" s="79">
        <f t="shared" si="4"/>
        <v>0</v>
      </c>
      <c r="J164" s="78" t="s">
        <v>274</v>
      </c>
      <c r="K164" s="79">
        <f t="shared" si="5"/>
        <v>0</v>
      </c>
    </row>
    <row r="165" spans="1:11" ht="14.35" x14ac:dyDescent="0.5">
      <c r="A165" s="68" t="s">
        <v>462</v>
      </c>
      <c r="B165" s="68" t="s">
        <v>136</v>
      </c>
      <c r="C165" s="77"/>
      <c r="D165" s="81"/>
      <c r="E165" s="80"/>
      <c r="I165" s="79">
        <f t="shared" si="4"/>
        <v>0</v>
      </c>
      <c r="J165" s="78" t="s">
        <v>274</v>
      </c>
      <c r="K165" s="79">
        <f t="shared" si="5"/>
        <v>0</v>
      </c>
    </row>
    <row r="166" spans="1:11" ht="14.35" x14ac:dyDescent="0.5">
      <c r="A166" s="68" t="s">
        <v>470</v>
      </c>
      <c r="B166" s="68" t="s">
        <v>119</v>
      </c>
      <c r="C166" s="77"/>
      <c r="D166" s="81"/>
      <c r="E166" s="80"/>
      <c r="I166" s="79">
        <f t="shared" ref="I166:I201" si="7">SUM(C166:H166)</f>
        <v>0</v>
      </c>
      <c r="J166" s="78" t="s">
        <v>274</v>
      </c>
      <c r="K166" s="79">
        <f t="shared" si="5"/>
        <v>0</v>
      </c>
    </row>
    <row r="167" spans="1:11" ht="14.35" x14ac:dyDescent="0.5">
      <c r="A167" s="68" t="s">
        <v>472</v>
      </c>
      <c r="B167" s="68" t="s">
        <v>121</v>
      </c>
      <c r="C167" s="77"/>
      <c r="D167" s="81"/>
      <c r="E167" s="80"/>
      <c r="I167" s="79">
        <f t="shared" si="7"/>
        <v>0</v>
      </c>
      <c r="J167" s="78" t="s">
        <v>274</v>
      </c>
      <c r="K167" s="79">
        <f t="shared" si="5"/>
        <v>0</v>
      </c>
    </row>
    <row r="168" spans="1:11" ht="14.35" x14ac:dyDescent="0.5">
      <c r="A168" s="68" t="s">
        <v>474</v>
      </c>
      <c r="B168" s="68" t="s">
        <v>123</v>
      </c>
      <c r="C168" s="77"/>
      <c r="D168" s="81"/>
      <c r="E168" s="80"/>
      <c r="I168" s="79">
        <f t="shared" si="7"/>
        <v>0</v>
      </c>
      <c r="J168" s="78" t="s">
        <v>274</v>
      </c>
      <c r="K168" s="79">
        <f t="shared" si="5"/>
        <v>0</v>
      </c>
    </row>
    <row r="169" spans="1:11" ht="14.35" x14ac:dyDescent="0.5">
      <c r="A169" s="68" t="s">
        <v>475</v>
      </c>
      <c r="B169" s="68" t="s">
        <v>124</v>
      </c>
      <c r="C169" s="77"/>
      <c r="D169" s="81"/>
      <c r="E169" s="80"/>
      <c r="I169" s="79">
        <f t="shared" si="7"/>
        <v>0</v>
      </c>
      <c r="J169" s="78" t="s">
        <v>274</v>
      </c>
      <c r="K169" s="79">
        <f t="shared" si="5"/>
        <v>0</v>
      </c>
    </row>
    <row r="170" spans="1:11" ht="14.35" x14ac:dyDescent="0.5">
      <c r="A170" s="68" t="s">
        <v>476</v>
      </c>
      <c r="B170" s="68" t="s">
        <v>259</v>
      </c>
      <c r="C170" s="77"/>
      <c r="D170" s="81"/>
      <c r="E170" s="80"/>
      <c r="I170" s="79">
        <f t="shared" si="7"/>
        <v>0</v>
      </c>
      <c r="J170" s="78" t="s">
        <v>274</v>
      </c>
      <c r="K170" s="79">
        <f t="shared" si="5"/>
        <v>0</v>
      </c>
    </row>
    <row r="171" spans="1:11" ht="14.35" x14ac:dyDescent="0.5">
      <c r="A171" s="68" t="s">
        <v>619</v>
      </c>
      <c r="B171" s="68" t="s">
        <v>620</v>
      </c>
      <c r="C171" s="77"/>
      <c r="D171" s="81"/>
      <c r="E171" s="80"/>
      <c r="I171" s="79">
        <f t="shared" si="7"/>
        <v>0</v>
      </c>
      <c r="J171" s="78" t="s">
        <v>274</v>
      </c>
      <c r="K171" s="79">
        <f t="shared" si="5"/>
        <v>0</v>
      </c>
    </row>
    <row r="172" spans="1:11" ht="14.35" x14ac:dyDescent="0.5">
      <c r="A172" s="68" t="s">
        <v>621</v>
      </c>
      <c r="B172" s="68" t="s">
        <v>622</v>
      </c>
      <c r="C172" s="77"/>
      <c r="D172" s="81"/>
      <c r="E172" s="80"/>
      <c r="I172" s="79">
        <f t="shared" si="7"/>
        <v>0</v>
      </c>
      <c r="J172" s="78" t="s">
        <v>274</v>
      </c>
      <c r="K172" s="79">
        <f t="shared" si="5"/>
        <v>0</v>
      </c>
    </row>
    <row r="173" spans="1:11" ht="14.35" x14ac:dyDescent="0.5">
      <c r="A173" s="68" t="s">
        <v>636</v>
      </c>
      <c r="B173" s="68" t="s">
        <v>634</v>
      </c>
      <c r="C173" s="77"/>
      <c r="D173" s="81"/>
      <c r="E173" s="80"/>
      <c r="I173" s="79">
        <f t="shared" si="7"/>
        <v>0</v>
      </c>
      <c r="J173" s="78" t="s">
        <v>274</v>
      </c>
      <c r="K173" s="79">
        <f t="shared" si="5"/>
        <v>0</v>
      </c>
    </row>
    <row r="174" spans="1:11" ht="14.35" x14ac:dyDescent="0.5">
      <c r="A174" s="68" t="s">
        <v>644</v>
      </c>
      <c r="B174" s="68" t="s">
        <v>643</v>
      </c>
      <c r="C174" s="77"/>
      <c r="D174" s="81"/>
      <c r="E174" s="80"/>
      <c r="I174" s="79">
        <f t="shared" si="7"/>
        <v>0</v>
      </c>
      <c r="J174" s="78" t="s">
        <v>274</v>
      </c>
      <c r="K174" s="79">
        <f t="shared" si="5"/>
        <v>0</v>
      </c>
    </row>
    <row r="175" spans="1:11" ht="14.35" x14ac:dyDescent="0.5">
      <c r="A175" s="68" t="s">
        <v>648</v>
      </c>
      <c r="B175" s="68" t="s">
        <v>647</v>
      </c>
      <c r="C175" s="77"/>
      <c r="D175" s="81"/>
      <c r="E175" s="80"/>
      <c r="I175" s="79">
        <f t="shared" si="7"/>
        <v>0</v>
      </c>
      <c r="J175" s="78" t="s">
        <v>274</v>
      </c>
      <c r="K175" s="79">
        <f t="shared" si="5"/>
        <v>0</v>
      </c>
    </row>
    <row r="176" spans="1:11" ht="14.35" x14ac:dyDescent="0.5">
      <c r="A176" s="27" t="s">
        <v>656</v>
      </c>
      <c r="B176" s="27" t="s">
        <v>657</v>
      </c>
      <c r="C176" s="77"/>
      <c r="D176" s="81"/>
      <c r="E176" s="80"/>
      <c r="F176" s="80"/>
      <c r="G176" s="80"/>
      <c r="H176" s="80"/>
      <c r="I176" s="79">
        <f t="shared" si="7"/>
        <v>0</v>
      </c>
      <c r="J176" s="78" t="s">
        <v>274</v>
      </c>
      <c r="K176" s="79">
        <f t="shared" si="5"/>
        <v>0</v>
      </c>
    </row>
    <row r="177" spans="1:11" ht="14.35" x14ac:dyDescent="0.5">
      <c r="A177" s="27" t="s">
        <v>659</v>
      </c>
      <c r="B177" s="27" t="s">
        <v>660</v>
      </c>
      <c r="C177" s="77"/>
      <c r="D177" s="81"/>
      <c r="E177" s="80"/>
      <c r="F177" s="80"/>
      <c r="G177" s="80"/>
      <c r="H177" s="80"/>
      <c r="I177" s="79">
        <f t="shared" si="7"/>
        <v>0</v>
      </c>
      <c r="J177" s="78" t="s">
        <v>274</v>
      </c>
      <c r="K177" s="79">
        <f t="shared" si="5"/>
        <v>0</v>
      </c>
    </row>
    <row r="178" spans="1:11" ht="14.35" x14ac:dyDescent="0.5">
      <c r="A178" s="100" t="s">
        <v>678</v>
      </c>
      <c r="B178" s="100" t="s">
        <v>675</v>
      </c>
      <c r="C178" s="77"/>
      <c r="D178" s="81"/>
      <c r="E178" s="80"/>
      <c r="F178" s="80"/>
      <c r="G178" s="80"/>
      <c r="H178" s="80"/>
      <c r="I178" s="79">
        <f t="shared" si="7"/>
        <v>0</v>
      </c>
      <c r="J178" s="78" t="s">
        <v>274</v>
      </c>
      <c r="K178" s="79">
        <f t="shared" si="5"/>
        <v>0</v>
      </c>
    </row>
    <row r="179" spans="1:11" ht="14.35" x14ac:dyDescent="0.5">
      <c r="A179" s="100" t="s">
        <v>688</v>
      </c>
      <c r="B179" s="100" t="s">
        <v>689</v>
      </c>
      <c r="C179" s="77"/>
      <c r="D179" s="81"/>
      <c r="E179" s="80"/>
      <c r="F179" s="80"/>
      <c r="G179" s="80"/>
      <c r="H179" s="80"/>
      <c r="I179" s="79">
        <f t="shared" si="7"/>
        <v>0</v>
      </c>
      <c r="J179" s="78" t="s">
        <v>274</v>
      </c>
      <c r="K179" s="79">
        <f t="shared" si="5"/>
        <v>0</v>
      </c>
    </row>
    <row r="180" spans="1:11" ht="14.35" x14ac:dyDescent="0.5">
      <c r="A180" s="100" t="s">
        <v>690</v>
      </c>
      <c r="B180" s="100" t="s">
        <v>691</v>
      </c>
      <c r="C180" s="77"/>
      <c r="D180" s="81"/>
      <c r="E180" s="80"/>
      <c r="F180" s="80"/>
      <c r="G180" s="80"/>
      <c r="H180" s="80"/>
      <c r="I180" s="79">
        <f t="shared" si="7"/>
        <v>0</v>
      </c>
      <c r="J180" s="78" t="s">
        <v>274</v>
      </c>
      <c r="K180" s="79">
        <f t="shared" si="5"/>
        <v>0</v>
      </c>
    </row>
    <row r="181" spans="1:11" ht="14.35" x14ac:dyDescent="0.5">
      <c r="A181" s="100" t="s">
        <v>679</v>
      </c>
      <c r="B181" s="100" t="s">
        <v>677</v>
      </c>
      <c r="C181" s="77"/>
      <c r="D181" s="81"/>
      <c r="E181" s="80"/>
      <c r="F181" s="80"/>
      <c r="G181" s="80"/>
      <c r="H181" s="80"/>
      <c r="I181" s="79">
        <f t="shared" si="7"/>
        <v>0</v>
      </c>
      <c r="J181" s="78" t="s">
        <v>274</v>
      </c>
      <c r="K181" s="79">
        <f t="shared" si="5"/>
        <v>0</v>
      </c>
    </row>
    <row r="182" spans="1:11" ht="14.35" x14ac:dyDescent="0.5">
      <c r="A182" s="71" t="s">
        <v>766</v>
      </c>
      <c r="B182" s="71" t="s">
        <v>763</v>
      </c>
      <c r="C182" s="77"/>
      <c r="D182" s="81"/>
      <c r="E182" s="80"/>
      <c r="F182" s="80"/>
      <c r="G182" s="80"/>
      <c r="H182" s="80"/>
      <c r="I182" s="79">
        <f t="shared" si="7"/>
        <v>0</v>
      </c>
      <c r="J182" s="78" t="s">
        <v>274</v>
      </c>
      <c r="K182" s="79">
        <f t="shared" si="5"/>
        <v>0</v>
      </c>
    </row>
    <row r="183" spans="1:11" ht="14.35" x14ac:dyDescent="0.5">
      <c r="A183" s="71" t="s">
        <v>767</v>
      </c>
      <c r="B183" s="71" t="s">
        <v>765</v>
      </c>
      <c r="C183" s="77"/>
      <c r="D183" s="81"/>
      <c r="E183" s="80"/>
      <c r="F183" s="80"/>
      <c r="G183" s="80"/>
      <c r="H183" s="80"/>
      <c r="I183" s="79">
        <f t="shared" si="7"/>
        <v>0</v>
      </c>
      <c r="J183" s="78" t="s">
        <v>274</v>
      </c>
      <c r="K183" s="79">
        <f t="shared" si="5"/>
        <v>0</v>
      </c>
    </row>
    <row r="184" spans="1:11" ht="14.35" x14ac:dyDescent="0.5">
      <c r="A184" s="71" t="s">
        <v>779</v>
      </c>
      <c r="B184" s="100" t="s">
        <v>776</v>
      </c>
      <c r="C184" s="77"/>
      <c r="D184" s="81"/>
      <c r="E184" s="80"/>
      <c r="F184" s="80"/>
      <c r="G184" s="80"/>
      <c r="H184" s="80"/>
      <c r="I184" s="79">
        <f t="shared" si="7"/>
        <v>0</v>
      </c>
      <c r="J184" s="78" t="s">
        <v>274</v>
      </c>
      <c r="K184" s="79">
        <f t="shared" si="5"/>
        <v>0</v>
      </c>
    </row>
    <row r="185" spans="1:11" ht="14.35" x14ac:dyDescent="0.5">
      <c r="A185" s="71" t="s">
        <v>780</v>
      </c>
      <c r="B185" s="100" t="s">
        <v>778</v>
      </c>
      <c r="C185" s="77"/>
      <c r="D185" s="81"/>
      <c r="E185" s="80"/>
      <c r="F185" s="80"/>
      <c r="G185" s="80"/>
      <c r="H185" s="80"/>
      <c r="I185" s="79">
        <f t="shared" si="7"/>
        <v>0</v>
      </c>
      <c r="J185" s="78" t="s">
        <v>274</v>
      </c>
      <c r="K185" s="79">
        <f t="shared" si="5"/>
        <v>0</v>
      </c>
    </row>
    <row r="186" spans="1:11" ht="14.35" x14ac:dyDescent="0.5">
      <c r="A186" s="100" t="s">
        <v>792</v>
      </c>
      <c r="B186" s="100" t="s">
        <v>789</v>
      </c>
      <c r="C186" s="77"/>
      <c r="D186" s="81"/>
      <c r="E186" s="80"/>
      <c r="F186" s="80"/>
      <c r="G186" s="80"/>
      <c r="H186" s="80"/>
      <c r="I186" s="79">
        <f t="shared" si="7"/>
        <v>0</v>
      </c>
      <c r="J186" s="78" t="s">
        <v>274</v>
      </c>
      <c r="K186" s="79">
        <f t="shared" si="5"/>
        <v>0</v>
      </c>
    </row>
    <row r="187" spans="1:11" ht="14.35" x14ac:dyDescent="0.5">
      <c r="A187" s="100" t="s">
        <v>793</v>
      </c>
      <c r="B187" s="100" t="s">
        <v>791</v>
      </c>
      <c r="C187" s="77"/>
      <c r="D187" s="81"/>
      <c r="E187" s="80"/>
      <c r="F187" s="80"/>
      <c r="G187" s="80"/>
      <c r="H187" s="80"/>
      <c r="I187" s="79">
        <f t="shared" si="7"/>
        <v>0</v>
      </c>
      <c r="J187" s="78" t="s">
        <v>274</v>
      </c>
      <c r="K187" s="79">
        <f t="shared" si="5"/>
        <v>0</v>
      </c>
    </row>
    <row r="188" spans="1:11" ht="14.35" x14ac:dyDescent="0.5">
      <c r="A188" s="100" t="s">
        <v>807</v>
      </c>
      <c r="B188" s="100" t="s">
        <v>804</v>
      </c>
      <c r="C188" s="77"/>
      <c r="D188" s="81"/>
      <c r="E188" s="80"/>
      <c r="F188" s="80"/>
      <c r="G188" s="80"/>
      <c r="H188" s="80"/>
      <c r="I188" s="79">
        <f t="shared" si="7"/>
        <v>0</v>
      </c>
      <c r="J188" s="78" t="s">
        <v>274</v>
      </c>
      <c r="K188" s="79">
        <f t="shared" si="5"/>
        <v>0</v>
      </c>
    </row>
    <row r="189" spans="1:11" ht="14.35" x14ac:dyDescent="0.5">
      <c r="A189" s="100" t="s">
        <v>816</v>
      </c>
      <c r="B189" s="100" t="s">
        <v>815</v>
      </c>
      <c r="C189" s="77"/>
      <c r="D189" s="81"/>
      <c r="E189" s="80"/>
      <c r="F189" s="80"/>
      <c r="G189" s="80"/>
      <c r="H189" s="80"/>
      <c r="I189" s="79">
        <f t="shared" si="7"/>
        <v>0</v>
      </c>
      <c r="J189" s="78" t="s">
        <v>274</v>
      </c>
      <c r="K189" s="79">
        <f t="shared" si="5"/>
        <v>0</v>
      </c>
    </row>
    <row r="190" spans="1:11" ht="14.35" x14ac:dyDescent="0.5">
      <c r="A190" s="100" t="s">
        <v>865</v>
      </c>
      <c r="B190" s="100" t="s">
        <v>864</v>
      </c>
      <c r="C190" s="77"/>
      <c r="D190" s="81"/>
      <c r="E190" s="80"/>
      <c r="F190" s="80"/>
      <c r="G190" s="80"/>
      <c r="H190" s="80"/>
      <c r="I190" s="79">
        <f t="shared" si="7"/>
        <v>0</v>
      </c>
      <c r="J190" s="78" t="s">
        <v>274</v>
      </c>
      <c r="K190" s="79">
        <f t="shared" si="5"/>
        <v>0</v>
      </c>
    </row>
    <row r="191" spans="1:11" ht="14.35" x14ac:dyDescent="0.5">
      <c r="A191" s="100" t="s">
        <v>873</v>
      </c>
      <c r="B191" s="100" t="s">
        <v>872</v>
      </c>
      <c r="C191" s="77"/>
      <c r="D191" s="81"/>
      <c r="E191" s="80"/>
      <c r="F191" s="80"/>
      <c r="G191" s="80"/>
      <c r="H191" s="80"/>
      <c r="I191" s="79">
        <f t="shared" si="7"/>
        <v>0</v>
      </c>
      <c r="J191" s="78" t="s">
        <v>274</v>
      </c>
      <c r="K191" s="79">
        <f t="shared" si="5"/>
        <v>0</v>
      </c>
    </row>
    <row r="192" spans="1:11" ht="14.35" x14ac:dyDescent="0.5">
      <c r="A192" s="91">
        <v>27250</v>
      </c>
      <c r="B192" s="68" t="s">
        <v>772</v>
      </c>
      <c r="C192" s="77"/>
      <c r="E192" s="80"/>
      <c r="G192" s="78">
        <f>-D192</f>
        <v>0</v>
      </c>
      <c r="I192" s="79">
        <f t="shared" si="7"/>
        <v>0</v>
      </c>
      <c r="J192" s="78" t="s">
        <v>267</v>
      </c>
      <c r="K192" s="79">
        <f t="shared" si="5"/>
        <v>0</v>
      </c>
    </row>
    <row r="193" spans="1:11" ht="14.35" x14ac:dyDescent="0.5">
      <c r="A193" s="69" t="s">
        <v>770</v>
      </c>
      <c r="B193" s="68" t="s">
        <v>771</v>
      </c>
      <c r="C193" s="77"/>
      <c r="D193" s="81"/>
      <c r="G193" s="78">
        <f>-E193</f>
        <v>0</v>
      </c>
      <c r="I193" s="79">
        <f t="shared" si="7"/>
        <v>0</v>
      </c>
      <c r="J193" s="78" t="s">
        <v>267</v>
      </c>
      <c r="K193" s="79">
        <f t="shared" si="5"/>
        <v>0</v>
      </c>
    </row>
    <row r="194" spans="1:11" ht="14.35" x14ac:dyDescent="0.5">
      <c r="A194" s="68" t="s">
        <v>477</v>
      </c>
      <c r="B194" s="68" t="s">
        <v>137</v>
      </c>
      <c r="C194" s="77"/>
      <c r="D194" s="81"/>
      <c r="E194" s="80"/>
      <c r="I194" s="79">
        <f t="shared" si="7"/>
        <v>0</v>
      </c>
      <c r="J194" s="78" t="s">
        <v>861</v>
      </c>
      <c r="K194" s="79">
        <f t="shared" si="5"/>
        <v>0</v>
      </c>
    </row>
    <row r="195" spans="1:11" ht="14.35" x14ac:dyDescent="0.5">
      <c r="A195" s="69" t="s">
        <v>773</v>
      </c>
      <c r="B195" s="68" t="s">
        <v>605</v>
      </c>
      <c r="C195" s="77"/>
      <c r="E195" s="80"/>
      <c r="I195" s="79">
        <f t="shared" si="7"/>
        <v>0</v>
      </c>
      <c r="J195" s="78" t="s">
        <v>278</v>
      </c>
      <c r="K195" s="79">
        <f t="shared" si="5"/>
        <v>0</v>
      </c>
    </row>
    <row r="196" spans="1:11" ht="14.35" x14ac:dyDescent="0.5">
      <c r="A196" s="69" t="s">
        <v>774</v>
      </c>
      <c r="B196" s="68" t="s">
        <v>606</v>
      </c>
      <c r="C196" s="77"/>
      <c r="E196" s="80"/>
      <c r="H196" s="78">
        <f>'P&amp;L-Detail 10.18 '!I148</f>
        <v>0</v>
      </c>
      <c r="I196" s="79">
        <f>SUM(C196:H196)</f>
        <v>0</v>
      </c>
      <c r="J196" s="78" t="s">
        <v>278</v>
      </c>
      <c r="K196" s="79">
        <f t="shared" si="5"/>
        <v>0</v>
      </c>
    </row>
    <row r="197" spans="1:11" x14ac:dyDescent="0.4">
      <c r="A197" s="68" t="s">
        <v>478</v>
      </c>
      <c r="B197" s="68" t="s">
        <v>138</v>
      </c>
      <c r="C197" s="77"/>
      <c r="I197" s="79">
        <f t="shared" si="7"/>
        <v>0</v>
      </c>
      <c r="J197" s="78" t="s">
        <v>278</v>
      </c>
      <c r="K197" s="79">
        <f t="shared" si="5"/>
        <v>0</v>
      </c>
    </row>
    <row r="198" spans="1:11" x14ac:dyDescent="0.4">
      <c r="A198" s="68" t="s">
        <v>479</v>
      </c>
      <c r="B198" s="68" t="s">
        <v>139</v>
      </c>
      <c r="C198" s="77"/>
      <c r="F198" s="78">
        <f>-E198-D198</f>
        <v>0</v>
      </c>
      <c r="I198" s="79">
        <f t="shared" si="7"/>
        <v>0</v>
      </c>
      <c r="J198" s="78" t="s">
        <v>276</v>
      </c>
      <c r="K198" s="79">
        <f t="shared" si="5"/>
        <v>0</v>
      </c>
    </row>
    <row r="199" spans="1:11" ht="14.35" x14ac:dyDescent="0.5">
      <c r="A199" s="68" t="s">
        <v>480</v>
      </c>
      <c r="B199" s="68" t="s">
        <v>140</v>
      </c>
      <c r="C199" s="77"/>
      <c r="D199" s="81"/>
      <c r="E199" s="80"/>
      <c r="I199" s="79">
        <f t="shared" si="7"/>
        <v>0</v>
      </c>
      <c r="J199" s="78" t="s">
        <v>275</v>
      </c>
      <c r="K199" s="79">
        <f t="shared" si="5"/>
        <v>0</v>
      </c>
    </row>
    <row r="200" spans="1:11" ht="14.35" x14ac:dyDescent="0.5">
      <c r="A200" s="68" t="s">
        <v>481</v>
      </c>
      <c r="B200" s="68" t="s">
        <v>141</v>
      </c>
      <c r="C200" s="77"/>
      <c r="D200" s="81"/>
      <c r="E200" s="80"/>
      <c r="I200" s="79">
        <f t="shared" si="7"/>
        <v>0</v>
      </c>
      <c r="J200" s="78" t="s">
        <v>277</v>
      </c>
      <c r="K200" s="79">
        <f t="shared" ref="K200:K201" si="8">I200</f>
        <v>0</v>
      </c>
    </row>
    <row r="201" spans="1:11" x14ac:dyDescent="0.4">
      <c r="A201" s="68" t="s">
        <v>304</v>
      </c>
      <c r="B201" s="68" t="s">
        <v>142</v>
      </c>
      <c r="C201" s="77"/>
      <c r="I201" s="79">
        <f t="shared" si="7"/>
        <v>0</v>
      </c>
      <c r="J201" s="78" t="s">
        <v>278</v>
      </c>
      <c r="K201" s="79">
        <f t="shared" si="8"/>
        <v>0</v>
      </c>
    </row>
    <row r="202" spans="1:11" x14ac:dyDescent="0.4">
      <c r="A202" s="76" t="s">
        <v>483</v>
      </c>
      <c r="B202" s="8"/>
      <c r="C202" s="20">
        <f>SUM(C6:C81)+SUM(C82:C201)</f>
        <v>0</v>
      </c>
      <c r="D202" s="119">
        <f t="shared" ref="D202:K202" si="9">SUM(D6:D81)+SUM(D82:D201)</f>
        <v>0</v>
      </c>
      <c r="E202" s="20">
        <f t="shared" si="9"/>
        <v>0</v>
      </c>
      <c r="F202" s="20">
        <f t="shared" si="9"/>
        <v>0</v>
      </c>
      <c r="G202" s="20">
        <f t="shared" si="9"/>
        <v>0</v>
      </c>
      <c r="H202" s="20">
        <f t="shared" si="9"/>
        <v>0</v>
      </c>
      <c r="I202" s="20">
        <f t="shared" si="9"/>
        <v>0</v>
      </c>
      <c r="J202" s="20">
        <f t="shared" si="9"/>
        <v>0</v>
      </c>
      <c r="K202" s="20">
        <f t="shared" si="9"/>
        <v>0</v>
      </c>
    </row>
    <row r="203" spans="1:11" x14ac:dyDescent="0.4">
      <c r="B203" s="8"/>
    </row>
    <row r="204" spans="1:11" x14ac:dyDescent="0.4">
      <c r="B204" s="8" t="s">
        <v>261</v>
      </c>
    </row>
    <row r="205" spans="1:11" x14ac:dyDescent="0.4">
      <c r="B205" s="76" t="s">
        <v>285</v>
      </c>
      <c r="C205" s="78">
        <f>SUM(C6:C81)</f>
        <v>0</v>
      </c>
      <c r="D205" s="89">
        <f>SUM(D6:D81)</f>
        <v>0</v>
      </c>
      <c r="E205" s="78">
        <f>SUM(E6:E81)</f>
        <v>0</v>
      </c>
      <c r="K205" s="78">
        <f>SUM(K6:K81)</f>
        <v>0</v>
      </c>
    </row>
    <row r="206" spans="1:11" x14ac:dyDescent="0.4">
      <c r="B206" s="76" t="s">
        <v>286</v>
      </c>
      <c r="C206" s="78">
        <f>SUM(C82:C194)</f>
        <v>0</v>
      </c>
      <c r="D206" s="89">
        <f>SUM(D82:D194)</f>
        <v>0</v>
      </c>
      <c r="E206" s="78">
        <f>SUM(E82:E194)</f>
        <v>0</v>
      </c>
      <c r="H206" s="78">
        <f>374064.27+C201</f>
        <v>374064.27</v>
      </c>
      <c r="K206" s="78">
        <f>SUM(K82:K194)</f>
        <v>0</v>
      </c>
    </row>
    <row r="207" spans="1:11" x14ac:dyDescent="0.4">
      <c r="B207" s="76" t="s">
        <v>607</v>
      </c>
      <c r="C207" s="78">
        <f>SUM(C195:C201)</f>
        <v>0</v>
      </c>
      <c r="D207" s="89">
        <f>SUM(D195:D201)</f>
        <v>0</v>
      </c>
      <c r="E207" s="78">
        <f>SUM(E195:E201)</f>
        <v>0</v>
      </c>
      <c r="K207" s="78">
        <f>SUM(K195:K201)</f>
        <v>0</v>
      </c>
    </row>
    <row r="208" spans="1:11" x14ac:dyDescent="0.4">
      <c r="B208" s="76" t="s">
        <v>483</v>
      </c>
      <c r="C208" s="78">
        <f>SUM(C205:C207)</f>
        <v>0</v>
      </c>
      <c r="D208" s="89">
        <f>SUM(D205:D207)</f>
        <v>0</v>
      </c>
      <c r="E208" s="78">
        <f>SUM(E205:E207)</f>
        <v>0</v>
      </c>
      <c r="K208" s="78">
        <f>SUM(K205:K207)</f>
        <v>0</v>
      </c>
    </row>
    <row r="209" spans="1:5" x14ac:dyDescent="0.4">
      <c r="A209" s="68"/>
      <c r="B209" s="68"/>
      <c r="C209" s="77"/>
      <c r="D209" s="77"/>
      <c r="E209" s="76"/>
    </row>
    <row r="210" spans="1:5" x14ac:dyDescent="0.4">
      <c r="A210" s="68"/>
      <c r="B210" s="68"/>
      <c r="C210" s="77"/>
      <c r="D210" s="77"/>
      <c r="E210" s="76"/>
    </row>
    <row r="211" spans="1:5" x14ac:dyDescent="0.4">
      <c r="A211" s="68"/>
      <c r="B211" s="68"/>
      <c r="C211" s="77"/>
      <c r="D211" s="77"/>
      <c r="E211" s="76"/>
    </row>
    <row r="212" spans="1:5" x14ac:dyDescent="0.4">
      <c r="A212" s="68"/>
      <c r="B212" s="68"/>
      <c r="C212" s="77"/>
      <c r="D212" s="77"/>
      <c r="E212" s="76"/>
    </row>
    <row r="213" spans="1:5" x14ac:dyDescent="0.4">
      <c r="A213" s="68"/>
      <c r="B213" s="68"/>
      <c r="C213" s="77"/>
      <c r="D213" s="77"/>
      <c r="E213" s="76"/>
    </row>
    <row r="214" spans="1:5" x14ac:dyDescent="0.4">
      <c r="A214" s="68"/>
      <c r="B214" s="68"/>
      <c r="C214" s="77"/>
      <c r="D214" s="77"/>
      <c r="E214" s="76"/>
    </row>
    <row r="215" spans="1:5" x14ac:dyDescent="0.4">
      <c r="A215" s="68"/>
      <c r="B215" s="68"/>
      <c r="C215" s="77"/>
      <c r="D215" s="77"/>
      <c r="E215" s="76"/>
    </row>
    <row r="216" spans="1:5" x14ac:dyDescent="0.4">
      <c r="A216" s="100"/>
      <c r="B216" s="100"/>
      <c r="C216" s="77"/>
      <c r="D216" s="77"/>
      <c r="E216" s="76"/>
    </row>
    <row r="217" spans="1:5" x14ac:dyDescent="0.4">
      <c r="A217" s="100"/>
      <c r="B217" s="100"/>
      <c r="C217" s="77"/>
      <c r="D217" s="77"/>
      <c r="E217" s="76"/>
    </row>
    <row r="218" spans="1:5" x14ac:dyDescent="0.4">
      <c r="A218" s="100"/>
      <c r="B218" s="100"/>
      <c r="C218" s="77"/>
      <c r="D218" s="77"/>
      <c r="E218" s="76"/>
    </row>
    <row r="219" spans="1:5" x14ac:dyDescent="0.4">
      <c r="A219" s="100"/>
      <c r="B219" s="100"/>
      <c r="C219" s="77"/>
      <c r="D219" s="77"/>
      <c r="E219" s="76"/>
    </row>
    <row r="220" spans="1:5" x14ac:dyDescent="0.4">
      <c r="A220" s="100"/>
      <c r="B220" s="100"/>
      <c r="C220" s="77"/>
      <c r="D220" s="77"/>
      <c r="E220" s="76"/>
    </row>
    <row r="221" spans="1:5" x14ac:dyDescent="0.4">
      <c r="A221" s="100"/>
      <c r="B221" s="100"/>
      <c r="C221" s="77"/>
      <c r="D221" s="77"/>
      <c r="E221" s="76"/>
    </row>
    <row r="222" spans="1:5" x14ac:dyDescent="0.4">
      <c r="A222" s="100"/>
      <c r="B222" s="100"/>
      <c r="C222" s="77"/>
      <c r="D222" s="77"/>
      <c r="E222" s="76"/>
    </row>
    <row r="223" spans="1:5" x14ac:dyDescent="0.4">
      <c r="A223" s="100"/>
      <c r="B223" s="100"/>
      <c r="C223" s="77"/>
      <c r="D223" s="77"/>
      <c r="E223" s="76"/>
    </row>
    <row r="224" spans="1:5" x14ac:dyDescent="0.4">
      <c r="A224" s="100"/>
      <c r="B224" s="100"/>
      <c r="C224" s="77"/>
      <c r="D224" s="77"/>
      <c r="E224" s="76"/>
    </row>
    <row r="225" spans="1:12" x14ac:dyDescent="0.4">
      <c r="A225" s="100"/>
      <c r="B225" s="100"/>
      <c r="C225" s="77"/>
      <c r="D225" s="77"/>
      <c r="E225" s="76"/>
    </row>
    <row r="226" spans="1:12" x14ac:dyDescent="0.4">
      <c r="A226" s="100"/>
      <c r="B226" s="100"/>
      <c r="C226" s="77"/>
      <c r="D226" s="77"/>
      <c r="E226" s="76"/>
    </row>
    <row r="227" spans="1:12" x14ac:dyDescent="0.4">
      <c r="A227" s="100"/>
      <c r="B227" s="100"/>
      <c r="C227" s="77"/>
      <c r="D227" s="77"/>
      <c r="E227" s="76"/>
    </row>
    <row r="228" spans="1:12" x14ac:dyDescent="0.4">
      <c r="B228" s="68"/>
      <c r="C228" s="77"/>
      <c r="D228" s="77"/>
    </row>
    <row r="229" spans="1:12" x14ac:dyDescent="0.4">
      <c r="B229" s="68"/>
      <c r="C229" s="77"/>
      <c r="E229" s="76"/>
    </row>
    <row r="230" spans="1:12" x14ac:dyDescent="0.4">
      <c r="A230" s="68"/>
      <c r="B230" s="68"/>
      <c r="C230" s="77"/>
      <c r="D230" s="77"/>
    </row>
    <row r="231" spans="1:12" x14ac:dyDescent="0.4">
      <c r="A231" s="68"/>
      <c r="B231" s="68"/>
      <c r="C231" s="77"/>
      <c r="D231" s="77"/>
      <c r="E231" s="76"/>
    </row>
    <row r="232" spans="1:12" x14ac:dyDescent="0.4">
      <c r="A232" s="68"/>
      <c r="B232" s="68"/>
      <c r="C232" s="77"/>
      <c r="E232" s="76"/>
    </row>
    <row r="233" spans="1:12" x14ac:dyDescent="0.4">
      <c r="A233" s="68"/>
      <c r="B233" s="68"/>
      <c r="C233" s="77"/>
      <c r="E233" s="76"/>
    </row>
    <row r="234" spans="1:12" x14ac:dyDescent="0.4">
      <c r="A234" s="68"/>
      <c r="B234" s="68"/>
      <c r="C234" s="77"/>
    </row>
    <row r="235" spans="1:12" x14ac:dyDescent="0.4">
      <c r="D235" s="77"/>
      <c r="E235" s="76"/>
      <c r="F235" s="76"/>
      <c r="G235" s="76"/>
      <c r="H235" s="76"/>
      <c r="I235" s="76"/>
      <c r="J235" s="76"/>
      <c r="K235" s="76"/>
      <c r="L235" s="76"/>
    </row>
    <row r="236" spans="1:12" x14ac:dyDescent="0.4">
      <c r="D236" s="77"/>
      <c r="E236" s="76"/>
      <c r="F236" s="76"/>
      <c r="G236" s="76"/>
      <c r="H236" s="76"/>
      <c r="I236" s="76"/>
      <c r="J236" s="76"/>
      <c r="K236" s="76"/>
      <c r="L236" s="76"/>
    </row>
    <row r="237" spans="1:12" x14ac:dyDescent="0.4">
      <c r="D237" s="77"/>
      <c r="E237" s="76"/>
      <c r="F237" s="76"/>
      <c r="G237" s="76"/>
      <c r="H237" s="76"/>
      <c r="I237" s="76"/>
      <c r="J237" s="76"/>
      <c r="K237" s="76"/>
      <c r="L237" s="76"/>
    </row>
    <row r="238" spans="1:12" x14ac:dyDescent="0.4">
      <c r="D238" s="77"/>
      <c r="E238" s="76"/>
      <c r="F238" s="76"/>
      <c r="G238" s="76"/>
      <c r="H238" s="76"/>
      <c r="I238" s="76"/>
      <c r="J238" s="76"/>
      <c r="K238" s="76"/>
      <c r="L238" s="76"/>
    </row>
    <row r="239" spans="1:12" x14ac:dyDescent="0.4">
      <c r="D239" s="77"/>
      <c r="E239" s="76"/>
      <c r="F239" s="76"/>
      <c r="G239" s="76"/>
      <c r="H239" s="76"/>
      <c r="I239" s="76"/>
      <c r="J239" s="76"/>
      <c r="K239" s="76"/>
      <c r="L239" s="76"/>
    </row>
    <row r="240" spans="1:12" x14ac:dyDescent="0.4">
      <c r="D240" s="77"/>
      <c r="E240" s="76"/>
      <c r="F240" s="76"/>
      <c r="G240" s="76"/>
      <c r="H240" s="76"/>
      <c r="I240" s="76"/>
      <c r="J240" s="76"/>
      <c r="K240" s="76"/>
      <c r="L240" s="76"/>
    </row>
    <row r="241" spans="4:12" x14ac:dyDescent="0.4">
      <c r="D241" s="77"/>
      <c r="E241" s="76"/>
      <c r="F241" s="76"/>
      <c r="G241" s="76"/>
      <c r="H241" s="76"/>
      <c r="I241" s="76"/>
      <c r="J241" s="76"/>
      <c r="K241" s="77">
        <f>SUM(K89:K104)+SUM(K115:K144)+SUM(K151:K191)</f>
        <v>0</v>
      </c>
      <c r="L241" s="76"/>
    </row>
    <row r="242" spans="4:12" x14ac:dyDescent="0.4">
      <c r="D242" s="77"/>
      <c r="E242" s="76"/>
      <c r="F242" s="76"/>
      <c r="G242" s="76"/>
      <c r="H242" s="76"/>
      <c r="I242" s="76"/>
      <c r="J242" s="76"/>
      <c r="K242" s="76"/>
      <c r="L242" s="76"/>
    </row>
    <row r="243" spans="4:12" x14ac:dyDescent="0.4">
      <c r="D243" s="77"/>
      <c r="E243" s="76"/>
      <c r="F243" s="76"/>
      <c r="G243" s="76"/>
      <c r="H243" s="76"/>
      <c r="I243" s="76"/>
      <c r="J243" s="76"/>
      <c r="K243" s="76"/>
      <c r="L243" s="76"/>
    </row>
    <row r="244" spans="4:12" x14ac:dyDescent="0.4">
      <c r="D244" s="77"/>
      <c r="E244" s="76"/>
      <c r="F244" s="76"/>
      <c r="G244" s="76"/>
      <c r="H244" s="76"/>
      <c r="I244" s="76"/>
      <c r="J244" s="76"/>
      <c r="K244" s="76"/>
      <c r="L244" s="76"/>
    </row>
    <row r="245" spans="4:12" x14ac:dyDescent="0.4">
      <c r="D245" s="77"/>
      <c r="E245" s="76"/>
      <c r="F245" s="76"/>
      <c r="G245" s="76"/>
      <c r="H245" s="76"/>
      <c r="I245" s="76"/>
      <c r="J245" s="76"/>
      <c r="K245" s="76"/>
      <c r="L245" s="76"/>
    </row>
    <row r="246" spans="4:12" x14ac:dyDescent="0.4">
      <c r="D246" s="77"/>
      <c r="E246" s="76"/>
      <c r="F246" s="76"/>
      <c r="G246" s="76"/>
      <c r="H246" s="76"/>
      <c r="I246" s="76"/>
      <c r="J246" s="76"/>
      <c r="K246" s="76"/>
      <c r="L246" s="76"/>
    </row>
    <row r="459" spans="3:4" x14ac:dyDescent="0.4">
      <c r="C459" s="14"/>
      <c r="D459" s="120"/>
    </row>
    <row r="460" spans="3:4" x14ac:dyDescent="0.4">
      <c r="C460" s="14"/>
      <c r="D460" s="120"/>
    </row>
    <row r="461" spans="3:4" x14ac:dyDescent="0.4">
      <c r="C461" s="14"/>
      <c r="D461" s="120"/>
    </row>
    <row r="462" spans="3:4" x14ac:dyDescent="0.4">
      <c r="C462" s="14"/>
      <c r="D462" s="120"/>
    </row>
    <row r="463" spans="3:4" x14ac:dyDescent="0.4">
      <c r="C463" s="14"/>
      <c r="D463" s="120"/>
    </row>
    <row r="464" spans="3:4" x14ac:dyDescent="0.4">
      <c r="C464" s="14"/>
      <c r="D464" s="120"/>
    </row>
    <row r="465" spans="3:4" x14ac:dyDescent="0.4">
      <c r="C465" s="14"/>
      <c r="D465" s="120"/>
    </row>
    <row r="466" spans="3:4" x14ac:dyDescent="0.4">
      <c r="C466" s="14"/>
      <c r="D466" s="120"/>
    </row>
    <row r="467" spans="3:4" x14ac:dyDescent="0.4">
      <c r="C467" s="14"/>
      <c r="D467" s="120"/>
    </row>
    <row r="468" spans="3:4" x14ac:dyDescent="0.4">
      <c r="C468" s="14"/>
      <c r="D468" s="120"/>
    </row>
    <row r="469" spans="3:4" x14ac:dyDescent="0.4">
      <c r="C469" s="14"/>
      <c r="D469" s="120"/>
    </row>
    <row r="470" spans="3:4" x14ac:dyDescent="0.4">
      <c r="C470" s="14"/>
      <c r="D470" s="120"/>
    </row>
    <row r="471" spans="3:4" x14ac:dyDescent="0.4">
      <c r="C471" s="14"/>
      <c r="D471" s="120"/>
    </row>
    <row r="472" spans="3:4" x14ac:dyDescent="0.4">
      <c r="C472" s="14"/>
      <c r="D472" s="120"/>
    </row>
    <row r="473" spans="3:4" x14ac:dyDescent="0.4">
      <c r="C473" s="14"/>
      <c r="D473" s="120"/>
    </row>
    <row r="474" spans="3:4" x14ac:dyDescent="0.4">
      <c r="C474" s="14"/>
      <c r="D474" s="120"/>
    </row>
    <row r="475" spans="3:4" x14ac:dyDescent="0.4">
      <c r="C475" s="14"/>
      <c r="D475" s="120"/>
    </row>
    <row r="476" spans="3:4" x14ac:dyDescent="0.4">
      <c r="C476" s="14"/>
      <c r="D476" s="120"/>
    </row>
    <row r="477" spans="3:4" x14ac:dyDescent="0.4">
      <c r="C477" s="14"/>
      <c r="D477" s="120"/>
    </row>
    <row r="478" spans="3:4" x14ac:dyDescent="0.4">
      <c r="C478" s="14"/>
      <c r="D478" s="120"/>
    </row>
    <row r="479" spans="3:4" x14ac:dyDescent="0.4">
      <c r="C479" s="14"/>
      <c r="D479" s="120"/>
    </row>
    <row r="480" spans="3:4" x14ac:dyDescent="0.4">
      <c r="C480" s="14"/>
      <c r="D480" s="120"/>
    </row>
    <row r="481" spans="3:4" x14ac:dyDescent="0.4">
      <c r="C481" s="14"/>
      <c r="D481" s="120"/>
    </row>
    <row r="482" spans="3:4" x14ac:dyDescent="0.4">
      <c r="C482" s="14"/>
      <c r="D482" s="120"/>
    </row>
    <row r="483" spans="3:4" x14ac:dyDescent="0.4">
      <c r="C483" s="14"/>
      <c r="D483" s="120"/>
    </row>
    <row r="484" spans="3:4" x14ac:dyDescent="0.4">
      <c r="C484" s="14"/>
      <c r="D484" s="120"/>
    </row>
    <row r="485" spans="3:4" x14ac:dyDescent="0.4">
      <c r="C485" s="14"/>
      <c r="D485" s="120"/>
    </row>
    <row r="486" spans="3:4" x14ac:dyDescent="0.4">
      <c r="C486" s="14"/>
      <c r="D486" s="120"/>
    </row>
    <row r="487" spans="3:4" x14ac:dyDescent="0.4">
      <c r="C487" s="14"/>
      <c r="D487" s="120"/>
    </row>
    <row r="488" spans="3:4" x14ac:dyDescent="0.4">
      <c r="C488" s="14"/>
      <c r="D488" s="120"/>
    </row>
    <row r="489" spans="3:4" x14ac:dyDescent="0.4">
      <c r="C489" s="14"/>
      <c r="D489" s="120"/>
    </row>
    <row r="490" spans="3:4" x14ac:dyDescent="0.4">
      <c r="C490" s="14"/>
      <c r="D490" s="120"/>
    </row>
  </sheetData>
  <pageMargins left="0.7" right="0.7" top="0.75" bottom="0.75" header="0.3" footer="0.3"/>
  <pageSetup orientation="portrait"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158"/>
  <sheetViews>
    <sheetView workbookViewId="0">
      <selection activeCell="P21" sqref="P21"/>
    </sheetView>
  </sheetViews>
  <sheetFormatPr defaultColWidth="9.05859375" defaultRowHeight="12.7" outlineLevelCol="1" x14ac:dyDescent="0.4"/>
  <cols>
    <col min="1" max="1" width="8.46875" style="21" bestFit="1" customWidth="1"/>
    <col min="2" max="2" width="43.64453125" style="9" bestFit="1" customWidth="1"/>
    <col min="3" max="3" width="13.64453125" style="10" hidden="1" customWidth="1" outlineLevel="1"/>
    <col min="4" max="4" width="13.52734375" style="10" hidden="1" customWidth="1" outlineLevel="1"/>
    <col min="5" max="5" width="11.3515625" style="78" hidden="1" customWidth="1" outlineLevel="1"/>
    <col min="6" max="7" width="11" style="78" hidden="1" customWidth="1" outlineLevel="1"/>
    <col min="8" max="8" width="12.64453125" style="78" hidden="1" customWidth="1" outlineLevel="1"/>
    <col min="9" max="9" width="15.64453125" style="105" hidden="1" customWidth="1" outlineLevel="1"/>
    <col min="10" max="10" width="15.46875" style="21" hidden="1" customWidth="1" outlineLevel="1"/>
    <col min="11" max="11" width="13.52734375" style="79" customWidth="1" collapsed="1"/>
    <col min="12" max="12" width="10" style="21" customWidth="1"/>
    <col min="13" max="13" width="9.05859375" style="21" customWidth="1"/>
    <col min="14" max="14" width="13.17578125" style="21" customWidth="1"/>
    <col min="15" max="15" width="12.17578125" style="10" customWidth="1"/>
    <col min="16" max="16384" width="9.05859375" style="21"/>
  </cols>
  <sheetData>
    <row r="1" spans="1:15" x14ac:dyDescent="0.4">
      <c r="A1" s="433" t="s">
        <v>0</v>
      </c>
      <c r="B1" s="433"/>
      <c r="M1" s="76"/>
      <c r="N1" s="76"/>
    </row>
    <row r="2" spans="1:15" x14ac:dyDescent="0.4">
      <c r="A2" s="434" t="s">
        <v>603</v>
      </c>
      <c r="B2" s="434"/>
      <c r="M2" s="76"/>
      <c r="N2" s="76"/>
    </row>
    <row r="3" spans="1:15" x14ac:dyDescent="0.4">
      <c r="A3" s="434" t="s">
        <v>898</v>
      </c>
      <c r="B3" s="434"/>
      <c r="D3" s="10" t="s">
        <v>261</v>
      </c>
      <c r="E3" s="78" t="s">
        <v>261</v>
      </c>
      <c r="F3" s="10"/>
      <c r="G3" s="10"/>
      <c r="H3" s="10" t="s">
        <v>261</v>
      </c>
      <c r="I3" s="105" t="s">
        <v>261</v>
      </c>
      <c r="J3" s="107"/>
      <c r="M3" s="76"/>
      <c r="N3" s="76"/>
    </row>
    <row r="5" spans="1:15" s="10" customFormat="1" x14ac:dyDescent="0.4">
      <c r="A5" s="21" t="s">
        <v>484</v>
      </c>
      <c r="B5" s="9" t="s">
        <v>279</v>
      </c>
      <c r="C5" s="108" t="s">
        <v>0</v>
      </c>
      <c r="D5" s="108" t="s">
        <v>2</v>
      </c>
      <c r="E5" s="78" t="s">
        <v>3</v>
      </c>
      <c r="F5" s="108" t="s">
        <v>485</v>
      </c>
      <c r="G5" s="108" t="s">
        <v>486</v>
      </c>
      <c r="H5" s="108" t="s">
        <v>487</v>
      </c>
      <c r="I5" s="105" t="s">
        <v>1</v>
      </c>
      <c r="J5" s="21" t="s">
        <v>280</v>
      </c>
      <c r="K5" s="19" t="s">
        <v>281</v>
      </c>
      <c r="M5" s="78"/>
      <c r="N5" s="413" t="s">
        <v>282</v>
      </c>
      <c r="O5" s="423" t="s">
        <v>284</v>
      </c>
    </row>
    <row r="6" spans="1:15" s="10" customFormat="1" x14ac:dyDescent="0.4">
      <c r="A6" s="106" t="s">
        <v>488</v>
      </c>
      <c r="B6" s="12" t="s">
        <v>143</v>
      </c>
      <c r="D6" s="78"/>
      <c r="E6" s="78"/>
      <c r="F6" s="78"/>
      <c r="G6" s="78"/>
      <c r="H6" s="78"/>
      <c r="I6" s="79">
        <f t="shared" ref="I6:I73" si="0">SUM(C6:H6)</f>
        <v>0</v>
      </c>
      <c r="J6" s="78" t="s">
        <v>287</v>
      </c>
      <c r="K6" s="79">
        <f>I6*1</f>
        <v>0</v>
      </c>
      <c r="L6" s="78"/>
      <c r="M6" s="78"/>
      <c r="N6" s="414" t="s">
        <v>287</v>
      </c>
      <c r="O6" s="423">
        <v>0</v>
      </c>
    </row>
    <row r="7" spans="1:15" s="10" customFormat="1" x14ac:dyDescent="0.4">
      <c r="A7" s="106" t="s">
        <v>489</v>
      </c>
      <c r="B7" s="12" t="s">
        <v>144</v>
      </c>
      <c r="D7" s="78"/>
      <c r="E7" s="78"/>
      <c r="F7" s="78"/>
      <c r="G7" s="78"/>
      <c r="H7" s="78"/>
      <c r="I7" s="79">
        <f t="shared" si="0"/>
        <v>0</v>
      </c>
      <c r="J7" s="78" t="s">
        <v>287</v>
      </c>
      <c r="K7" s="79">
        <f t="shared" ref="K7:K73" si="1">I7*1</f>
        <v>0</v>
      </c>
      <c r="L7" s="78"/>
      <c r="M7" s="78"/>
      <c r="N7" s="414" t="s">
        <v>288</v>
      </c>
      <c r="O7" s="423">
        <v>0</v>
      </c>
    </row>
    <row r="8" spans="1:15" s="10" customFormat="1" x14ac:dyDescent="0.4">
      <c r="A8" s="106" t="s">
        <v>490</v>
      </c>
      <c r="B8" s="12" t="s">
        <v>145</v>
      </c>
      <c r="D8" s="78"/>
      <c r="E8" s="78"/>
      <c r="F8" s="78"/>
      <c r="G8" s="78"/>
      <c r="H8" s="78"/>
      <c r="I8" s="79">
        <f t="shared" si="0"/>
        <v>0</v>
      </c>
      <c r="J8" s="78" t="s">
        <v>287</v>
      </c>
      <c r="K8" s="79">
        <f t="shared" si="1"/>
        <v>0</v>
      </c>
      <c r="L8" s="78"/>
      <c r="M8" s="78"/>
      <c r="N8" s="414" t="s">
        <v>292</v>
      </c>
      <c r="O8" s="423">
        <v>0</v>
      </c>
    </row>
    <row r="9" spans="1:15" s="10" customFormat="1" x14ac:dyDescent="0.4">
      <c r="A9" s="106" t="s">
        <v>491</v>
      </c>
      <c r="B9" s="12" t="s">
        <v>146</v>
      </c>
      <c r="D9" s="78"/>
      <c r="E9" s="78"/>
      <c r="F9" s="78"/>
      <c r="G9" s="78"/>
      <c r="H9" s="78"/>
      <c r="I9" s="79">
        <f t="shared" si="0"/>
        <v>0</v>
      </c>
      <c r="J9" s="78" t="s">
        <v>287</v>
      </c>
      <c r="K9" s="79">
        <f t="shared" si="1"/>
        <v>0</v>
      </c>
      <c r="L9" s="78"/>
      <c r="M9" s="78"/>
      <c r="N9" s="414" t="s">
        <v>291</v>
      </c>
      <c r="O9" s="423">
        <v>0</v>
      </c>
    </row>
    <row r="10" spans="1:15" s="10" customFormat="1" x14ac:dyDescent="0.4">
      <c r="A10" s="106" t="s">
        <v>492</v>
      </c>
      <c r="B10" s="12" t="s">
        <v>147</v>
      </c>
      <c r="D10" s="78"/>
      <c r="E10" s="78"/>
      <c r="F10" s="78"/>
      <c r="G10" s="78"/>
      <c r="H10" s="78"/>
      <c r="I10" s="79">
        <f t="shared" si="0"/>
        <v>0</v>
      </c>
      <c r="J10" s="78" t="s">
        <v>287</v>
      </c>
      <c r="K10" s="79">
        <f t="shared" si="1"/>
        <v>0</v>
      </c>
      <c r="L10" s="78"/>
      <c r="M10" s="78"/>
      <c r="N10" s="414" t="s">
        <v>289</v>
      </c>
      <c r="O10" s="423">
        <v>0</v>
      </c>
    </row>
    <row r="11" spans="1:15" s="10" customFormat="1" x14ac:dyDescent="0.4">
      <c r="A11" s="69" t="s">
        <v>757</v>
      </c>
      <c r="B11" s="12" t="s">
        <v>758</v>
      </c>
      <c r="D11" s="78"/>
      <c r="E11" s="78"/>
      <c r="F11" s="78"/>
      <c r="G11" s="78"/>
      <c r="H11" s="78">
        <f>-D11</f>
        <v>0</v>
      </c>
      <c r="I11" s="79">
        <f t="shared" si="0"/>
        <v>0</v>
      </c>
      <c r="J11" s="78" t="s">
        <v>287</v>
      </c>
      <c r="K11" s="79">
        <f t="shared" si="1"/>
        <v>0</v>
      </c>
      <c r="L11" s="78"/>
      <c r="M11" s="78"/>
      <c r="N11" s="414" t="s">
        <v>290</v>
      </c>
      <c r="O11" s="423">
        <v>0</v>
      </c>
    </row>
    <row r="12" spans="1:15" s="78" customFormat="1" x14ac:dyDescent="0.4">
      <c r="A12" s="106" t="s">
        <v>493</v>
      </c>
      <c r="B12" s="100" t="s">
        <v>148</v>
      </c>
      <c r="C12" s="10"/>
      <c r="I12" s="79">
        <f t="shared" si="0"/>
        <v>0</v>
      </c>
      <c r="J12" s="78" t="s">
        <v>287</v>
      </c>
      <c r="K12" s="79">
        <f t="shared" si="1"/>
        <v>0</v>
      </c>
      <c r="N12" s="414" t="s">
        <v>299</v>
      </c>
      <c r="O12" s="423">
        <v>0</v>
      </c>
    </row>
    <row r="13" spans="1:15" s="78" customFormat="1" x14ac:dyDescent="0.4">
      <c r="A13" s="106" t="s">
        <v>494</v>
      </c>
      <c r="B13" s="12" t="s">
        <v>149</v>
      </c>
      <c r="C13" s="10"/>
      <c r="I13" s="79">
        <f t="shared" si="0"/>
        <v>0</v>
      </c>
      <c r="J13" s="78" t="s">
        <v>287</v>
      </c>
      <c r="K13" s="79">
        <f t="shared" si="1"/>
        <v>0</v>
      </c>
      <c r="N13" s="414" t="s">
        <v>862</v>
      </c>
      <c r="O13" s="423">
        <v>0</v>
      </c>
    </row>
    <row r="14" spans="1:15" s="78" customFormat="1" x14ac:dyDescent="0.4">
      <c r="A14" s="106" t="s">
        <v>495</v>
      </c>
      <c r="B14" s="12" t="s">
        <v>150</v>
      </c>
      <c r="C14" s="10"/>
      <c r="I14" s="79">
        <f t="shared" si="0"/>
        <v>0</v>
      </c>
      <c r="J14" s="78" t="s">
        <v>287</v>
      </c>
      <c r="K14" s="79">
        <f t="shared" si="1"/>
        <v>0</v>
      </c>
      <c r="N14" s="414" t="s">
        <v>283</v>
      </c>
      <c r="O14" s="423">
        <v>0</v>
      </c>
    </row>
    <row r="15" spans="1:15" s="10" customFormat="1" ht="14.35" x14ac:dyDescent="0.5">
      <c r="A15" s="106" t="s">
        <v>496</v>
      </c>
      <c r="B15" s="12" t="s">
        <v>151</v>
      </c>
      <c r="D15" s="78"/>
      <c r="E15" s="78"/>
      <c r="F15" s="78"/>
      <c r="G15" s="78"/>
      <c r="H15" s="78"/>
      <c r="I15" s="79">
        <f t="shared" si="0"/>
        <v>0</v>
      </c>
      <c r="J15" s="78" t="s">
        <v>287</v>
      </c>
      <c r="K15" s="79">
        <f t="shared" si="1"/>
        <v>0</v>
      </c>
      <c r="L15" s="78"/>
      <c r="M15" s="78"/>
      <c r="N15" s="98"/>
      <c r="O15" s="98"/>
    </row>
    <row r="16" spans="1:15" s="10" customFormat="1" ht="14.35" x14ac:dyDescent="0.5">
      <c r="A16" s="106" t="s">
        <v>497</v>
      </c>
      <c r="B16" s="12" t="s">
        <v>152</v>
      </c>
      <c r="D16" s="78"/>
      <c r="E16" s="78"/>
      <c r="F16" s="78"/>
      <c r="G16" s="78"/>
      <c r="H16" s="78"/>
      <c r="I16" s="79">
        <f t="shared" si="0"/>
        <v>0</v>
      </c>
      <c r="J16" s="78" t="s">
        <v>287</v>
      </c>
      <c r="K16" s="79">
        <f t="shared" si="1"/>
        <v>0</v>
      </c>
      <c r="M16" s="78"/>
      <c r="N16" s="98"/>
      <c r="O16" s="98"/>
    </row>
    <row r="17" spans="1:15" s="10" customFormat="1" x14ac:dyDescent="0.4">
      <c r="A17" s="106" t="s">
        <v>498</v>
      </c>
      <c r="B17" s="12" t="s">
        <v>153</v>
      </c>
      <c r="D17" s="78"/>
      <c r="E17" s="78"/>
      <c r="F17" s="78"/>
      <c r="G17" s="78"/>
      <c r="H17" s="78"/>
      <c r="I17" s="79">
        <f t="shared" si="0"/>
        <v>0</v>
      </c>
      <c r="J17" s="78" t="s">
        <v>287</v>
      </c>
      <c r="K17" s="79">
        <f t="shared" si="1"/>
        <v>0</v>
      </c>
      <c r="M17" s="78"/>
      <c r="N17" s="21"/>
    </row>
    <row r="18" spans="1:15" s="10" customFormat="1" x14ac:dyDescent="0.4">
      <c r="A18" s="106" t="s">
        <v>637</v>
      </c>
      <c r="B18" s="12" t="s">
        <v>638</v>
      </c>
      <c r="D18" s="78"/>
      <c r="E18" s="78"/>
      <c r="F18" s="78"/>
      <c r="G18" s="78"/>
      <c r="H18" s="78"/>
      <c r="I18" s="79">
        <f t="shared" si="0"/>
        <v>0</v>
      </c>
      <c r="J18" s="78" t="s">
        <v>287</v>
      </c>
      <c r="K18" s="79">
        <f t="shared" si="1"/>
        <v>0</v>
      </c>
      <c r="M18" s="78"/>
      <c r="N18" s="21"/>
    </row>
    <row r="19" spans="1:15" s="10" customFormat="1" x14ac:dyDescent="0.4">
      <c r="A19" s="106" t="s">
        <v>499</v>
      </c>
      <c r="B19" s="12" t="s">
        <v>154</v>
      </c>
      <c r="D19" s="78"/>
      <c r="E19" s="78"/>
      <c r="F19" s="78"/>
      <c r="G19" s="78"/>
      <c r="H19" s="78"/>
      <c r="I19" s="79">
        <f t="shared" si="0"/>
        <v>0</v>
      </c>
      <c r="J19" s="78" t="s">
        <v>287</v>
      </c>
      <c r="K19" s="79">
        <f t="shared" si="1"/>
        <v>0</v>
      </c>
      <c r="M19" s="78"/>
      <c r="N19" s="21"/>
    </row>
    <row r="20" spans="1:15" s="10" customFormat="1" x14ac:dyDescent="0.4">
      <c r="A20" s="106" t="s">
        <v>639</v>
      </c>
      <c r="B20" s="12" t="s">
        <v>640</v>
      </c>
      <c r="D20" s="78"/>
      <c r="E20" s="78"/>
      <c r="F20" s="78"/>
      <c r="G20" s="78"/>
      <c r="H20" s="78"/>
      <c r="I20" s="79">
        <f t="shared" si="0"/>
        <v>0</v>
      </c>
      <c r="J20" s="78" t="s">
        <v>287</v>
      </c>
      <c r="K20" s="79">
        <f t="shared" si="1"/>
        <v>0</v>
      </c>
      <c r="M20" s="78"/>
      <c r="N20" s="21"/>
    </row>
    <row r="21" spans="1:15" s="10" customFormat="1" x14ac:dyDescent="0.4">
      <c r="A21" s="106" t="s">
        <v>500</v>
      </c>
      <c r="B21" s="12" t="s">
        <v>155</v>
      </c>
      <c r="D21" s="78"/>
      <c r="E21" s="78"/>
      <c r="F21" s="78"/>
      <c r="G21" s="78"/>
      <c r="H21" s="78"/>
      <c r="I21" s="79">
        <f t="shared" si="0"/>
        <v>0</v>
      </c>
      <c r="J21" s="78" t="s">
        <v>287</v>
      </c>
      <c r="K21" s="79">
        <f t="shared" si="1"/>
        <v>0</v>
      </c>
      <c r="M21" s="78"/>
      <c r="N21" s="21"/>
    </row>
    <row r="22" spans="1:15" s="10" customFormat="1" x14ac:dyDescent="0.4">
      <c r="A22" s="106" t="s">
        <v>501</v>
      </c>
      <c r="B22" s="12" t="s">
        <v>156</v>
      </c>
      <c r="D22" s="78"/>
      <c r="E22" s="78"/>
      <c r="F22" s="78"/>
      <c r="G22" s="78"/>
      <c r="H22" s="78"/>
      <c r="I22" s="79">
        <f t="shared" si="0"/>
        <v>0</v>
      </c>
      <c r="J22" s="78" t="s">
        <v>287</v>
      </c>
      <c r="K22" s="79">
        <f t="shared" si="1"/>
        <v>0</v>
      </c>
      <c r="M22" s="78"/>
      <c r="N22" s="21"/>
    </row>
    <row r="23" spans="1:15" s="10" customFormat="1" x14ac:dyDescent="0.4">
      <c r="A23" s="88" t="s">
        <v>662</v>
      </c>
      <c r="B23" s="100" t="s">
        <v>663</v>
      </c>
      <c r="D23" s="78"/>
      <c r="E23" s="78"/>
      <c r="F23" s="78"/>
      <c r="G23" s="78"/>
      <c r="H23" s="78"/>
      <c r="I23" s="79">
        <f t="shared" si="0"/>
        <v>0</v>
      </c>
      <c r="J23" s="78" t="s">
        <v>287</v>
      </c>
      <c r="K23" s="79">
        <f t="shared" si="1"/>
        <v>0</v>
      </c>
      <c r="M23" s="78"/>
      <c r="N23" s="78"/>
    </row>
    <row r="24" spans="1:15" s="10" customFormat="1" x14ac:dyDescent="0.4">
      <c r="A24" s="106" t="s">
        <v>502</v>
      </c>
      <c r="B24" s="12" t="s">
        <v>157</v>
      </c>
      <c r="D24" s="78"/>
      <c r="E24" s="78"/>
      <c r="F24" s="78"/>
      <c r="G24" s="78"/>
      <c r="H24" s="78"/>
      <c r="I24" s="79">
        <f t="shared" si="0"/>
        <v>0</v>
      </c>
      <c r="J24" s="78" t="s">
        <v>287</v>
      </c>
      <c r="K24" s="79">
        <f t="shared" si="1"/>
        <v>0</v>
      </c>
      <c r="M24" s="78"/>
      <c r="N24" s="78"/>
    </row>
    <row r="25" spans="1:15" s="10" customFormat="1" x14ac:dyDescent="0.4">
      <c r="A25" s="106" t="s">
        <v>699</v>
      </c>
      <c r="B25" s="27" t="s">
        <v>698</v>
      </c>
      <c r="D25" s="78"/>
      <c r="E25" s="78"/>
      <c r="F25" s="78"/>
      <c r="G25" s="78"/>
      <c r="H25" s="78"/>
      <c r="I25" s="79">
        <f t="shared" si="0"/>
        <v>0</v>
      </c>
      <c r="J25" s="78" t="s">
        <v>287</v>
      </c>
      <c r="K25" s="79">
        <f t="shared" si="1"/>
        <v>0</v>
      </c>
      <c r="M25" s="78"/>
      <c r="N25" s="78"/>
    </row>
    <row r="26" spans="1:15" s="10" customFormat="1" x14ac:dyDescent="0.4">
      <c r="A26" s="106" t="s">
        <v>503</v>
      </c>
      <c r="B26" s="12" t="s">
        <v>158</v>
      </c>
      <c r="D26" s="78"/>
      <c r="E26" s="78"/>
      <c r="F26" s="78"/>
      <c r="G26" s="78"/>
      <c r="H26" s="78"/>
      <c r="I26" s="79">
        <f t="shared" si="0"/>
        <v>0</v>
      </c>
      <c r="J26" s="78" t="s">
        <v>287</v>
      </c>
      <c r="K26" s="79">
        <f t="shared" si="1"/>
        <v>0</v>
      </c>
      <c r="M26" s="78"/>
      <c r="N26" s="78"/>
    </row>
    <row r="27" spans="1:15" s="10" customFormat="1" x14ac:dyDescent="0.4">
      <c r="A27" s="106" t="s">
        <v>504</v>
      </c>
      <c r="B27" s="12" t="s">
        <v>159</v>
      </c>
      <c r="D27" s="78"/>
      <c r="E27" s="78"/>
      <c r="F27" s="78"/>
      <c r="G27" s="78"/>
      <c r="H27" s="78"/>
      <c r="I27" s="79">
        <f t="shared" si="0"/>
        <v>0</v>
      </c>
      <c r="J27" s="78" t="s">
        <v>287</v>
      </c>
      <c r="K27" s="79">
        <f t="shared" si="1"/>
        <v>0</v>
      </c>
      <c r="M27" s="78"/>
      <c r="N27" s="78"/>
    </row>
    <row r="28" spans="1:15" s="10" customFormat="1" x14ac:dyDescent="0.4">
      <c r="A28" s="100" t="s">
        <v>680</v>
      </c>
      <c r="B28" s="100" t="s">
        <v>681</v>
      </c>
      <c r="D28" s="78"/>
      <c r="E28" s="78"/>
      <c r="F28" s="78"/>
      <c r="G28" s="78"/>
      <c r="H28" s="78"/>
      <c r="I28" s="79">
        <f t="shared" si="0"/>
        <v>0</v>
      </c>
      <c r="J28" s="78" t="s">
        <v>287</v>
      </c>
      <c r="K28" s="79">
        <f t="shared" si="1"/>
        <v>0</v>
      </c>
      <c r="M28" s="78"/>
      <c r="N28" s="78"/>
    </row>
    <row r="29" spans="1:15" s="10" customFormat="1" x14ac:dyDescent="0.4">
      <c r="A29" s="106" t="s">
        <v>505</v>
      </c>
      <c r="B29" s="12" t="s">
        <v>160</v>
      </c>
      <c r="D29" s="78"/>
      <c r="E29" s="78"/>
      <c r="F29" s="78"/>
      <c r="G29" s="78"/>
      <c r="H29" s="78"/>
      <c r="I29" s="79">
        <f t="shared" si="0"/>
        <v>0</v>
      </c>
      <c r="J29" s="78" t="s">
        <v>287</v>
      </c>
      <c r="K29" s="79">
        <f t="shared" si="1"/>
        <v>0</v>
      </c>
      <c r="M29" s="78"/>
      <c r="N29" s="78"/>
    </row>
    <row r="30" spans="1:15" s="10" customFormat="1" x14ac:dyDescent="0.4">
      <c r="A30" s="106" t="s">
        <v>506</v>
      </c>
      <c r="B30" s="12" t="s">
        <v>161</v>
      </c>
      <c r="D30" s="78"/>
      <c r="E30" s="78"/>
      <c r="F30" s="78"/>
      <c r="G30" s="78"/>
      <c r="H30" s="78"/>
      <c r="I30" s="79">
        <f t="shared" si="0"/>
        <v>0</v>
      </c>
      <c r="J30" s="78" t="s">
        <v>287</v>
      </c>
      <c r="K30" s="79">
        <f t="shared" si="1"/>
        <v>0</v>
      </c>
      <c r="M30" s="78"/>
      <c r="N30" s="78"/>
    </row>
    <row r="31" spans="1:15" s="10" customFormat="1" x14ac:dyDescent="0.4">
      <c r="A31" s="106" t="s">
        <v>507</v>
      </c>
      <c r="B31" s="12" t="s">
        <v>162</v>
      </c>
      <c r="D31" s="78"/>
      <c r="E31" s="78"/>
      <c r="F31" s="78"/>
      <c r="G31" s="78"/>
      <c r="H31" s="78"/>
      <c r="I31" s="79">
        <f t="shared" si="0"/>
        <v>0</v>
      </c>
      <c r="J31" s="78" t="s">
        <v>287</v>
      </c>
      <c r="K31" s="79">
        <f t="shared" si="1"/>
        <v>0</v>
      </c>
      <c r="M31" s="78"/>
      <c r="N31" s="78"/>
    </row>
    <row r="32" spans="1:15" s="78" customFormat="1" x14ac:dyDescent="0.4">
      <c r="A32" s="106" t="s">
        <v>508</v>
      </c>
      <c r="B32" s="12" t="s">
        <v>163</v>
      </c>
      <c r="C32" s="10"/>
      <c r="I32" s="79">
        <f t="shared" si="0"/>
        <v>0</v>
      </c>
      <c r="J32" s="78" t="s">
        <v>287</v>
      </c>
      <c r="K32" s="79">
        <f t="shared" si="1"/>
        <v>0</v>
      </c>
      <c r="L32" s="10"/>
      <c r="O32" s="10"/>
    </row>
    <row r="33" spans="1:15" s="78" customFormat="1" x14ac:dyDescent="0.4">
      <c r="A33" s="106" t="s">
        <v>509</v>
      </c>
      <c r="B33" s="12" t="s">
        <v>164</v>
      </c>
      <c r="C33" s="97"/>
      <c r="I33" s="79">
        <f t="shared" si="0"/>
        <v>0</v>
      </c>
      <c r="J33" s="78" t="s">
        <v>288</v>
      </c>
      <c r="K33" s="79">
        <f t="shared" si="1"/>
        <v>0</v>
      </c>
      <c r="L33" s="10"/>
      <c r="O33" s="10"/>
    </row>
    <row r="34" spans="1:15" s="78" customFormat="1" x14ac:dyDescent="0.4">
      <c r="A34" s="106" t="s">
        <v>510</v>
      </c>
      <c r="B34" s="12" t="s">
        <v>165</v>
      </c>
      <c r="C34" s="97"/>
      <c r="I34" s="79">
        <f t="shared" si="0"/>
        <v>0</v>
      </c>
      <c r="J34" s="78" t="s">
        <v>288</v>
      </c>
      <c r="K34" s="79">
        <f t="shared" si="1"/>
        <v>0</v>
      </c>
    </row>
    <row r="35" spans="1:15" s="10" customFormat="1" x14ac:dyDescent="0.4">
      <c r="A35" s="106" t="s">
        <v>511</v>
      </c>
      <c r="B35" s="12" t="s">
        <v>166</v>
      </c>
      <c r="C35" s="97"/>
      <c r="D35" s="78"/>
      <c r="E35" s="78"/>
      <c r="F35" s="78"/>
      <c r="G35" s="78"/>
      <c r="H35" s="78"/>
      <c r="I35" s="79">
        <f t="shared" si="0"/>
        <v>0</v>
      </c>
      <c r="J35" s="78" t="s">
        <v>288</v>
      </c>
      <c r="K35" s="79">
        <f t="shared" si="1"/>
        <v>0</v>
      </c>
      <c r="M35" s="78"/>
      <c r="N35" s="78"/>
    </row>
    <row r="36" spans="1:15" s="10" customFormat="1" x14ac:dyDescent="0.4">
      <c r="A36" s="68" t="s">
        <v>512</v>
      </c>
      <c r="B36" s="12" t="s">
        <v>167</v>
      </c>
      <c r="C36" s="97"/>
      <c r="D36" s="78"/>
      <c r="E36" s="78"/>
      <c r="F36" s="78"/>
      <c r="G36" s="78"/>
      <c r="H36" s="78"/>
      <c r="I36" s="79">
        <f t="shared" si="0"/>
        <v>0</v>
      </c>
      <c r="J36" s="78" t="s">
        <v>288</v>
      </c>
      <c r="K36" s="79">
        <f t="shared" si="1"/>
        <v>0</v>
      </c>
      <c r="M36" s="78"/>
      <c r="N36" s="78"/>
    </row>
    <row r="37" spans="1:15" s="10" customFormat="1" x14ac:dyDescent="0.4">
      <c r="A37" s="106" t="s">
        <v>513</v>
      </c>
      <c r="B37" s="12" t="s">
        <v>168</v>
      </c>
      <c r="C37" s="97"/>
      <c r="D37" s="78"/>
      <c r="E37" s="78"/>
      <c r="F37" s="78"/>
      <c r="G37" s="78"/>
      <c r="H37" s="78"/>
      <c r="I37" s="79">
        <f t="shared" si="0"/>
        <v>0</v>
      </c>
      <c r="J37" s="78" t="s">
        <v>288</v>
      </c>
      <c r="K37" s="79">
        <f t="shared" si="1"/>
        <v>0</v>
      </c>
      <c r="M37" s="78"/>
      <c r="N37" s="78"/>
    </row>
    <row r="38" spans="1:15" s="10" customFormat="1" x14ac:dyDescent="0.4">
      <c r="A38" s="106" t="s">
        <v>514</v>
      </c>
      <c r="B38" s="12" t="s">
        <v>169</v>
      </c>
      <c r="C38" s="97"/>
      <c r="D38" s="78"/>
      <c r="E38" s="78"/>
      <c r="F38" s="78"/>
      <c r="G38" s="78"/>
      <c r="H38" s="78"/>
      <c r="I38" s="79">
        <f t="shared" si="0"/>
        <v>0</v>
      </c>
      <c r="J38" s="78" t="s">
        <v>288</v>
      </c>
      <c r="K38" s="79">
        <f t="shared" si="1"/>
        <v>0</v>
      </c>
      <c r="M38" s="78"/>
      <c r="N38" s="78"/>
    </row>
    <row r="39" spans="1:15" s="10" customFormat="1" x14ac:dyDescent="0.4">
      <c r="A39" s="69" t="s">
        <v>611</v>
      </c>
      <c r="B39" s="12" t="s">
        <v>610</v>
      </c>
      <c r="C39" s="97"/>
      <c r="D39" s="78"/>
      <c r="E39" s="78"/>
      <c r="F39" s="78"/>
      <c r="G39" s="78"/>
      <c r="H39" s="78"/>
      <c r="I39" s="79">
        <f t="shared" si="0"/>
        <v>0</v>
      </c>
      <c r="J39" s="78" t="s">
        <v>288</v>
      </c>
      <c r="K39" s="79">
        <f t="shared" si="1"/>
        <v>0</v>
      </c>
      <c r="M39" s="78"/>
      <c r="N39" s="78"/>
    </row>
    <row r="40" spans="1:15" s="10" customFormat="1" x14ac:dyDescent="0.4">
      <c r="A40" s="69"/>
      <c r="B40" s="12" t="s">
        <v>170</v>
      </c>
      <c r="C40" s="97"/>
      <c r="D40" s="79"/>
      <c r="E40" s="79"/>
      <c r="F40" s="79"/>
      <c r="G40" s="79"/>
      <c r="H40" s="79"/>
      <c r="I40" s="79">
        <f t="shared" si="0"/>
        <v>0</v>
      </c>
      <c r="J40" s="79" t="s">
        <v>288</v>
      </c>
      <c r="K40" s="79">
        <f t="shared" si="1"/>
        <v>0</v>
      </c>
      <c r="M40" s="78"/>
      <c r="N40" s="78"/>
    </row>
    <row r="41" spans="1:15" s="10" customFormat="1" x14ac:dyDescent="0.4">
      <c r="A41" s="69"/>
      <c r="B41" s="12" t="s">
        <v>759</v>
      </c>
      <c r="C41" s="97"/>
      <c r="D41" s="79"/>
      <c r="E41" s="78"/>
      <c r="F41" s="78"/>
      <c r="G41" s="78"/>
      <c r="H41" s="79">
        <f>-D41</f>
        <v>0</v>
      </c>
      <c r="I41" s="79">
        <f t="shared" si="0"/>
        <v>0</v>
      </c>
      <c r="J41" s="78" t="s">
        <v>288</v>
      </c>
      <c r="K41" s="79">
        <f t="shared" si="1"/>
        <v>0</v>
      </c>
      <c r="L41" s="78"/>
      <c r="M41" s="78"/>
      <c r="N41" s="78"/>
    </row>
    <row r="42" spans="1:15" s="10" customFormat="1" x14ac:dyDescent="0.4">
      <c r="A42" s="106" t="s">
        <v>515</v>
      </c>
      <c r="B42" s="12" t="s">
        <v>171</v>
      </c>
      <c r="C42" s="97"/>
      <c r="D42" s="78"/>
      <c r="E42" s="78"/>
      <c r="F42" s="78"/>
      <c r="G42" s="78"/>
      <c r="H42" s="78"/>
      <c r="I42" s="79">
        <f t="shared" si="0"/>
        <v>0</v>
      </c>
      <c r="J42" s="78" t="s">
        <v>291</v>
      </c>
      <c r="K42" s="79">
        <f t="shared" si="1"/>
        <v>0</v>
      </c>
      <c r="L42" s="78"/>
      <c r="M42" s="78"/>
      <c r="N42" s="78"/>
    </row>
    <row r="43" spans="1:15" s="10" customFormat="1" x14ac:dyDescent="0.4">
      <c r="A43" s="106" t="s">
        <v>516</v>
      </c>
      <c r="B43" s="12" t="s">
        <v>172</v>
      </c>
      <c r="C43" s="97"/>
      <c r="D43" s="78"/>
      <c r="E43" s="78"/>
      <c r="F43" s="78"/>
      <c r="G43" s="78"/>
      <c r="H43" s="78"/>
      <c r="I43" s="79">
        <f t="shared" si="0"/>
        <v>0</v>
      </c>
      <c r="J43" s="78" t="s">
        <v>291</v>
      </c>
      <c r="K43" s="79">
        <f t="shared" si="1"/>
        <v>0</v>
      </c>
      <c r="M43" s="78"/>
      <c r="N43" s="78"/>
    </row>
    <row r="44" spans="1:15" s="10" customFormat="1" x14ac:dyDescent="0.4">
      <c r="A44" s="100" t="s">
        <v>655</v>
      </c>
      <c r="B44" s="100" t="s">
        <v>654</v>
      </c>
      <c r="C44" s="97"/>
      <c r="D44" s="78"/>
      <c r="E44" s="78"/>
      <c r="F44" s="78"/>
      <c r="G44" s="78"/>
      <c r="H44" s="78"/>
      <c r="I44" s="79">
        <f t="shared" ref="I44" si="2">SUM(C44:H44)</f>
        <v>0</v>
      </c>
      <c r="J44" s="78" t="s">
        <v>291</v>
      </c>
      <c r="K44" s="79">
        <f t="shared" si="1"/>
        <v>0</v>
      </c>
      <c r="M44" s="78"/>
      <c r="N44" s="78"/>
    </row>
    <row r="45" spans="1:15" s="10" customFormat="1" x14ac:dyDescent="0.4">
      <c r="A45" s="106" t="s">
        <v>517</v>
      </c>
      <c r="B45" s="12" t="s">
        <v>173</v>
      </c>
      <c r="C45" s="97"/>
      <c r="D45" s="78"/>
      <c r="E45" s="78"/>
      <c r="F45" s="78"/>
      <c r="G45" s="78"/>
      <c r="H45" s="78"/>
      <c r="I45" s="79">
        <f t="shared" si="0"/>
        <v>0</v>
      </c>
      <c r="J45" s="78" t="s">
        <v>289</v>
      </c>
      <c r="K45" s="79">
        <f t="shared" si="1"/>
        <v>0</v>
      </c>
      <c r="M45" s="78"/>
      <c r="N45" s="78"/>
    </row>
    <row r="46" spans="1:15" s="10" customFormat="1" x14ac:dyDescent="0.4">
      <c r="A46" s="106" t="s">
        <v>518</v>
      </c>
      <c r="B46" s="12" t="s">
        <v>174</v>
      </c>
      <c r="C46" s="97"/>
      <c r="D46" s="78"/>
      <c r="E46" s="78"/>
      <c r="F46" s="78"/>
      <c r="G46" s="78"/>
      <c r="H46" s="78"/>
      <c r="I46" s="79">
        <f t="shared" si="0"/>
        <v>0</v>
      </c>
      <c r="J46" s="78" t="s">
        <v>292</v>
      </c>
      <c r="K46" s="79">
        <f t="shared" si="1"/>
        <v>0</v>
      </c>
      <c r="M46" s="78"/>
      <c r="N46" s="78"/>
    </row>
    <row r="47" spans="1:15" s="10" customFormat="1" x14ac:dyDescent="0.4">
      <c r="A47" s="106" t="s">
        <v>519</v>
      </c>
      <c r="B47" s="12" t="s">
        <v>175</v>
      </c>
      <c r="C47" s="97"/>
      <c r="D47" s="78"/>
      <c r="E47" s="78"/>
      <c r="F47" s="78"/>
      <c r="G47" s="78"/>
      <c r="H47" s="78"/>
      <c r="I47" s="79">
        <f t="shared" si="0"/>
        <v>0</v>
      </c>
      <c r="J47" s="78" t="s">
        <v>288</v>
      </c>
      <c r="K47" s="79">
        <f t="shared" si="1"/>
        <v>0</v>
      </c>
      <c r="M47" s="78"/>
      <c r="N47" s="78"/>
    </row>
    <row r="48" spans="1:15" s="10" customFormat="1" x14ac:dyDescent="0.4">
      <c r="A48" s="106" t="s">
        <v>520</v>
      </c>
      <c r="B48" s="12" t="s">
        <v>176</v>
      </c>
      <c r="C48" s="97"/>
      <c r="D48" s="78"/>
      <c r="E48" s="78"/>
      <c r="F48" s="78"/>
      <c r="G48" s="78"/>
      <c r="H48" s="78"/>
      <c r="I48" s="79">
        <f t="shared" si="0"/>
        <v>0</v>
      </c>
      <c r="J48" s="78" t="s">
        <v>288</v>
      </c>
      <c r="K48" s="79">
        <f t="shared" si="1"/>
        <v>0</v>
      </c>
      <c r="M48" s="78"/>
      <c r="N48" s="78"/>
    </row>
    <row r="49" spans="1:14" s="10" customFormat="1" x14ac:dyDescent="0.4">
      <c r="A49" s="106" t="s">
        <v>521</v>
      </c>
      <c r="B49" s="12" t="s">
        <v>177</v>
      </c>
      <c r="C49" s="97"/>
      <c r="D49" s="78"/>
      <c r="E49" s="78"/>
      <c r="F49" s="78"/>
      <c r="G49" s="78"/>
      <c r="H49" s="78"/>
      <c r="I49" s="79">
        <f t="shared" si="0"/>
        <v>0</v>
      </c>
      <c r="J49" s="78" t="s">
        <v>288</v>
      </c>
      <c r="K49" s="79">
        <f t="shared" si="1"/>
        <v>0</v>
      </c>
      <c r="M49" s="78"/>
      <c r="N49" s="78"/>
    </row>
    <row r="50" spans="1:14" s="10" customFormat="1" x14ac:dyDescent="0.4">
      <c r="A50" s="106" t="s">
        <v>522</v>
      </c>
      <c r="B50" s="12" t="s">
        <v>178</v>
      </c>
      <c r="C50" s="97"/>
      <c r="D50" s="78"/>
      <c r="E50" s="78"/>
      <c r="F50" s="78"/>
      <c r="G50" s="78"/>
      <c r="H50" s="78"/>
      <c r="I50" s="79">
        <f t="shared" si="0"/>
        <v>0</v>
      </c>
      <c r="J50" s="78" t="s">
        <v>292</v>
      </c>
      <c r="K50" s="79">
        <f t="shared" si="1"/>
        <v>0</v>
      </c>
      <c r="M50" s="78"/>
      <c r="N50" s="78"/>
    </row>
    <row r="51" spans="1:14" s="10" customFormat="1" x14ac:dyDescent="0.4">
      <c r="A51" s="106" t="s">
        <v>523</v>
      </c>
      <c r="B51" s="12" t="s">
        <v>179</v>
      </c>
      <c r="C51" s="97"/>
      <c r="D51" s="78"/>
      <c r="E51" s="78"/>
      <c r="F51" s="78"/>
      <c r="G51" s="78"/>
      <c r="H51" s="78"/>
      <c r="I51" s="79">
        <f t="shared" si="0"/>
        <v>0</v>
      </c>
      <c r="J51" s="78" t="s">
        <v>292</v>
      </c>
      <c r="K51" s="79">
        <f t="shared" si="1"/>
        <v>0</v>
      </c>
      <c r="M51" s="78"/>
      <c r="N51" s="78"/>
    </row>
    <row r="52" spans="1:14" s="10" customFormat="1" x14ac:dyDescent="0.4">
      <c r="A52" s="106" t="s">
        <v>524</v>
      </c>
      <c r="B52" s="12" t="s">
        <v>180</v>
      </c>
      <c r="C52" s="97"/>
      <c r="D52" s="78"/>
      <c r="E52" s="78"/>
      <c r="F52" s="78"/>
      <c r="G52" s="78"/>
      <c r="H52" s="78"/>
      <c r="I52" s="79">
        <f t="shared" si="0"/>
        <v>0</v>
      </c>
      <c r="J52" s="78" t="s">
        <v>292</v>
      </c>
      <c r="K52" s="79">
        <f t="shared" si="1"/>
        <v>0</v>
      </c>
      <c r="M52" s="78"/>
      <c r="N52" s="78"/>
    </row>
    <row r="53" spans="1:14" s="10" customFormat="1" x14ac:dyDescent="0.4">
      <c r="A53" s="106" t="s">
        <v>525</v>
      </c>
      <c r="B53" s="12" t="s">
        <v>254</v>
      </c>
      <c r="C53" s="97"/>
      <c r="D53" s="78"/>
      <c r="E53" s="78"/>
      <c r="F53" s="78"/>
      <c r="G53" s="78"/>
      <c r="H53" s="78"/>
      <c r="I53" s="79">
        <f t="shared" si="0"/>
        <v>0</v>
      </c>
      <c r="J53" s="78" t="s">
        <v>292</v>
      </c>
      <c r="K53" s="79">
        <f t="shared" si="1"/>
        <v>0</v>
      </c>
      <c r="M53" s="78"/>
      <c r="N53" s="78"/>
    </row>
    <row r="54" spans="1:14" s="10" customFormat="1" x14ac:dyDescent="0.4">
      <c r="A54" s="88" t="s">
        <v>783</v>
      </c>
      <c r="B54" s="100" t="s">
        <v>784</v>
      </c>
      <c r="C54" s="97"/>
      <c r="D54" s="78"/>
      <c r="E54" s="78"/>
      <c r="F54" s="78"/>
      <c r="G54" s="78"/>
      <c r="H54" s="78"/>
      <c r="I54" s="79">
        <f>SUM(C54:H54)</f>
        <v>0</v>
      </c>
      <c r="J54" s="78" t="s">
        <v>292</v>
      </c>
      <c r="K54" s="79">
        <f t="shared" si="1"/>
        <v>0</v>
      </c>
      <c r="M54" s="78"/>
      <c r="N54" s="78"/>
    </row>
    <row r="55" spans="1:14" s="10" customFormat="1" x14ac:dyDescent="0.4">
      <c r="A55" s="100" t="s">
        <v>526</v>
      </c>
      <c r="B55" s="100" t="s">
        <v>255</v>
      </c>
      <c r="C55" s="97"/>
      <c r="D55" s="78"/>
      <c r="E55" s="78"/>
      <c r="F55" s="78"/>
      <c r="G55" s="78"/>
      <c r="H55" s="78"/>
      <c r="I55" s="79">
        <f>SUM(C55:H55)</f>
        <v>0</v>
      </c>
      <c r="J55" s="78" t="s">
        <v>292</v>
      </c>
      <c r="K55" s="79">
        <f t="shared" si="1"/>
        <v>0</v>
      </c>
      <c r="M55" s="78"/>
      <c r="N55" s="78"/>
    </row>
    <row r="56" spans="1:14" s="10" customFormat="1" x14ac:dyDescent="0.4">
      <c r="A56" s="106" t="s">
        <v>527</v>
      </c>
      <c r="B56" s="12" t="s">
        <v>181</v>
      </c>
      <c r="C56" s="97"/>
      <c r="D56" s="78"/>
      <c r="E56" s="78"/>
      <c r="F56" s="78"/>
      <c r="G56" s="78"/>
      <c r="H56" s="78"/>
      <c r="I56" s="79">
        <f t="shared" si="0"/>
        <v>0</v>
      </c>
      <c r="J56" s="78" t="s">
        <v>292</v>
      </c>
      <c r="K56" s="79">
        <f t="shared" si="1"/>
        <v>0</v>
      </c>
      <c r="M56" s="78"/>
      <c r="N56" s="78"/>
    </row>
    <row r="57" spans="1:14" s="10" customFormat="1" x14ac:dyDescent="0.4">
      <c r="A57" s="106" t="s">
        <v>528</v>
      </c>
      <c r="B57" s="12" t="s">
        <v>182</v>
      </c>
      <c r="C57" s="97"/>
      <c r="D57" s="78"/>
      <c r="E57" s="78"/>
      <c r="F57" s="78"/>
      <c r="G57" s="78"/>
      <c r="H57" s="78"/>
      <c r="I57" s="79">
        <f t="shared" si="0"/>
        <v>0</v>
      </c>
      <c r="J57" s="78" t="s">
        <v>292</v>
      </c>
      <c r="K57" s="79">
        <f t="shared" si="1"/>
        <v>0</v>
      </c>
      <c r="M57" s="78"/>
      <c r="N57" s="78"/>
    </row>
    <row r="58" spans="1:14" s="10" customFormat="1" x14ac:dyDescent="0.4">
      <c r="A58" s="106" t="s">
        <v>529</v>
      </c>
      <c r="B58" s="12" t="s">
        <v>183</v>
      </c>
      <c r="C58" s="97"/>
      <c r="D58" s="78"/>
      <c r="E58" s="78"/>
      <c r="F58" s="78"/>
      <c r="G58" s="78"/>
      <c r="H58" s="78"/>
      <c r="I58" s="79">
        <f t="shared" si="0"/>
        <v>0</v>
      </c>
      <c r="J58" s="78" t="s">
        <v>292</v>
      </c>
      <c r="K58" s="79">
        <f t="shared" si="1"/>
        <v>0</v>
      </c>
      <c r="M58" s="78"/>
      <c r="N58" s="78"/>
    </row>
    <row r="59" spans="1:14" s="10" customFormat="1" x14ac:dyDescent="0.4">
      <c r="A59" s="106" t="s">
        <v>530</v>
      </c>
      <c r="B59" s="12" t="s">
        <v>256</v>
      </c>
      <c r="C59" s="97"/>
      <c r="D59" s="78"/>
      <c r="E59" s="78"/>
      <c r="F59" s="78"/>
      <c r="G59" s="78"/>
      <c r="H59" s="78"/>
      <c r="I59" s="79">
        <f t="shared" si="0"/>
        <v>0</v>
      </c>
      <c r="J59" s="78" t="s">
        <v>292</v>
      </c>
      <c r="K59" s="79">
        <f t="shared" si="1"/>
        <v>0</v>
      </c>
      <c r="M59" s="78"/>
      <c r="N59" s="78"/>
    </row>
    <row r="60" spans="1:14" s="10" customFormat="1" x14ac:dyDescent="0.4">
      <c r="A60" s="106" t="s">
        <v>531</v>
      </c>
      <c r="B60" s="12" t="s">
        <v>184</v>
      </c>
      <c r="C60" s="97"/>
      <c r="D60" s="78"/>
      <c r="E60" s="78"/>
      <c r="F60" s="78"/>
      <c r="G60" s="78"/>
      <c r="H60" s="78"/>
      <c r="I60" s="79">
        <f t="shared" si="0"/>
        <v>0</v>
      </c>
      <c r="J60" s="78" t="s">
        <v>292</v>
      </c>
      <c r="K60" s="79">
        <f t="shared" si="1"/>
        <v>0</v>
      </c>
      <c r="M60" s="78"/>
      <c r="N60" s="78"/>
    </row>
    <row r="61" spans="1:14" s="10" customFormat="1" x14ac:dyDescent="0.4">
      <c r="A61" s="106" t="s">
        <v>532</v>
      </c>
      <c r="B61" s="12" t="s">
        <v>185</v>
      </c>
      <c r="C61" s="97"/>
      <c r="D61" s="78"/>
      <c r="E61" s="78"/>
      <c r="F61" s="78"/>
      <c r="G61" s="78"/>
      <c r="H61" s="78"/>
      <c r="I61" s="79">
        <f t="shared" si="0"/>
        <v>0</v>
      </c>
      <c r="J61" s="78" t="s">
        <v>289</v>
      </c>
      <c r="K61" s="79">
        <f t="shared" si="1"/>
        <v>0</v>
      </c>
      <c r="M61" s="78"/>
      <c r="N61" s="78"/>
    </row>
    <row r="62" spans="1:14" s="10" customFormat="1" x14ac:dyDescent="0.4">
      <c r="A62" s="106" t="s">
        <v>533</v>
      </c>
      <c r="B62" s="12" t="s">
        <v>186</v>
      </c>
      <c r="C62" s="97"/>
      <c r="D62" s="78"/>
      <c r="E62" s="78"/>
      <c r="F62" s="78"/>
      <c r="G62" s="78"/>
      <c r="H62" s="78"/>
      <c r="I62" s="79">
        <f t="shared" si="0"/>
        <v>0</v>
      </c>
      <c r="J62" s="78" t="s">
        <v>292</v>
      </c>
      <c r="K62" s="79">
        <f t="shared" si="1"/>
        <v>0</v>
      </c>
      <c r="M62" s="78"/>
      <c r="N62" s="78"/>
    </row>
    <row r="63" spans="1:14" s="10" customFormat="1" x14ac:dyDescent="0.4">
      <c r="A63" s="106" t="s">
        <v>534</v>
      </c>
      <c r="B63" s="12" t="s">
        <v>187</v>
      </c>
      <c r="C63" s="97"/>
      <c r="D63" s="78"/>
      <c r="E63" s="78"/>
      <c r="F63" s="78"/>
      <c r="G63" s="78"/>
      <c r="H63" s="78"/>
      <c r="I63" s="79">
        <f t="shared" si="0"/>
        <v>0</v>
      </c>
      <c r="J63" s="78" t="s">
        <v>292</v>
      </c>
      <c r="K63" s="79">
        <f t="shared" si="1"/>
        <v>0</v>
      </c>
      <c r="M63" s="78"/>
      <c r="N63" s="78"/>
    </row>
    <row r="64" spans="1:14" s="10" customFormat="1" x14ac:dyDescent="0.4">
      <c r="A64" s="106" t="s">
        <v>535</v>
      </c>
      <c r="B64" s="12" t="s">
        <v>188</v>
      </c>
      <c r="C64" s="97"/>
      <c r="D64" s="78"/>
      <c r="E64" s="78"/>
      <c r="F64" s="78"/>
      <c r="G64" s="78"/>
      <c r="H64" s="78"/>
      <c r="I64" s="79">
        <f t="shared" si="0"/>
        <v>0</v>
      </c>
      <c r="J64" s="78" t="s">
        <v>292</v>
      </c>
      <c r="K64" s="79">
        <f t="shared" si="1"/>
        <v>0</v>
      </c>
      <c r="M64" s="78"/>
      <c r="N64" s="78"/>
    </row>
    <row r="65" spans="1:14" s="10" customFormat="1" x14ac:dyDescent="0.4">
      <c r="A65" s="106" t="s">
        <v>536</v>
      </c>
      <c r="B65" s="12" t="s">
        <v>189</v>
      </c>
      <c r="C65" s="97"/>
      <c r="D65" s="78"/>
      <c r="E65" s="78"/>
      <c r="F65" s="78"/>
      <c r="G65" s="78"/>
      <c r="H65" s="78"/>
      <c r="I65" s="79">
        <f t="shared" si="0"/>
        <v>0</v>
      </c>
      <c r="J65" s="78" t="s">
        <v>292</v>
      </c>
      <c r="K65" s="79">
        <f t="shared" si="1"/>
        <v>0</v>
      </c>
      <c r="M65" s="78"/>
      <c r="N65" s="78"/>
    </row>
    <row r="66" spans="1:14" s="10" customFormat="1" x14ac:dyDescent="0.4">
      <c r="A66" s="106" t="s">
        <v>537</v>
      </c>
      <c r="B66" s="12" t="s">
        <v>190</v>
      </c>
      <c r="C66" s="97"/>
      <c r="D66" s="78"/>
      <c r="E66" s="78"/>
      <c r="F66" s="78"/>
      <c r="G66" s="78"/>
      <c r="H66" s="78"/>
      <c r="I66" s="79">
        <f t="shared" si="0"/>
        <v>0</v>
      </c>
      <c r="J66" s="78" t="s">
        <v>292</v>
      </c>
      <c r="K66" s="79">
        <f t="shared" si="1"/>
        <v>0</v>
      </c>
      <c r="M66" s="78"/>
      <c r="N66" s="78"/>
    </row>
    <row r="67" spans="1:14" s="10" customFormat="1" x14ac:dyDescent="0.4">
      <c r="A67" s="100" t="s">
        <v>785</v>
      </c>
      <c r="B67" s="100" t="s">
        <v>616</v>
      </c>
      <c r="C67" s="97"/>
      <c r="D67" s="78"/>
      <c r="E67" s="78"/>
      <c r="F67" s="78"/>
      <c r="G67" s="78"/>
      <c r="H67" s="78"/>
      <c r="I67" s="79">
        <f t="shared" ref="I67" si="3">SUM(C67:H67)</f>
        <v>0</v>
      </c>
      <c r="J67" s="78" t="s">
        <v>292</v>
      </c>
      <c r="K67" s="79">
        <f t="shared" si="1"/>
        <v>0</v>
      </c>
      <c r="M67" s="78"/>
      <c r="N67" s="78"/>
    </row>
    <row r="68" spans="1:14" s="10" customFormat="1" x14ac:dyDescent="0.4">
      <c r="A68" s="106" t="s">
        <v>538</v>
      </c>
      <c r="B68" s="12" t="s">
        <v>191</v>
      </c>
      <c r="C68" s="97"/>
      <c r="D68" s="78"/>
      <c r="E68" s="78"/>
      <c r="F68" s="78"/>
      <c r="G68" s="78"/>
      <c r="H68" s="78"/>
      <c r="I68" s="79">
        <f t="shared" si="0"/>
        <v>0</v>
      </c>
      <c r="J68" s="78" t="s">
        <v>292</v>
      </c>
      <c r="K68" s="79">
        <f t="shared" si="1"/>
        <v>0</v>
      </c>
      <c r="M68" s="78"/>
      <c r="N68" s="78"/>
    </row>
    <row r="69" spans="1:14" s="10" customFormat="1" x14ac:dyDescent="0.4">
      <c r="A69" s="106" t="s">
        <v>539</v>
      </c>
      <c r="B69" s="12" t="s">
        <v>192</v>
      </c>
      <c r="C69" s="97"/>
      <c r="D69" s="78"/>
      <c r="E69" s="78"/>
      <c r="F69" s="78"/>
      <c r="G69" s="78"/>
      <c r="H69" s="78"/>
      <c r="I69" s="79">
        <f t="shared" si="0"/>
        <v>0</v>
      </c>
      <c r="J69" s="78" t="s">
        <v>292</v>
      </c>
      <c r="K69" s="79">
        <f t="shared" si="1"/>
        <v>0</v>
      </c>
      <c r="M69" s="78"/>
      <c r="N69" s="78"/>
    </row>
    <row r="70" spans="1:14" s="10" customFormat="1" x14ac:dyDescent="0.4">
      <c r="A70" s="106" t="s">
        <v>540</v>
      </c>
      <c r="B70" s="12" t="s">
        <v>193</v>
      </c>
      <c r="C70" s="97"/>
      <c r="D70" s="78"/>
      <c r="E70" s="78"/>
      <c r="F70" s="78"/>
      <c r="G70" s="78"/>
      <c r="H70" s="78"/>
      <c r="I70" s="79">
        <f t="shared" si="0"/>
        <v>0</v>
      </c>
      <c r="J70" s="78" t="s">
        <v>292</v>
      </c>
      <c r="K70" s="79">
        <f t="shared" si="1"/>
        <v>0</v>
      </c>
      <c r="M70" s="78"/>
      <c r="N70" s="78"/>
    </row>
    <row r="71" spans="1:14" s="10" customFormat="1" x14ac:dyDescent="0.4">
      <c r="A71" s="106" t="s">
        <v>541</v>
      </c>
      <c r="B71" s="12" t="s">
        <v>194</v>
      </c>
      <c r="C71" s="97"/>
      <c r="D71" s="78"/>
      <c r="E71" s="78"/>
      <c r="F71" s="78"/>
      <c r="G71" s="78"/>
      <c r="H71" s="78"/>
      <c r="I71" s="79">
        <f t="shared" si="0"/>
        <v>0</v>
      </c>
      <c r="J71" s="78" t="s">
        <v>292</v>
      </c>
      <c r="K71" s="79">
        <f t="shared" si="1"/>
        <v>0</v>
      </c>
      <c r="M71" s="78"/>
      <c r="N71" s="78"/>
    </row>
    <row r="72" spans="1:14" s="10" customFormat="1" x14ac:dyDescent="0.4">
      <c r="A72" s="106" t="s">
        <v>542</v>
      </c>
      <c r="B72" s="12" t="s">
        <v>195</v>
      </c>
      <c r="C72" s="97"/>
      <c r="D72" s="78"/>
      <c r="E72" s="78"/>
      <c r="F72" s="78"/>
      <c r="G72" s="78"/>
      <c r="H72" s="78"/>
      <c r="I72" s="79">
        <f t="shared" si="0"/>
        <v>0</v>
      </c>
      <c r="J72" s="78" t="s">
        <v>292</v>
      </c>
      <c r="K72" s="79">
        <f t="shared" si="1"/>
        <v>0</v>
      </c>
      <c r="M72" s="78"/>
      <c r="N72" s="78"/>
    </row>
    <row r="73" spans="1:14" s="10" customFormat="1" x14ac:dyDescent="0.4">
      <c r="A73" s="106" t="s">
        <v>543</v>
      </c>
      <c r="B73" s="12" t="s">
        <v>196</v>
      </c>
      <c r="C73" s="97"/>
      <c r="D73" s="78"/>
      <c r="E73" s="78"/>
      <c r="F73" s="78"/>
      <c r="G73" s="78"/>
      <c r="H73" s="78"/>
      <c r="I73" s="79">
        <f t="shared" si="0"/>
        <v>0</v>
      </c>
      <c r="J73" s="78" t="s">
        <v>292</v>
      </c>
      <c r="K73" s="79">
        <f t="shared" si="1"/>
        <v>0</v>
      </c>
      <c r="M73" s="78"/>
      <c r="N73" s="78"/>
    </row>
    <row r="74" spans="1:14" s="10" customFormat="1" x14ac:dyDescent="0.4">
      <c r="A74" s="106" t="s">
        <v>544</v>
      </c>
      <c r="B74" s="12" t="s">
        <v>197</v>
      </c>
      <c r="C74" s="97"/>
      <c r="D74" s="78"/>
      <c r="E74" s="78"/>
      <c r="F74" s="78"/>
      <c r="G74" s="78"/>
      <c r="H74" s="78"/>
      <c r="I74" s="79">
        <f t="shared" ref="I74:I139" si="4">SUM(C74:H74)</f>
        <v>0</v>
      </c>
      <c r="J74" s="78" t="s">
        <v>290</v>
      </c>
      <c r="K74" s="79">
        <f t="shared" ref="K74:K143" si="5">I74*1</f>
        <v>0</v>
      </c>
      <c r="M74" s="78"/>
      <c r="N74" s="78"/>
    </row>
    <row r="75" spans="1:14" s="10" customFormat="1" x14ac:dyDescent="0.4">
      <c r="A75" s="106" t="s">
        <v>545</v>
      </c>
      <c r="B75" s="12" t="s">
        <v>198</v>
      </c>
      <c r="C75" s="97"/>
      <c r="D75" s="78"/>
      <c r="E75" s="78"/>
      <c r="F75" s="78"/>
      <c r="G75" s="78"/>
      <c r="H75" s="78"/>
      <c r="I75" s="79">
        <f t="shared" si="4"/>
        <v>0</v>
      </c>
      <c r="J75" s="78" t="s">
        <v>292</v>
      </c>
      <c r="K75" s="79">
        <f t="shared" si="5"/>
        <v>0</v>
      </c>
      <c r="M75" s="78"/>
      <c r="N75" s="78"/>
    </row>
    <row r="76" spans="1:14" s="10" customFormat="1" x14ac:dyDescent="0.4">
      <c r="A76" s="106" t="s">
        <v>546</v>
      </c>
      <c r="B76" s="12" t="s">
        <v>199</v>
      </c>
      <c r="C76" s="97"/>
      <c r="D76" s="78"/>
      <c r="E76" s="78"/>
      <c r="F76" s="78"/>
      <c r="G76" s="78"/>
      <c r="H76" s="78"/>
      <c r="I76" s="79">
        <f t="shared" si="4"/>
        <v>0</v>
      </c>
      <c r="J76" s="78" t="s">
        <v>292</v>
      </c>
      <c r="K76" s="79">
        <f t="shared" si="5"/>
        <v>0</v>
      </c>
      <c r="M76" s="78"/>
      <c r="N76" s="78"/>
    </row>
    <row r="77" spans="1:14" s="10" customFormat="1" x14ac:dyDescent="0.4">
      <c r="A77" s="106" t="s">
        <v>547</v>
      </c>
      <c r="B77" s="12" t="s">
        <v>200</v>
      </c>
      <c r="C77" s="97"/>
      <c r="D77" s="78"/>
      <c r="E77" s="78"/>
      <c r="F77" s="78"/>
      <c r="G77" s="78"/>
      <c r="H77" s="78"/>
      <c r="I77" s="79">
        <f t="shared" si="4"/>
        <v>0</v>
      </c>
      <c r="J77" s="78" t="s">
        <v>292</v>
      </c>
      <c r="K77" s="79">
        <f t="shared" si="5"/>
        <v>0</v>
      </c>
      <c r="M77" s="78"/>
      <c r="N77" s="78"/>
    </row>
    <row r="78" spans="1:14" s="10" customFormat="1" x14ac:dyDescent="0.4">
      <c r="A78" s="100" t="s">
        <v>874</v>
      </c>
      <c r="B78" s="100" t="s">
        <v>875</v>
      </c>
      <c r="C78" s="97"/>
      <c r="D78" s="78"/>
      <c r="E78" s="78"/>
      <c r="F78" s="78"/>
      <c r="G78" s="78"/>
      <c r="H78" s="78"/>
      <c r="I78" s="79">
        <f t="shared" si="4"/>
        <v>0</v>
      </c>
      <c r="J78" s="78" t="s">
        <v>292</v>
      </c>
      <c r="K78" s="79">
        <f t="shared" si="5"/>
        <v>0</v>
      </c>
      <c r="M78" s="78"/>
      <c r="N78" s="78"/>
    </row>
    <row r="79" spans="1:14" s="10" customFormat="1" x14ac:dyDescent="0.4">
      <c r="A79" s="100" t="s">
        <v>548</v>
      </c>
      <c r="B79" s="100" t="s">
        <v>201</v>
      </c>
      <c r="C79" s="97"/>
      <c r="D79" s="78"/>
      <c r="E79" s="78"/>
      <c r="F79" s="78"/>
      <c r="G79" s="78"/>
      <c r="H79" s="78"/>
      <c r="I79" s="79">
        <f t="shared" si="4"/>
        <v>0</v>
      </c>
      <c r="J79" s="78" t="s">
        <v>292</v>
      </c>
      <c r="K79" s="79">
        <f t="shared" si="5"/>
        <v>0</v>
      </c>
      <c r="M79" s="78"/>
      <c r="N79" s="78"/>
    </row>
    <row r="80" spans="1:14" s="10" customFormat="1" x14ac:dyDescent="0.4">
      <c r="A80" s="106" t="s">
        <v>549</v>
      </c>
      <c r="B80" s="12" t="s">
        <v>202</v>
      </c>
      <c r="C80" s="97"/>
      <c r="D80" s="78"/>
      <c r="E80" s="78"/>
      <c r="F80" s="78"/>
      <c r="G80" s="78"/>
      <c r="H80" s="78"/>
      <c r="I80" s="79">
        <f t="shared" si="4"/>
        <v>0</v>
      </c>
      <c r="J80" s="78" t="s">
        <v>292</v>
      </c>
      <c r="K80" s="79">
        <f t="shared" si="5"/>
        <v>0</v>
      </c>
      <c r="M80" s="78"/>
      <c r="N80" s="78"/>
    </row>
    <row r="81" spans="1:14" s="10" customFormat="1" x14ac:dyDescent="0.4">
      <c r="A81" s="106" t="s">
        <v>550</v>
      </c>
      <c r="B81" s="12" t="s">
        <v>203</v>
      </c>
      <c r="C81" s="97"/>
      <c r="D81" s="78"/>
      <c r="E81" s="78"/>
      <c r="F81" s="78"/>
      <c r="G81" s="78"/>
      <c r="H81" s="78"/>
      <c r="I81" s="79">
        <f t="shared" si="4"/>
        <v>0</v>
      </c>
      <c r="J81" s="78" t="s">
        <v>292</v>
      </c>
      <c r="K81" s="79">
        <f t="shared" si="5"/>
        <v>0</v>
      </c>
      <c r="M81" s="78"/>
      <c r="N81" s="78"/>
    </row>
    <row r="82" spans="1:14" s="10" customFormat="1" x14ac:dyDescent="0.4">
      <c r="A82" s="106" t="s">
        <v>551</v>
      </c>
      <c r="B82" s="12" t="s">
        <v>204</v>
      </c>
      <c r="C82" s="97"/>
      <c r="D82" s="78"/>
      <c r="E82" s="78"/>
      <c r="F82" s="78"/>
      <c r="G82" s="78"/>
      <c r="H82" s="78"/>
      <c r="I82" s="79">
        <f t="shared" si="4"/>
        <v>0</v>
      </c>
      <c r="J82" s="78" t="s">
        <v>292</v>
      </c>
      <c r="K82" s="79">
        <f t="shared" si="5"/>
        <v>0</v>
      </c>
      <c r="M82" s="78"/>
      <c r="N82" s="78"/>
    </row>
    <row r="83" spans="1:14" s="10" customFormat="1" x14ac:dyDescent="0.4">
      <c r="A83" s="106" t="s">
        <v>552</v>
      </c>
      <c r="B83" s="12" t="s">
        <v>205</v>
      </c>
      <c r="C83" s="97"/>
      <c r="D83" s="78"/>
      <c r="E83" s="78"/>
      <c r="F83" s="78"/>
      <c r="G83" s="78"/>
      <c r="H83" s="78"/>
      <c r="I83" s="79">
        <f t="shared" si="4"/>
        <v>0</v>
      </c>
      <c r="J83" s="78" t="s">
        <v>292</v>
      </c>
      <c r="K83" s="79">
        <f t="shared" si="5"/>
        <v>0</v>
      </c>
      <c r="M83" s="78"/>
      <c r="N83" s="78"/>
    </row>
    <row r="84" spans="1:14" s="10" customFormat="1" x14ac:dyDescent="0.4">
      <c r="A84" s="106" t="s">
        <v>553</v>
      </c>
      <c r="B84" s="12" t="s">
        <v>206</v>
      </c>
      <c r="C84" s="97"/>
      <c r="D84" s="78"/>
      <c r="E84" s="78"/>
      <c r="F84" s="78"/>
      <c r="G84" s="78"/>
      <c r="H84" s="78"/>
      <c r="I84" s="79">
        <f t="shared" si="4"/>
        <v>0</v>
      </c>
      <c r="J84" s="78" t="s">
        <v>292</v>
      </c>
      <c r="K84" s="79">
        <f t="shared" si="5"/>
        <v>0</v>
      </c>
      <c r="M84" s="78"/>
      <c r="N84" s="78"/>
    </row>
    <row r="85" spans="1:14" s="10" customFormat="1" x14ac:dyDescent="0.4">
      <c r="A85" s="100" t="s">
        <v>799</v>
      </c>
      <c r="B85" s="100" t="s">
        <v>800</v>
      </c>
      <c r="C85" s="97"/>
      <c r="D85" s="78"/>
      <c r="E85" s="78"/>
      <c r="F85" s="78"/>
      <c r="G85" s="78"/>
      <c r="H85" s="78"/>
      <c r="I85" s="79">
        <f t="shared" si="4"/>
        <v>0</v>
      </c>
      <c r="J85" s="78" t="s">
        <v>292</v>
      </c>
      <c r="K85" s="79">
        <f t="shared" si="5"/>
        <v>0</v>
      </c>
      <c r="M85" s="78"/>
      <c r="N85" s="78"/>
    </row>
    <row r="86" spans="1:14" s="10" customFormat="1" x14ac:dyDescent="0.4">
      <c r="A86" s="106" t="s">
        <v>554</v>
      </c>
      <c r="B86" s="12" t="s">
        <v>207</v>
      </c>
      <c r="C86" s="97"/>
      <c r="D86" s="78"/>
      <c r="E86" s="78"/>
      <c r="F86" s="78"/>
      <c r="G86" s="78"/>
      <c r="H86" s="78"/>
      <c r="I86" s="79">
        <f t="shared" si="4"/>
        <v>0</v>
      </c>
      <c r="J86" s="78" t="s">
        <v>299</v>
      </c>
      <c r="K86" s="79">
        <f t="shared" si="5"/>
        <v>0</v>
      </c>
      <c r="M86" s="78"/>
      <c r="N86" s="78"/>
    </row>
    <row r="87" spans="1:14" s="10" customFormat="1" x14ac:dyDescent="0.4">
      <c r="A87" s="106" t="s">
        <v>555</v>
      </c>
      <c r="B87" s="12" t="s">
        <v>208</v>
      </c>
      <c r="C87" s="97"/>
      <c r="D87" s="78"/>
      <c r="E87" s="78"/>
      <c r="F87" s="78"/>
      <c r="G87" s="78"/>
      <c r="H87" s="78"/>
      <c r="I87" s="79">
        <f t="shared" si="4"/>
        <v>0</v>
      </c>
      <c r="J87" s="78" t="s">
        <v>292</v>
      </c>
      <c r="K87" s="79">
        <f t="shared" si="5"/>
        <v>0</v>
      </c>
      <c r="M87" s="78"/>
      <c r="N87" s="78"/>
    </row>
    <row r="88" spans="1:14" s="10" customFormat="1" x14ac:dyDescent="0.4">
      <c r="A88" s="106" t="s">
        <v>556</v>
      </c>
      <c r="B88" s="12" t="s">
        <v>209</v>
      </c>
      <c r="C88" s="97"/>
      <c r="D88" s="78"/>
      <c r="E88" s="78"/>
      <c r="F88" s="78"/>
      <c r="G88" s="78"/>
      <c r="H88" s="78"/>
      <c r="I88" s="79">
        <f t="shared" si="4"/>
        <v>0</v>
      </c>
      <c r="J88" s="78" t="s">
        <v>292</v>
      </c>
      <c r="K88" s="79">
        <f t="shared" si="5"/>
        <v>0</v>
      </c>
      <c r="M88" s="78"/>
      <c r="N88" s="78"/>
    </row>
    <row r="89" spans="1:14" s="10" customFormat="1" x14ac:dyDescent="0.4">
      <c r="A89" s="106" t="s">
        <v>557</v>
      </c>
      <c r="B89" s="12" t="s">
        <v>210</v>
      </c>
      <c r="C89" s="97"/>
      <c r="D89" s="78"/>
      <c r="E89" s="78"/>
      <c r="F89" s="78"/>
      <c r="G89" s="78"/>
      <c r="H89" s="78"/>
      <c r="I89" s="79">
        <f t="shared" si="4"/>
        <v>0</v>
      </c>
      <c r="J89" s="78" t="s">
        <v>292</v>
      </c>
      <c r="K89" s="79">
        <f t="shared" si="5"/>
        <v>0</v>
      </c>
      <c r="M89" s="78"/>
      <c r="N89" s="78"/>
    </row>
    <row r="90" spans="1:14" s="10" customFormat="1" x14ac:dyDescent="0.4">
      <c r="A90" s="106" t="s">
        <v>558</v>
      </c>
      <c r="B90" s="12" t="s">
        <v>211</v>
      </c>
      <c r="C90" s="97"/>
      <c r="D90" s="78"/>
      <c r="E90" s="78"/>
      <c r="F90" s="78"/>
      <c r="G90" s="78"/>
      <c r="H90" s="78"/>
      <c r="I90" s="79">
        <f t="shared" si="4"/>
        <v>0</v>
      </c>
      <c r="J90" s="78" t="s">
        <v>292</v>
      </c>
      <c r="K90" s="79">
        <f t="shared" si="5"/>
        <v>0</v>
      </c>
      <c r="M90" s="78"/>
      <c r="N90" s="78"/>
    </row>
    <row r="91" spans="1:14" s="10" customFormat="1" x14ac:dyDescent="0.4">
      <c r="A91" s="106" t="s">
        <v>559</v>
      </c>
      <c r="B91" s="12" t="s">
        <v>212</v>
      </c>
      <c r="C91" s="97"/>
      <c r="D91" s="78"/>
      <c r="E91" s="78"/>
      <c r="F91" s="78"/>
      <c r="G91" s="78"/>
      <c r="H91" s="78"/>
      <c r="I91" s="79">
        <f t="shared" si="4"/>
        <v>0</v>
      </c>
      <c r="J91" s="78" t="s">
        <v>292</v>
      </c>
      <c r="K91" s="79">
        <f t="shared" si="5"/>
        <v>0</v>
      </c>
      <c r="M91" s="78"/>
      <c r="N91" s="78"/>
    </row>
    <row r="92" spans="1:14" s="10" customFormat="1" x14ac:dyDescent="0.4">
      <c r="A92" s="106" t="s">
        <v>560</v>
      </c>
      <c r="B92" s="12" t="s">
        <v>213</v>
      </c>
      <c r="C92" s="97"/>
      <c r="D92" s="78"/>
      <c r="E92" s="78"/>
      <c r="F92" s="78"/>
      <c r="G92" s="78"/>
      <c r="H92" s="78"/>
      <c r="I92" s="79">
        <f t="shared" si="4"/>
        <v>0</v>
      </c>
      <c r="J92" s="78" t="s">
        <v>292</v>
      </c>
      <c r="K92" s="79">
        <f t="shared" si="5"/>
        <v>0</v>
      </c>
      <c r="M92" s="78"/>
      <c r="N92" s="78"/>
    </row>
    <row r="93" spans="1:14" s="10" customFormat="1" x14ac:dyDescent="0.4">
      <c r="A93" s="100" t="s">
        <v>561</v>
      </c>
      <c r="B93" s="100" t="s">
        <v>214</v>
      </c>
      <c r="C93" s="97"/>
      <c r="D93" s="78"/>
      <c r="E93" s="78"/>
      <c r="F93" s="78"/>
      <c r="G93" s="78"/>
      <c r="H93" s="78"/>
      <c r="I93" s="79">
        <f t="shared" si="4"/>
        <v>0</v>
      </c>
      <c r="J93" s="78" t="s">
        <v>292</v>
      </c>
      <c r="K93" s="79">
        <f t="shared" si="5"/>
        <v>0</v>
      </c>
      <c r="M93" s="78"/>
      <c r="N93" s="78"/>
    </row>
    <row r="94" spans="1:14" s="10" customFormat="1" x14ac:dyDescent="0.4">
      <c r="A94" s="100" t="s">
        <v>641</v>
      </c>
      <c r="B94" s="100" t="s">
        <v>642</v>
      </c>
      <c r="C94" s="97"/>
      <c r="D94" s="78"/>
      <c r="E94" s="78"/>
      <c r="F94" s="78"/>
      <c r="G94" s="78"/>
      <c r="H94" s="78"/>
      <c r="I94" s="79">
        <f t="shared" si="4"/>
        <v>0</v>
      </c>
      <c r="J94" s="78" t="s">
        <v>292</v>
      </c>
      <c r="K94" s="79">
        <f t="shared" si="5"/>
        <v>0</v>
      </c>
      <c r="M94" s="78"/>
      <c r="N94" s="78"/>
    </row>
    <row r="95" spans="1:14" s="10" customFormat="1" x14ac:dyDescent="0.4">
      <c r="A95" s="106" t="s">
        <v>562</v>
      </c>
      <c r="B95" s="12" t="s">
        <v>257</v>
      </c>
      <c r="C95" s="97"/>
      <c r="D95" s="78"/>
      <c r="E95" s="78"/>
      <c r="F95" s="78"/>
      <c r="G95" s="78"/>
      <c r="H95" s="78"/>
      <c r="I95" s="79">
        <f t="shared" si="4"/>
        <v>0</v>
      </c>
      <c r="J95" s="78" t="s">
        <v>292</v>
      </c>
      <c r="K95" s="79">
        <f t="shared" si="5"/>
        <v>0</v>
      </c>
      <c r="M95" s="78"/>
      <c r="N95" s="78"/>
    </row>
    <row r="96" spans="1:14" s="10" customFormat="1" x14ac:dyDescent="0.4">
      <c r="A96" s="68" t="s">
        <v>563</v>
      </c>
      <c r="B96" s="12" t="s">
        <v>215</v>
      </c>
      <c r="C96" s="97"/>
      <c r="D96" s="78"/>
      <c r="E96" s="78"/>
      <c r="F96" s="78"/>
      <c r="G96" s="78"/>
      <c r="H96" s="78"/>
      <c r="I96" s="79">
        <f t="shared" si="4"/>
        <v>0</v>
      </c>
      <c r="J96" s="78" t="s">
        <v>292</v>
      </c>
      <c r="K96" s="79">
        <f t="shared" si="5"/>
        <v>0</v>
      </c>
      <c r="M96" s="78"/>
      <c r="N96" s="78"/>
    </row>
    <row r="97" spans="1:16" s="10" customFormat="1" x14ac:dyDescent="0.4">
      <c r="A97" s="71" t="s">
        <v>624</v>
      </c>
      <c r="B97" s="71" t="s">
        <v>625</v>
      </c>
      <c r="C97" s="97"/>
      <c r="D97" s="78"/>
      <c r="E97" s="78"/>
      <c r="F97" s="78"/>
      <c r="G97" s="78"/>
      <c r="H97" s="78"/>
      <c r="I97" s="79">
        <f t="shared" si="4"/>
        <v>0</v>
      </c>
      <c r="J97" s="78" t="s">
        <v>292</v>
      </c>
      <c r="K97" s="79">
        <f t="shared" si="5"/>
        <v>0</v>
      </c>
      <c r="M97" s="78"/>
      <c r="N97" s="78"/>
    </row>
    <row r="98" spans="1:16" s="10" customFormat="1" x14ac:dyDescent="0.4">
      <c r="A98" s="106" t="s">
        <v>564</v>
      </c>
      <c r="B98" s="12" t="s">
        <v>216</v>
      </c>
      <c r="C98" s="97"/>
      <c r="D98" s="78"/>
      <c r="E98" s="78"/>
      <c r="F98" s="78"/>
      <c r="G98" s="78"/>
      <c r="H98" s="78"/>
      <c r="I98" s="79">
        <f t="shared" si="4"/>
        <v>0</v>
      </c>
      <c r="J98" s="78" t="s">
        <v>292</v>
      </c>
      <c r="K98" s="79">
        <f t="shared" si="5"/>
        <v>0</v>
      </c>
      <c r="M98" s="78"/>
      <c r="N98" s="78"/>
    </row>
    <row r="99" spans="1:16" s="10" customFormat="1" x14ac:dyDescent="0.4">
      <c r="A99" s="106" t="s">
        <v>565</v>
      </c>
      <c r="B99" s="12" t="s">
        <v>217</v>
      </c>
      <c r="C99" s="97"/>
      <c r="D99" s="78"/>
      <c r="E99" s="78"/>
      <c r="F99" s="78"/>
      <c r="G99" s="78"/>
      <c r="H99" s="78"/>
      <c r="I99" s="79">
        <f t="shared" si="4"/>
        <v>0</v>
      </c>
      <c r="J99" s="78" t="s">
        <v>292</v>
      </c>
      <c r="K99" s="79">
        <f t="shared" si="5"/>
        <v>0</v>
      </c>
      <c r="M99" s="78"/>
      <c r="N99" s="78"/>
    </row>
    <row r="100" spans="1:16" s="10" customFormat="1" x14ac:dyDescent="0.4">
      <c r="A100" s="106" t="s">
        <v>566</v>
      </c>
      <c r="B100" s="12" t="s">
        <v>218</v>
      </c>
      <c r="C100" s="97"/>
      <c r="D100" s="78"/>
      <c r="E100" s="78"/>
      <c r="F100" s="78"/>
      <c r="G100" s="78"/>
      <c r="H100" s="78"/>
      <c r="I100" s="79">
        <f t="shared" si="4"/>
        <v>0</v>
      </c>
      <c r="J100" s="78" t="s">
        <v>292</v>
      </c>
      <c r="K100" s="79">
        <f t="shared" si="5"/>
        <v>0</v>
      </c>
      <c r="M100" s="78"/>
      <c r="N100" s="78"/>
    </row>
    <row r="101" spans="1:16" s="10" customFormat="1" x14ac:dyDescent="0.4">
      <c r="A101" s="106" t="s">
        <v>567</v>
      </c>
      <c r="B101" s="12" t="s">
        <v>219</v>
      </c>
      <c r="C101" s="97"/>
      <c r="D101" s="78"/>
      <c r="E101" s="78"/>
      <c r="F101" s="78"/>
      <c r="G101" s="78"/>
      <c r="H101" s="78"/>
      <c r="I101" s="79">
        <f t="shared" si="4"/>
        <v>0</v>
      </c>
      <c r="J101" s="78" t="s">
        <v>292</v>
      </c>
      <c r="K101" s="79">
        <f t="shared" si="5"/>
        <v>0</v>
      </c>
      <c r="M101" s="78"/>
      <c r="N101" s="78"/>
    </row>
    <row r="102" spans="1:16" s="10" customFormat="1" x14ac:dyDescent="0.4">
      <c r="A102" s="106" t="s">
        <v>568</v>
      </c>
      <c r="B102" s="12" t="s">
        <v>220</v>
      </c>
      <c r="C102" s="97"/>
      <c r="D102" s="78"/>
      <c r="E102" s="78"/>
      <c r="F102" s="78"/>
      <c r="G102" s="78"/>
      <c r="H102" s="78"/>
      <c r="I102" s="79">
        <f t="shared" si="4"/>
        <v>0</v>
      </c>
      <c r="J102" s="78" t="s">
        <v>292</v>
      </c>
      <c r="K102" s="79">
        <f t="shared" si="5"/>
        <v>0</v>
      </c>
      <c r="M102" s="78"/>
      <c r="N102" s="78"/>
    </row>
    <row r="103" spans="1:16" s="10" customFormat="1" x14ac:dyDescent="0.4">
      <c r="A103" s="106" t="s">
        <v>569</v>
      </c>
      <c r="B103" s="12" t="s">
        <v>221</v>
      </c>
      <c r="C103" s="97"/>
      <c r="D103" s="78"/>
      <c r="E103" s="78"/>
      <c r="F103" s="78"/>
      <c r="G103" s="78"/>
      <c r="H103" s="78"/>
      <c r="I103" s="79">
        <f t="shared" si="4"/>
        <v>0</v>
      </c>
      <c r="J103" s="78" t="s">
        <v>292</v>
      </c>
      <c r="K103" s="79">
        <f t="shared" si="5"/>
        <v>0</v>
      </c>
      <c r="M103" s="78"/>
      <c r="N103" s="78"/>
    </row>
    <row r="104" spans="1:16" s="10" customFormat="1" x14ac:dyDescent="0.4">
      <c r="A104" s="106" t="s">
        <v>570</v>
      </c>
      <c r="B104" s="12" t="s">
        <v>222</v>
      </c>
      <c r="C104" s="97"/>
      <c r="D104" s="78"/>
      <c r="E104" s="78"/>
      <c r="F104" s="78"/>
      <c r="G104" s="78"/>
      <c r="H104" s="78"/>
      <c r="I104" s="79">
        <f t="shared" si="4"/>
        <v>0</v>
      </c>
      <c r="J104" s="78" t="s">
        <v>292</v>
      </c>
      <c r="K104" s="79">
        <f t="shared" si="5"/>
        <v>0</v>
      </c>
      <c r="M104" s="78"/>
      <c r="N104" s="78"/>
    </row>
    <row r="105" spans="1:16" s="10" customFormat="1" x14ac:dyDescent="0.4">
      <c r="A105" s="106" t="s">
        <v>571</v>
      </c>
      <c r="B105" s="12" t="s">
        <v>223</v>
      </c>
      <c r="C105" s="97"/>
      <c r="D105" s="78"/>
      <c r="E105" s="78"/>
      <c r="F105" s="78"/>
      <c r="G105" s="78"/>
      <c r="H105" s="78"/>
      <c r="I105" s="79">
        <f t="shared" si="4"/>
        <v>0</v>
      </c>
      <c r="J105" s="78" t="s">
        <v>292</v>
      </c>
      <c r="K105" s="79">
        <f t="shared" si="5"/>
        <v>0</v>
      </c>
      <c r="M105" s="78"/>
      <c r="N105" s="78"/>
    </row>
    <row r="106" spans="1:16" s="10" customFormat="1" x14ac:dyDescent="0.4">
      <c r="A106" s="106" t="s">
        <v>572</v>
      </c>
      <c r="B106" s="12" t="s">
        <v>224</v>
      </c>
      <c r="C106" s="97"/>
      <c r="D106" s="78"/>
      <c r="E106" s="78"/>
      <c r="F106" s="78"/>
      <c r="G106" s="78"/>
      <c r="H106" s="78"/>
      <c r="I106" s="79">
        <f t="shared" si="4"/>
        <v>0</v>
      </c>
      <c r="J106" s="78" t="s">
        <v>292</v>
      </c>
      <c r="K106" s="79">
        <f t="shared" si="5"/>
        <v>0</v>
      </c>
      <c r="M106" s="78"/>
      <c r="N106" s="78"/>
    </row>
    <row r="107" spans="1:16" s="10" customFormat="1" x14ac:dyDescent="0.4">
      <c r="A107" s="106" t="s">
        <v>573</v>
      </c>
      <c r="B107" s="12" t="s">
        <v>225</v>
      </c>
      <c r="C107" s="97"/>
      <c r="D107" s="78"/>
      <c r="E107" s="78"/>
      <c r="F107" s="78"/>
      <c r="G107" s="78"/>
      <c r="H107" s="78"/>
      <c r="I107" s="79">
        <f t="shared" si="4"/>
        <v>0</v>
      </c>
      <c r="J107" s="78" t="s">
        <v>292</v>
      </c>
      <c r="K107" s="79">
        <f t="shared" si="5"/>
        <v>0</v>
      </c>
      <c r="M107" s="78"/>
      <c r="N107" s="78"/>
    </row>
    <row r="108" spans="1:16" s="78" customFormat="1" x14ac:dyDescent="0.4">
      <c r="A108" s="106" t="s">
        <v>574</v>
      </c>
      <c r="B108" s="12" t="s">
        <v>226</v>
      </c>
      <c r="C108" s="97"/>
      <c r="I108" s="79">
        <f t="shared" si="4"/>
        <v>0</v>
      </c>
      <c r="J108" s="78" t="s">
        <v>292</v>
      </c>
      <c r="K108" s="79">
        <f t="shared" si="5"/>
        <v>0</v>
      </c>
      <c r="L108" s="10"/>
      <c r="O108" s="10"/>
      <c r="P108" s="10"/>
    </row>
    <row r="109" spans="1:16" s="78" customFormat="1" x14ac:dyDescent="0.4">
      <c r="A109" s="106" t="s">
        <v>575</v>
      </c>
      <c r="B109" s="12" t="s">
        <v>227</v>
      </c>
      <c r="C109" s="97"/>
      <c r="I109" s="79">
        <f t="shared" si="4"/>
        <v>0</v>
      </c>
      <c r="J109" s="78" t="s">
        <v>292</v>
      </c>
      <c r="K109" s="79">
        <f t="shared" si="5"/>
        <v>0</v>
      </c>
      <c r="L109" s="10"/>
      <c r="O109" s="10"/>
      <c r="P109" s="10"/>
    </row>
    <row r="110" spans="1:16" s="10" customFormat="1" x14ac:dyDescent="0.4">
      <c r="A110" s="106" t="s">
        <v>576</v>
      </c>
      <c r="B110" s="12" t="s">
        <v>228</v>
      </c>
      <c r="C110" s="97"/>
      <c r="D110" s="78"/>
      <c r="E110" s="78"/>
      <c r="F110" s="78"/>
      <c r="G110" s="78"/>
      <c r="H110" s="78"/>
      <c r="I110" s="79">
        <f t="shared" si="4"/>
        <v>0</v>
      </c>
      <c r="J110" s="78" t="s">
        <v>291</v>
      </c>
      <c r="K110" s="79">
        <f t="shared" si="5"/>
        <v>0</v>
      </c>
      <c r="M110" s="78"/>
      <c r="N110" s="78"/>
    </row>
    <row r="111" spans="1:16" s="78" customFormat="1" x14ac:dyDescent="0.4">
      <c r="A111" s="106" t="s">
        <v>577</v>
      </c>
      <c r="B111" s="12" t="s">
        <v>229</v>
      </c>
      <c r="C111" s="97"/>
      <c r="I111" s="79">
        <f t="shared" si="4"/>
        <v>0</v>
      </c>
      <c r="J111" s="78" t="s">
        <v>292</v>
      </c>
      <c r="K111" s="79">
        <f t="shared" si="5"/>
        <v>0</v>
      </c>
      <c r="L111" s="10"/>
      <c r="O111" s="10"/>
    </row>
    <row r="112" spans="1:16" s="10" customFormat="1" x14ac:dyDescent="0.4">
      <c r="A112" s="106" t="s">
        <v>578</v>
      </c>
      <c r="B112" s="12" t="s">
        <v>230</v>
      </c>
      <c r="C112" s="97"/>
      <c r="D112" s="78"/>
      <c r="E112" s="78"/>
      <c r="F112" s="78"/>
      <c r="G112" s="78"/>
      <c r="H112" s="78"/>
      <c r="I112" s="79">
        <f t="shared" si="4"/>
        <v>0</v>
      </c>
      <c r="J112" s="78" t="s">
        <v>292</v>
      </c>
      <c r="K112" s="79">
        <f t="shared" si="5"/>
        <v>0</v>
      </c>
      <c r="M112" s="78"/>
      <c r="N112" s="78"/>
      <c r="P112" s="78"/>
    </row>
    <row r="113" spans="1:16" s="10" customFormat="1" x14ac:dyDescent="0.4">
      <c r="A113" s="106" t="s">
        <v>579</v>
      </c>
      <c r="B113" s="12" t="s">
        <v>231</v>
      </c>
      <c r="C113" s="97"/>
      <c r="D113" s="78"/>
      <c r="E113" s="78"/>
      <c r="F113" s="78"/>
      <c r="G113" s="78"/>
      <c r="H113" s="78"/>
      <c r="I113" s="79">
        <f t="shared" si="4"/>
        <v>0</v>
      </c>
      <c r="J113" s="78" t="s">
        <v>288</v>
      </c>
      <c r="K113" s="79">
        <f t="shared" si="5"/>
        <v>0</v>
      </c>
      <c r="M113" s="78"/>
      <c r="N113" s="78"/>
    </row>
    <row r="114" spans="1:16" s="10" customFormat="1" x14ac:dyDescent="0.4">
      <c r="A114" s="106" t="s">
        <v>580</v>
      </c>
      <c r="B114" s="12" t="s">
        <v>232</v>
      </c>
      <c r="C114" s="97"/>
      <c r="D114" s="78"/>
      <c r="E114" s="78"/>
      <c r="F114" s="78"/>
      <c r="G114" s="78"/>
      <c r="H114" s="78"/>
      <c r="I114" s="79">
        <f t="shared" si="4"/>
        <v>0</v>
      </c>
      <c r="J114" s="78" t="s">
        <v>292</v>
      </c>
      <c r="K114" s="79">
        <f t="shared" si="5"/>
        <v>0</v>
      </c>
      <c r="M114" s="78"/>
      <c r="N114" s="78"/>
      <c r="P114" s="78"/>
    </row>
    <row r="115" spans="1:16" s="10" customFormat="1" x14ac:dyDescent="0.4">
      <c r="A115" s="106" t="s">
        <v>581</v>
      </c>
      <c r="B115" s="12" t="s">
        <v>233</v>
      </c>
      <c r="C115" s="97"/>
      <c r="D115" s="78"/>
      <c r="E115" s="78"/>
      <c r="F115" s="78"/>
      <c r="G115" s="78"/>
      <c r="H115" s="78"/>
      <c r="I115" s="79">
        <f t="shared" si="4"/>
        <v>0</v>
      </c>
      <c r="J115" s="78" t="s">
        <v>292</v>
      </c>
      <c r="K115" s="79">
        <f t="shared" si="5"/>
        <v>0</v>
      </c>
      <c r="M115" s="78"/>
      <c r="N115" s="78"/>
    </row>
    <row r="116" spans="1:16" s="10" customFormat="1" x14ac:dyDescent="0.4">
      <c r="A116" s="106" t="s">
        <v>582</v>
      </c>
      <c r="B116" s="12" t="s">
        <v>234</v>
      </c>
      <c r="C116" s="97"/>
      <c r="D116" s="78"/>
      <c r="E116" s="78"/>
      <c r="F116" s="78"/>
      <c r="G116" s="78"/>
      <c r="H116" s="78"/>
      <c r="I116" s="79">
        <f t="shared" si="4"/>
        <v>0</v>
      </c>
      <c r="J116" s="78" t="s">
        <v>288</v>
      </c>
      <c r="K116" s="79">
        <f t="shared" si="5"/>
        <v>0</v>
      </c>
      <c r="M116" s="78"/>
      <c r="N116" s="78"/>
    </row>
    <row r="117" spans="1:16" s="10" customFormat="1" x14ac:dyDescent="0.4">
      <c r="A117" s="100" t="s">
        <v>869</v>
      </c>
      <c r="B117" s="100" t="s">
        <v>870</v>
      </c>
      <c r="C117" s="97"/>
      <c r="D117" s="78"/>
      <c r="E117" s="78"/>
      <c r="F117" s="78"/>
      <c r="G117" s="78"/>
      <c r="H117" s="78"/>
      <c r="I117" s="79">
        <f t="shared" si="4"/>
        <v>0</v>
      </c>
      <c r="J117" s="78" t="s">
        <v>292</v>
      </c>
      <c r="K117" s="79">
        <f t="shared" si="5"/>
        <v>0</v>
      </c>
      <c r="M117" s="78"/>
      <c r="N117" s="78"/>
    </row>
    <row r="118" spans="1:16" s="10" customFormat="1" x14ac:dyDescent="0.4">
      <c r="A118" s="106" t="s">
        <v>583</v>
      </c>
      <c r="B118" s="12" t="s">
        <v>235</v>
      </c>
      <c r="C118" s="97"/>
      <c r="D118" s="78"/>
      <c r="E118" s="78"/>
      <c r="F118" s="78"/>
      <c r="G118" s="78"/>
      <c r="H118" s="78"/>
      <c r="I118" s="79">
        <f t="shared" si="4"/>
        <v>0</v>
      </c>
      <c r="J118" s="78" t="s">
        <v>292</v>
      </c>
      <c r="K118" s="79">
        <f t="shared" si="5"/>
        <v>0</v>
      </c>
      <c r="M118" s="78"/>
      <c r="N118" s="78"/>
    </row>
    <row r="119" spans="1:16" s="10" customFormat="1" x14ac:dyDescent="0.4">
      <c r="A119" s="100" t="s">
        <v>664</v>
      </c>
      <c r="B119" s="100" t="s">
        <v>665</v>
      </c>
      <c r="C119" s="97"/>
      <c r="D119" s="78"/>
      <c r="E119" s="78"/>
      <c r="F119" s="78"/>
      <c r="G119" s="78"/>
      <c r="H119" s="78"/>
      <c r="I119" s="79">
        <f t="shared" si="4"/>
        <v>0</v>
      </c>
      <c r="J119" s="78" t="s">
        <v>292</v>
      </c>
      <c r="K119" s="79">
        <f t="shared" si="5"/>
        <v>0</v>
      </c>
      <c r="M119" s="78"/>
      <c r="N119" s="78"/>
    </row>
    <row r="120" spans="1:16" s="10" customFormat="1" x14ac:dyDescent="0.4">
      <c r="A120" s="106" t="s">
        <v>584</v>
      </c>
      <c r="B120" s="12" t="s">
        <v>236</v>
      </c>
      <c r="C120" s="97"/>
      <c r="D120" s="78"/>
      <c r="E120" s="78"/>
      <c r="F120" s="78"/>
      <c r="G120" s="78"/>
      <c r="H120" s="78"/>
      <c r="I120" s="79">
        <f t="shared" si="4"/>
        <v>0</v>
      </c>
      <c r="J120" s="78" t="s">
        <v>292</v>
      </c>
      <c r="K120" s="79">
        <f t="shared" si="5"/>
        <v>0</v>
      </c>
      <c r="M120" s="78"/>
      <c r="N120" s="78"/>
    </row>
    <row r="121" spans="1:16" s="10" customFormat="1" x14ac:dyDescent="0.4">
      <c r="A121" s="106" t="s">
        <v>585</v>
      </c>
      <c r="B121" s="12" t="s">
        <v>237</v>
      </c>
      <c r="C121" s="97"/>
      <c r="D121" s="78"/>
      <c r="E121" s="78"/>
      <c r="F121" s="78"/>
      <c r="G121" s="78"/>
      <c r="H121" s="78"/>
      <c r="I121" s="79">
        <f t="shared" si="4"/>
        <v>0</v>
      </c>
      <c r="J121" s="78" t="s">
        <v>292</v>
      </c>
      <c r="K121" s="79">
        <f t="shared" si="5"/>
        <v>0</v>
      </c>
      <c r="M121" s="78"/>
      <c r="N121" s="78"/>
    </row>
    <row r="122" spans="1:16" s="10" customFormat="1" x14ac:dyDescent="0.4">
      <c r="A122" s="106" t="s">
        <v>626</v>
      </c>
      <c r="B122" s="12" t="s">
        <v>627</v>
      </c>
      <c r="C122" s="97"/>
      <c r="D122" s="78"/>
      <c r="E122" s="78"/>
      <c r="F122" s="78"/>
      <c r="G122" s="78"/>
      <c r="H122" s="78"/>
      <c r="I122" s="79">
        <f t="shared" si="4"/>
        <v>0</v>
      </c>
      <c r="J122" s="78" t="s">
        <v>292</v>
      </c>
      <c r="K122" s="79">
        <f t="shared" si="5"/>
        <v>0</v>
      </c>
      <c r="M122" s="78"/>
      <c r="N122" s="78"/>
    </row>
    <row r="123" spans="1:16" s="10" customFormat="1" x14ac:dyDescent="0.4">
      <c r="A123" s="106" t="s">
        <v>586</v>
      </c>
      <c r="B123" s="12" t="s">
        <v>238</v>
      </c>
      <c r="C123" s="97"/>
      <c r="D123" s="78"/>
      <c r="E123" s="78"/>
      <c r="F123" s="78"/>
      <c r="G123" s="78"/>
      <c r="H123" s="78"/>
      <c r="I123" s="79">
        <f t="shared" si="4"/>
        <v>0</v>
      </c>
      <c r="J123" s="78" t="s">
        <v>291</v>
      </c>
      <c r="K123" s="79">
        <f t="shared" si="5"/>
        <v>0</v>
      </c>
      <c r="M123" s="78"/>
      <c r="N123" s="78"/>
    </row>
    <row r="124" spans="1:16" s="10" customFormat="1" x14ac:dyDescent="0.4">
      <c r="A124" s="106" t="s">
        <v>587</v>
      </c>
      <c r="B124" s="12" t="s">
        <v>239</v>
      </c>
      <c r="C124" s="97"/>
      <c r="D124" s="78"/>
      <c r="E124" s="78"/>
      <c r="F124" s="78"/>
      <c r="G124" s="78"/>
      <c r="H124" s="78"/>
      <c r="I124" s="79">
        <f t="shared" si="4"/>
        <v>0</v>
      </c>
      <c r="J124" s="78" t="s">
        <v>292</v>
      </c>
      <c r="K124" s="79">
        <f t="shared" si="5"/>
        <v>0</v>
      </c>
      <c r="L124" s="78"/>
      <c r="M124" s="78"/>
      <c r="N124" s="78"/>
    </row>
    <row r="125" spans="1:16" s="10" customFormat="1" x14ac:dyDescent="0.4">
      <c r="A125" s="106" t="s">
        <v>588</v>
      </c>
      <c r="B125" s="12" t="s">
        <v>240</v>
      </c>
      <c r="C125" s="97"/>
      <c r="D125" s="78"/>
      <c r="E125" s="78"/>
      <c r="F125" s="78"/>
      <c r="G125" s="78"/>
      <c r="H125" s="78"/>
      <c r="I125" s="79">
        <f t="shared" si="4"/>
        <v>0</v>
      </c>
      <c r="J125" s="78" t="s">
        <v>292</v>
      </c>
      <c r="K125" s="79">
        <f t="shared" si="5"/>
        <v>0</v>
      </c>
      <c r="L125" s="78"/>
      <c r="M125" s="78"/>
      <c r="N125" s="78"/>
    </row>
    <row r="126" spans="1:16" s="10" customFormat="1" x14ac:dyDescent="0.4">
      <c r="A126" s="106" t="s">
        <v>589</v>
      </c>
      <c r="B126" s="12" t="s">
        <v>241</v>
      </c>
      <c r="C126" s="97"/>
      <c r="D126" s="78"/>
      <c r="E126" s="78"/>
      <c r="F126" s="78"/>
      <c r="G126" s="78"/>
      <c r="H126" s="78"/>
      <c r="I126" s="79">
        <f t="shared" si="4"/>
        <v>0</v>
      </c>
      <c r="J126" s="78" t="s">
        <v>288</v>
      </c>
      <c r="K126" s="79">
        <f t="shared" si="5"/>
        <v>0</v>
      </c>
      <c r="L126" s="78"/>
      <c r="M126" s="78"/>
      <c r="N126" s="78"/>
    </row>
    <row r="127" spans="1:16" s="10" customFormat="1" x14ac:dyDescent="0.4">
      <c r="A127" s="106" t="s">
        <v>590</v>
      </c>
      <c r="B127" s="12" t="s">
        <v>242</v>
      </c>
      <c r="C127" s="97"/>
      <c r="D127" s="78"/>
      <c r="E127" s="78"/>
      <c r="F127" s="78"/>
      <c r="G127" s="78"/>
      <c r="H127" s="78"/>
      <c r="I127" s="79">
        <f t="shared" si="4"/>
        <v>0</v>
      </c>
      <c r="J127" s="78" t="s">
        <v>292</v>
      </c>
      <c r="K127" s="79">
        <f t="shared" si="5"/>
        <v>0</v>
      </c>
      <c r="L127" s="78"/>
      <c r="M127" s="78"/>
      <c r="N127" s="78"/>
    </row>
    <row r="128" spans="1:16" s="10" customFormat="1" x14ac:dyDescent="0.4">
      <c r="A128" s="106" t="s">
        <v>591</v>
      </c>
      <c r="B128" s="12" t="s">
        <v>243</v>
      </c>
      <c r="C128" s="97"/>
      <c r="D128" s="78"/>
      <c r="E128" s="78"/>
      <c r="F128" s="78"/>
      <c r="G128" s="78"/>
      <c r="H128" s="78"/>
      <c r="I128" s="79">
        <f t="shared" si="4"/>
        <v>0</v>
      </c>
      <c r="J128" s="78" t="s">
        <v>288</v>
      </c>
      <c r="K128" s="79">
        <f t="shared" si="5"/>
        <v>0</v>
      </c>
      <c r="L128" s="78"/>
      <c r="M128" s="78"/>
      <c r="N128" s="78"/>
    </row>
    <row r="129" spans="1:16" x14ac:dyDescent="0.4">
      <c r="A129" s="106" t="s">
        <v>592</v>
      </c>
      <c r="B129" s="12" t="s">
        <v>244</v>
      </c>
      <c r="C129" s="97"/>
      <c r="D129" s="78"/>
      <c r="I129" s="79">
        <f t="shared" si="4"/>
        <v>0</v>
      </c>
      <c r="J129" s="78" t="s">
        <v>292</v>
      </c>
      <c r="K129" s="79">
        <f t="shared" si="5"/>
        <v>0</v>
      </c>
      <c r="L129" s="78"/>
      <c r="M129" s="78"/>
      <c r="N129" s="78"/>
      <c r="P129" s="10"/>
    </row>
    <row r="130" spans="1:16" x14ac:dyDescent="0.4">
      <c r="A130" s="100" t="s">
        <v>866</v>
      </c>
      <c r="B130" s="100" t="s">
        <v>867</v>
      </c>
      <c r="C130" s="97"/>
      <c r="D130" s="78"/>
      <c r="I130" s="79">
        <f t="shared" si="4"/>
        <v>0</v>
      </c>
      <c r="J130" s="78" t="s">
        <v>292</v>
      </c>
      <c r="K130" s="79">
        <f t="shared" si="5"/>
        <v>0</v>
      </c>
      <c r="L130" s="10"/>
      <c r="M130" s="78"/>
      <c r="N130" s="78"/>
      <c r="P130" s="10"/>
    </row>
    <row r="131" spans="1:16" x14ac:dyDescent="0.4">
      <c r="A131" s="106" t="s">
        <v>593</v>
      </c>
      <c r="B131" s="12" t="s">
        <v>245</v>
      </c>
      <c r="C131" s="97"/>
      <c r="D131" s="78"/>
      <c r="I131" s="79">
        <f t="shared" si="4"/>
        <v>0</v>
      </c>
      <c r="J131" s="78" t="s">
        <v>292</v>
      </c>
      <c r="K131" s="79">
        <f t="shared" si="5"/>
        <v>0</v>
      </c>
      <c r="L131" s="10"/>
      <c r="M131" s="78"/>
      <c r="N131" s="78"/>
      <c r="P131" s="10"/>
    </row>
    <row r="132" spans="1:16" x14ac:dyDescent="0.4">
      <c r="A132" s="106" t="s">
        <v>594</v>
      </c>
      <c r="B132" s="12" t="s">
        <v>246</v>
      </c>
      <c r="C132" s="97"/>
      <c r="D132" s="78"/>
      <c r="I132" s="79">
        <f t="shared" si="4"/>
        <v>0</v>
      </c>
      <c r="J132" s="78" t="s">
        <v>292</v>
      </c>
      <c r="K132" s="79">
        <f t="shared" si="5"/>
        <v>0</v>
      </c>
      <c r="L132" s="10"/>
      <c r="M132" s="78"/>
      <c r="N132" s="78"/>
    </row>
    <row r="133" spans="1:16" x14ac:dyDescent="0.4">
      <c r="A133" s="100" t="s">
        <v>666</v>
      </c>
      <c r="B133" s="100" t="s">
        <v>667</v>
      </c>
      <c r="C133" s="97"/>
      <c r="D133" s="78"/>
      <c r="I133" s="79">
        <f t="shared" si="4"/>
        <v>0</v>
      </c>
      <c r="J133" s="78" t="s">
        <v>292</v>
      </c>
      <c r="K133" s="79">
        <f t="shared" si="5"/>
        <v>0</v>
      </c>
      <c r="L133" s="10"/>
      <c r="M133" s="78"/>
      <c r="N133" s="78"/>
    </row>
    <row r="134" spans="1:16" x14ac:dyDescent="0.4">
      <c r="A134" s="68" t="s">
        <v>595</v>
      </c>
      <c r="B134" s="12" t="s">
        <v>247</v>
      </c>
      <c r="C134" s="97"/>
      <c r="D134" s="78"/>
      <c r="F134" s="78">
        <f>-F140</f>
        <v>0</v>
      </c>
      <c r="G134" s="78">
        <v>0</v>
      </c>
      <c r="I134" s="79">
        <f t="shared" si="4"/>
        <v>0</v>
      </c>
      <c r="J134" s="78" t="s">
        <v>292</v>
      </c>
      <c r="K134" s="79">
        <f t="shared" si="5"/>
        <v>0</v>
      </c>
      <c r="L134" s="10"/>
      <c r="M134" s="78"/>
      <c r="N134" s="78"/>
    </row>
    <row r="135" spans="1:16" x14ac:dyDescent="0.4">
      <c r="A135" s="106" t="s">
        <v>596</v>
      </c>
      <c r="B135" s="12" t="s">
        <v>248</v>
      </c>
      <c r="C135" s="97"/>
      <c r="D135" s="78"/>
      <c r="F135" s="78" t="s">
        <v>261</v>
      </c>
      <c r="G135" s="78">
        <f>-C135</f>
        <v>0</v>
      </c>
      <c r="I135" s="79">
        <f t="shared" si="4"/>
        <v>0</v>
      </c>
      <c r="J135" s="78" t="s">
        <v>292</v>
      </c>
      <c r="K135" s="79">
        <f t="shared" si="5"/>
        <v>0</v>
      </c>
      <c r="L135" s="10"/>
      <c r="M135" s="78"/>
      <c r="N135" s="78"/>
    </row>
    <row r="136" spans="1:16" x14ac:dyDescent="0.4">
      <c r="A136" s="106" t="s">
        <v>597</v>
      </c>
      <c r="B136" s="12" t="s">
        <v>249</v>
      </c>
      <c r="C136" s="97"/>
      <c r="D136" s="78"/>
      <c r="F136" s="78" t="s">
        <v>261</v>
      </c>
      <c r="G136" s="78">
        <f>-C136</f>
        <v>0</v>
      </c>
      <c r="I136" s="79">
        <f t="shared" si="4"/>
        <v>0</v>
      </c>
      <c r="J136" s="78" t="s">
        <v>292</v>
      </c>
      <c r="K136" s="79">
        <f t="shared" si="5"/>
        <v>0</v>
      </c>
      <c r="L136" s="10"/>
      <c r="M136" s="78"/>
      <c r="N136" s="78"/>
    </row>
    <row r="137" spans="1:16" x14ac:dyDescent="0.4">
      <c r="A137" s="69" t="s">
        <v>754</v>
      </c>
      <c r="B137" s="12" t="s">
        <v>782</v>
      </c>
      <c r="C137" s="97"/>
      <c r="D137" s="78"/>
      <c r="F137" s="78" t="s">
        <v>261</v>
      </c>
      <c r="G137" s="78">
        <f>-E137-D137</f>
        <v>0</v>
      </c>
      <c r="I137" s="79">
        <f t="shared" si="4"/>
        <v>0</v>
      </c>
      <c r="J137" s="78" t="s">
        <v>292</v>
      </c>
      <c r="K137" s="79">
        <f t="shared" si="5"/>
        <v>0</v>
      </c>
      <c r="L137" s="10"/>
      <c r="M137" s="78"/>
      <c r="N137" s="78"/>
    </row>
    <row r="138" spans="1:16" x14ac:dyDescent="0.4">
      <c r="A138" s="69"/>
      <c r="B138" s="12" t="s">
        <v>755</v>
      </c>
      <c r="C138" s="97"/>
      <c r="D138" s="78"/>
      <c r="F138" s="78" t="s">
        <v>261</v>
      </c>
      <c r="G138" s="78">
        <f>-E138-D138</f>
        <v>0</v>
      </c>
      <c r="I138" s="79">
        <f t="shared" si="4"/>
        <v>0</v>
      </c>
      <c r="J138" s="78" t="s">
        <v>292</v>
      </c>
      <c r="K138" s="79">
        <f t="shared" si="5"/>
        <v>0</v>
      </c>
      <c r="L138" s="10"/>
      <c r="M138" s="78"/>
      <c r="N138" s="78"/>
    </row>
    <row r="139" spans="1:16" x14ac:dyDescent="0.4">
      <c r="A139" s="69"/>
      <c r="B139" s="12" t="s">
        <v>756</v>
      </c>
      <c r="C139" s="97"/>
      <c r="D139" s="78"/>
      <c r="F139" s="78" t="s">
        <v>261</v>
      </c>
      <c r="G139" s="78">
        <f>-E139-D139</f>
        <v>0</v>
      </c>
      <c r="I139" s="79">
        <f t="shared" si="4"/>
        <v>0</v>
      </c>
      <c r="J139" s="78" t="s">
        <v>292</v>
      </c>
      <c r="K139" s="79">
        <f t="shared" si="5"/>
        <v>0</v>
      </c>
      <c r="L139" s="10"/>
      <c r="M139" s="78"/>
      <c r="N139" s="78"/>
    </row>
    <row r="140" spans="1:16" x14ac:dyDescent="0.4">
      <c r="A140" s="106" t="s">
        <v>761</v>
      </c>
      <c r="B140" s="12" t="s">
        <v>760</v>
      </c>
      <c r="C140" s="97"/>
      <c r="D140" s="78"/>
      <c r="F140" s="78">
        <f>-E140-D140-C140</f>
        <v>0</v>
      </c>
      <c r="I140" s="79">
        <f t="shared" ref="I140:I147" si="6">SUM(C140:H140)</f>
        <v>0</v>
      </c>
      <c r="J140" s="78" t="s">
        <v>292</v>
      </c>
      <c r="K140" s="79">
        <f t="shared" si="5"/>
        <v>0</v>
      </c>
      <c r="L140" s="10"/>
      <c r="M140" s="78"/>
      <c r="N140" s="78"/>
    </row>
    <row r="141" spans="1:16" x14ac:dyDescent="0.4">
      <c r="A141" s="106" t="s">
        <v>598</v>
      </c>
      <c r="B141" s="12" t="s">
        <v>250</v>
      </c>
      <c r="C141" s="97"/>
      <c r="D141" s="78"/>
      <c r="I141" s="79">
        <f t="shared" si="6"/>
        <v>0</v>
      </c>
      <c r="J141" s="78" t="s">
        <v>292</v>
      </c>
      <c r="K141" s="79">
        <f t="shared" si="5"/>
        <v>0</v>
      </c>
      <c r="L141" s="10"/>
      <c r="M141" s="78"/>
      <c r="N141" s="78"/>
    </row>
    <row r="142" spans="1:16" x14ac:dyDescent="0.4">
      <c r="A142" s="69"/>
      <c r="B142" s="12" t="s">
        <v>260</v>
      </c>
      <c r="C142" s="97"/>
      <c r="D142" s="78"/>
      <c r="I142" s="79">
        <f t="shared" si="6"/>
        <v>0</v>
      </c>
      <c r="J142" s="78" t="s">
        <v>292</v>
      </c>
      <c r="K142" s="79">
        <f t="shared" si="5"/>
        <v>0</v>
      </c>
      <c r="L142" s="10"/>
      <c r="M142" s="78"/>
      <c r="N142" s="78"/>
    </row>
    <row r="143" spans="1:16" x14ac:dyDescent="0.4">
      <c r="A143" s="106" t="s">
        <v>599</v>
      </c>
      <c r="B143" s="12" t="s">
        <v>251</v>
      </c>
      <c r="C143" s="97"/>
      <c r="D143" s="78"/>
      <c r="I143" s="79">
        <f t="shared" si="6"/>
        <v>0</v>
      </c>
      <c r="J143" s="78" t="s">
        <v>292</v>
      </c>
      <c r="K143" s="79">
        <f t="shared" si="5"/>
        <v>0</v>
      </c>
      <c r="L143" s="10"/>
      <c r="M143" s="78"/>
      <c r="N143" s="78"/>
    </row>
    <row r="144" spans="1:16" x14ac:dyDescent="0.4">
      <c r="A144" s="106" t="s">
        <v>600</v>
      </c>
      <c r="B144" s="12" t="s">
        <v>252</v>
      </c>
      <c r="C144" s="97"/>
      <c r="D144" s="78"/>
      <c r="I144" s="79">
        <f t="shared" si="6"/>
        <v>0</v>
      </c>
      <c r="J144" s="78" t="s">
        <v>292</v>
      </c>
      <c r="K144" s="79">
        <f t="shared" ref="K144:K147" si="7">I144*1</f>
        <v>0</v>
      </c>
      <c r="L144" s="10"/>
      <c r="M144" s="78"/>
      <c r="N144" s="78"/>
    </row>
    <row r="145" spans="1:14" x14ac:dyDescent="0.4">
      <c r="A145" s="106" t="s">
        <v>601</v>
      </c>
      <c r="B145" s="12" t="s">
        <v>253</v>
      </c>
      <c r="C145" s="82"/>
      <c r="D145" s="78"/>
      <c r="I145" s="79">
        <f t="shared" si="6"/>
        <v>0</v>
      </c>
      <c r="J145" s="78" t="s">
        <v>292</v>
      </c>
      <c r="K145" s="79">
        <f t="shared" si="7"/>
        <v>0</v>
      </c>
      <c r="L145" s="10"/>
      <c r="M145" s="76"/>
      <c r="N145" s="78"/>
    </row>
    <row r="146" spans="1:14" x14ac:dyDescent="0.4">
      <c r="A146" s="106" t="s">
        <v>602</v>
      </c>
      <c r="B146" s="12" t="s">
        <v>258</v>
      </c>
      <c r="C146" s="72"/>
      <c r="D146" s="78"/>
      <c r="I146" s="79">
        <f t="shared" si="6"/>
        <v>0</v>
      </c>
      <c r="J146" s="78" t="s">
        <v>862</v>
      </c>
      <c r="K146" s="79">
        <f t="shared" si="7"/>
        <v>0</v>
      </c>
      <c r="L146" s="10"/>
      <c r="M146" s="76"/>
      <c r="N146" s="78"/>
    </row>
    <row r="147" spans="1:14" x14ac:dyDescent="0.4">
      <c r="A147" s="106" t="s">
        <v>615</v>
      </c>
      <c r="B147" s="12" t="s">
        <v>616</v>
      </c>
      <c r="C147" s="72"/>
      <c r="D147" s="78"/>
      <c r="I147" s="79">
        <f t="shared" si="6"/>
        <v>0</v>
      </c>
      <c r="J147" s="78" t="s">
        <v>292</v>
      </c>
      <c r="K147" s="79">
        <f t="shared" si="7"/>
        <v>0</v>
      </c>
      <c r="L147" s="10"/>
      <c r="M147" s="76"/>
      <c r="N147" s="78"/>
    </row>
    <row r="148" spans="1:14" x14ac:dyDescent="0.4">
      <c r="C148" s="109">
        <f>SUM(C6:C147)</f>
        <v>0</v>
      </c>
      <c r="D148" s="109">
        <f t="shared" ref="D148:G148" si="8">SUM(D6:D147)</f>
        <v>0</v>
      </c>
      <c r="E148" s="110">
        <f t="shared" si="8"/>
        <v>0</v>
      </c>
      <c r="F148" s="109">
        <f t="shared" si="8"/>
        <v>0</v>
      </c>
      <c r="G148" s="109">
        <f t="shared" si="8"/>
        <v>0</v>
      </c>
      <c r="H148" s="109">
        <f>SUM(H6:H147)</f>
        <v>0</v>
      </c>
      <c r="I148" s="109">
        <f>SUM(I6:I147)</f>
        <v>0</v>
      </c>
      <c r="J148" s="111"/>
      <c r="K148" s="109">
        <f>SUM(K6:K147)</f>
        <v>0</v>
      </c>
      <c r="M148" s="76"/>
      <c r="N148" s="78"/>
    </row>
    <row r="149" spans="1:14" x14ac:dyDescent="0.4">
      <c r="C149" s="112"/>
      <c r="D149" s="113"/>
      <c r="M149" s="76"/>
      <c r="N149" s="78"/>
    </row>
    <row r="150" spans="1:14" x14ac:dyDescent="0.4">
      <c r="D150" s="113"/>
      <c r="K150" s="79">
        <f>K148-K74-K86-K61-K45</f>
        <v>0</v>
      </c>
      <c r="M150" s="76"/>
      <c r="N150" s="78"/>
    </row>
    <row r="151" spans="1:14" x14ac:dyDescent="0.4">
      <c r="C151" s="112"/>
      <c r="D151" s="113"/>
      <c r="M151" s="76"/>
      <c r="N151" s="78"/>
    </row>
    <row r="152" spans="1:14" x14ac:dyDescent="0.4">
      <c r="C152" s="112"/>
      <c r="D152" s="113" t="s">
        <v>261</v>
      </c>
      <c r="M152" s="76"/>
      <c r="N152" s="78"/>
    </row>
    <row r="153" spans="1:14" x14ac:dyDescent="0.4">
      <c r="C153" s="112"/>
      <c r="D153" s="113" t="s">
        <v>261</v>
      </c>
      <c r="M153" s="76"/>
      <c r="N153" s="76"/>
    </row>
    <row r="154" spans="1:14" x14ac:dyDescent="0.4">
      <c r="C154" s="112"/>
      <c r="D154" s="113"/>
    </row>
    <row r="155" spans="1:14" x14ac:dyDescent="0.4">
      <c r="C155" s="112"/>
      <c r="D155" s="113"/>
    </row>
    <row r="156" spans="1:14" x14ac:dyDescent="0.4">
      <c r="C156" s="112"/>
      <c r="D156" s="113"/>
    </row>
    <row r="157" spans="1:14" x14ac:dyDescent="0.4">
      <c r="C157" s="112"/>
      <c r="D157" s="113"/>
    </row>
    <row r="158" spans="1:14" x14ac:dyDescent="0.4">
      <c r="C158" s="112"/>
      <c r="D158" s="113"/>
      <c r="F158" s="10"/>
      <c r="G158" s="10"/>
      <c r="H158" s="10"/>
    </row>
  </sheetData>
  <mergeCells count="3">
    <mergeCell ref="A1:B1"/>
    <mergeCell ref="A2:B2"/>
    <mergeCell ref="A3:B3"/>
  </mergeCells>
  <pageMargins left="0.7" right="0.7" top="0.75" bottom="0.75" header="0.3" footer="0.3"/>
  <pageSetup orientation="portrait"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492"/>
  <sheetViews>
    <sheetView workbookViewId="0">
      <pane ySplit="5" topLeftCell="A6" activePane="bottomLeft" state="frozen"/>
      <selection pane="bottomLeft" activeCell="N13" sqref="N13"/>
    </sheetView>
  </sheetViews>
  <sheetFormatPr defaultColWidth="9.05859375" defaultRowHeight="12.7" outlineLevelCol="1" x14ac:dyDescent="0.4"/>
  <cols>
    <col min="1" max="1" width="11.05859375" style="76" customWidth="1"/>
    <col min="2" max="2" width="30" style="76" bestFit="1" customWidth="1"/>
    <col min="3" max="4" width="13.52734375" style="78" hidden="1" customWidth="1" outlineLevel="1"/>
    <col min="5" max="5" width="13.05859375" style="78" hidden="1" customWidth="1" outlineLevel="1"/>
    <col min="6" max="6" width="11" style="78" hidden="1" customWidth="1" outlineLevel="1"/>
    <col min="7" max="7" width="13.52734375" style="78" hidden="1" customWidth="1" outlineLevel="1"/>
    <col min="8" max="8" width="12.3515625" style="78" hidden="1" customWidth="1" outlineLevel="1"/>
    <col min="9" max="9" width="14.87890625" style="79" hidden="1" customWidth="1" outlineLevel="1"/>
    <col min="10" max="10" width="20.64453125" style="78" hidden="1" customWidth="1" outlineLevel="1"/>
    <col min="11" max="11" width="13.52734375" style="79" customWidth="1" collapsed="1"/>
    <col min="12" max="12" width="9.05859375" style="78" customWidth="1"/>
    <col min="13" max="13" width="17.8203125" style="76" customWidth="1"/>
    <col min="14" max="14" width="10.703125" style="76" customWidth="1"/>
    <col min="15" max="16384" width="9.05859375" style="76"/>
  </cols>
  <sheetData>
    <row r="1" spans="1:14" x14ac:dyDescent="0.4">
      <c r="A1" s="75" t="s">
        <v>0</v>
      </c>
    </row>
    <row r="2" spans="1:14" x14ac:dyDescent="0.4">
      <c r="A2" s="75" t="s">
        <v>482</v>
      </c>
    </row>
    <row r="3" spans="1:14" x14ac:dyDescent="0.4">
      <c r="A3" s="3">
        <v>43373</v>
      </c>
      <c r="F3" s="14" t="s">
        <v>261</v>
      </c>
      <c r="G3" s="14"/>
      <c r="H3" s="14"/>
      <c r="I3" s="19"/>
      <c r="J3" s="15"/>
    </row>
    <row r="4" spans="1:14" x14ac:dyDescent="0.4">
      <c r="B4" s="5" t="s">
        <v>261</v>
      </c>
    </row>
    <row r="5" spans="1:14" x14ac:dyDescent="0.4">
      <c r="A5" s="76" t="s">
        <v>484</v>
      </c>
      <c r="B5" s="68" t="s">
        <v>279</v>
      </c>
      <c r="C5" s="15" t="s">
        <v>0</v>
      </c>
      <c r="D5" s="15" t="s">
        <v>2</v>
      </c>
      <c r="E5" s="15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8" t="s">
        <v>280</v>
      </c>
      <c r="K5" s="19" t="s">
        <v>281</v>
      </c>
      <c r="M5" s="416" t="s">
        <v>282</v>
      </c>
      <c r="N5" s="416" t="s">
        <v>284</v>
      </c>
    </row>
    <row r="6" spans="1:14" ht="14.35" x14ac:dyDescent="0.5">
      <c r="A6" s="68" t="s">
        <v>305</v>
      </c>
      <c r="B6" s="68" t="s">
        <v>5</v>
      </c>
      <c r="C6" s="82"/>
      <c r="D6" s="80"/>
      <c r="E6" s="80"/>
      <c r="I6" s="79">
        <f>SUM(C6:H6)</f>
        <v>0</v>
      </c>
      <c r="J6" s="78" t="s">
        <v>264</v>
      </c>
      <c r="K6" s="79">
        <f>I6</f>
        <v>0</v>
      </c>
      <c r="M6" s="417" t="s">
        <v>264</v>
      </c>
      <c r="N6" s="418">
        <v>0</v>
      </c>
    </row>
    <row r="7" spans="1:14" ht="14.35" x14ac:dyDescent="0.5">
      <c r="A7" s="100" t="s">
        <v>876</v>
      </c>
      <c r="B7" s="100" t="s">
        <v>877</v>
      </c>
      <c r="C7" s="82"/>
      <c r="D7" s="80"/>
      <c r="E7" s="80"/>
      <c r="I7" s="79">
        <f>SUM(C7:H7)</f>
        <v>0</v>
      </c>
      <c r="J7" s="78" t="s">
        <v>264</v>
      </c>
      <c r="K7" s="79">
        <f>I7</f>
        <v>0</v>
      </c>
      <c r="M7" s="417" t="s">
        <v>265</v>
      </c>
      <c r="N7" s="418">
        <v>0</v>
      </c>
    </row>
    <row r="8" spans="1:14" ht="14.35" x14ac:dyDescent="0.5">
      <c r="A8" s="68" t="s">
        <v>306</v>
      </c>
      <c r="B8" s="68" t="s">
        <v>6</v>
      </c>
      <c r="C8" s="82"/>
      <c r="D8" s="80"/>
      <c r="E8" s="80"/>
      <c r="I8" s="79">
        <f t="shared" ref="I8:I73" si="0">SUM(C8:H8)</f>
        <v>0</v>
      </c>
      <c r="J8" s="78" t="s">
        <v>264</v>
      </c>
      <c r="K8" s="79">
        <f t="shared" ref="K8:K73" si="1">I8</f>
        <v>0</v>
      </c>
      <c r="M8" s="417" t="s">
        <v>268</v>
      </c>
      <c r="N8" s="418">
        <v>0</v>
      </c>
    </row>
    <row r="9" spans="1:14" ht="14.35" x14ac:dyDescent="0.5">
      <c r="A9" s="68" t="s">
        <v>668</v>
      </c>
      <c r="B9" s="68" t="s">
        <v>250</v>
      </c>
      <c r="C9" s="82"/>
      <c r="D9" s="80"/>
      <c r="E9" s="80"/>
      <c r="I9" s="79">
        <f t="shared" si="0"/>
        <v>0</v>
      </c>
      <c r="J9" s="78" t="s">
        <v>264</v>
      </c>
      <c r="K9" s="79">
        <f t="shared" si="1"/>
        <v>0</v>
      </c>
      <c r="M9" s="417" t="s">
        <v>271</v>
      </c>
      <c r="N9" s="418">
        <v>0</v>
      </c>
    </row>
    <row r="10" spans="1:14" ht="14.35" x14ac:dyDescent="0.5">
      <c r="A10" s="100" t="s">
        <v>786</v>
      </c>
      <c r="B10" s="100" t="s">
        <v>787</v>
      </c>
      <c r="C10" s="82"/>
      <c r="D10" s="80"/>
      <c r="E10" s="80"/>
      <c r="I10" s="79">
        <f t="shared" si="0"/>
        <v>0</v>
      </c>
      <c r="J10" s="78" t="s">
        <v>264</v>
      </c>
      <c r="K10" s="79">
        <f t="shared" si="1"/>
        <v>0</v>
      </c>
      <c r="M10" s="417" t="s">
        <v>266</v>
      </c>
      <c r="N10" s="418">
        <v>0</v>
      </c>
    </row>
    <row r="11" spans="1:14" ht="14.35" x14ac:dyDescent="0.5">
      <c r="A11" s="68" t="s">
        <v>307</v>
      </c>
      <c r="B11" s="68" t="s">
        <v>7</v>
      </c>
      <c r="C11" s="82"/>
      <c r="D11" s="80"/>
      <c r="E11" s="80"/>
      <c r="I11" s="79">
        <f t="shared" si="0"/>
        <v>0</v>
      </c>
      <c r="J11" s="78" t="s">
        <v>264</v>
      </c>
      <c r="K11" s="79">
        <f t="shared" si="1"/>
        <v>0</v>
      </c>
      <c r="M11" s="417" t="s">
        <v>270</v>
      </c>
      <c r="N11" s="418">
        <v>0</v>
      </c>
    </row>
    <row r="12" spans="1:14" ht="14.35" x14ac:dyDescent="0.5">
      <c r="A12" s="69"/>
      <c r="B12" s="68" t="s">
        <v>781</v>
      </c>
      <c r="C12" s="82"/>
      <c r="E12" s="80"/>
      <c r="I12" s="79">
        <f t="shared" si="0"/>
        <v>0</v>
      </c>
      <c r="J12" s="78" t="s">
        <v>264</v>
      </c>
      <c r="K12" s="79">
        <f t="shared" si="1"/>
        <v>0</v>
      </c>
      <c r="M12" s="417" t="s">
        <v>269</v>
      </c>
      <c r="N12" s="418">
        <v>0</v>
      </c>
    </row>
    <row r="13" spans="1:14" ht="14.35" x14ac:dyDescent="0.5">
      <c r="A13" s="68" t="s">
        <v>669</v>
      </c>
      <c r="B13" s="100" t="s">
        <v>670</v>
      </c>
      <c r="C13" s="82"/>
      <c r="D13" s="80"/>
      <c r="E13" s="80"/>
      <c r="I13" s="79">
        <f t="shared" si="0"/>
        <v>0</v>
      </c>
      <c r="J13" s="78" t="s">
        <v>264</v>
      </c>
      <c r="K13" s="79">
        <f t="shared" si="1"/>
        <v>0</v>
      </c>
      <c r="M13" s="417" t="s">
        <v>272</v>
      </c>
      <c r="N13" s="418">
        <v>0</v>
      </c>
    </row>
    <row r="14" spans="1:14" ht="14.35" x14ac:dyDescent="0.5">
      <c r="A14" s="68" t="s">
        <v>308</v>
      </c>
      <c r="B14" s="100" t="s">
        <v>671</v>
      </c>
      <c r="C14" s="82"/>
      <c r="D14" s="80"/>
      <c r="E14" s="80"/>
      <c r="I14" s="79">
        <f t="shared" si="0"/>
        <v>0</v>
      </c>
      <c r="J14" s="78" t="s">
        <v>264</v>
      </c>
      <c r="K14" s="79">
        <f t="shared" si="1"/>
        <v>0</v>
      </c>
      <c r="M14" s="417" t="s">
        <v>273</v>
      </c>
      <c r="N14" s="418">
        <v>0</v>
      </c>
    </row>
    <row r="15" spans="1:14" ht="14.35" x14ac:dyDescent="0.5">
      <c r="A15" s="68" t="s">
        <v>683</v>
      </c>
      <c r="B15" s="100" t="s">
        <v>682</v>
      </c>
      <c r="C15" s="82"/>
      <c r="D15" s="80"/>
      <c r="E15" s="80"/>
      <c r="I15" s="79">
        <f t="shared" si="0"/>
        <v>0</v>
      </c>
      <c r="J15" s="78" t="s">
        <v>264</v>
      </c>
      <c r="K15" s="79">
        <f t="shared" si="1"/>
        <v>0</v>
      </c>
      <c r="M15" s="417" t="s">
        <v>274</v>
      </c>
      <c r="N15" s="418">
        <v>0</v>
      </c>
    </row>
    <row r="16" spans="1:14" ht="14.35" x14ac:dyDescent="0.5">
      <c r="A16" s="68" t="s">
        <v>309</v>
      </c>
      <c r="B16" s="100" t="s">
        <v>672</v>
      </c>
      <c r="C16" s="82"/>
      <c r="D16" s="80"/>
      <c r="E16" s="80"/>
      <c r="I16" s="79">
        <f t="shared" si="0"/>
        <v>0</v>
      </c>
      <c r="J16" s="78" t="s">
        <v>264</v>
      </c>
      <c r="K16" s="79">
        <f t="shared" si="1"/>
        <v>0</v>
      </c>
      <c r="M16" s="417" t="s">
        <v>275</v>
      </c>
      <c r="N16" s="418">
        <v>0</v>
      </c>
    </row>
    <row r="17" spans="1:14" ht="14.35" x14ac:dyDescent="0.5">
      <c r="A17" s="68" t="s">
        <v>310</v>
      </c>
      <c r="B17" s="100" t="s">
        <v>673</v>
      </c>
      <c r="C17" s="82"/>
      <c r="E17" s="80"/>
      <c r="I17" s="79">
        <f t="shared" si="0"/>
        <v>0</v>
      </c>
      <c r="J17" s="78" t="s">
        <v>264</v>
      </c>
      <c r="K17" s="79">
        <f t="shared" si="1"/>
        <v>0</v>
      </c>
      <c r="M17" s="417" t="s">
        <v>276</v>
      </c>
      <c r="N17" s="418">
        <v>0</v>
      </c>
    </row>
    <row r="18" spans="1:14" ht="14.35" x14ac:dyDescent="0.5">
      <c r="A18" s="68" t="s">
        <v>684</v>
      </c>
      <c r="B18" s="100" t="s">
        <v>685</v>
      </c>
      <c r="C18" s="82"/>
      <c r="D18" s="80"/>
      <c r="E18" s="80"/>
      <c r="I18" s="79">
        <f t="shared" si="0"/>
        <v>0</v>
      </c>
      <c r="J18" s="78" t="s">
        <v>264</v>
      </c>
      <c r="K18" s="79">
        <f t="shared" si="1"/>
        <v>0</v>
      </c>
      <c r="M18" s="417" t="s">
        <v>277</v>
      </c>
      <c r="N18" s="418">
        <v>0</v>
      </c>
    </row>
    <row r="19" spans="1:14" ht="14.35" x14ac:dyDescent="0.5">
      <c r="A19" s="68" t="s">
        <v>311</v>
      </c>
      <c r="B19" s="68" t="s">
        <v>8</v>
      </c>
      <c r="C19" s="82"/>
      <c r="D19" s="80"/>
      <c r="E19" s="80"/>
      <c r="I19" s="79">
        <f t="shared" si="0"/>
        <v>0</v>
      </c>
      <c r="J19" s="78" t="s">
        <v>265</v>
      </c>
      <c r="K19" s="79">
        <f t="shared" si="1"/>
        <v>0</v>
      </c>
      <c r="M19" s="417" t="s">
        <v>278</v>
      </c>
      <c r="N19" s="418">
        <v>0</v>
      </c>
    </row>
    <row r="20" spans="1:14" ht="14.35" x14ac:dyDescent="0.5">
      <c r="A20" s="68" t="s">
        <v>312</v>
      </c>
      <c r="B20" s="68" t="s">
        <v>9</v>
      </c>
      <c r="C20" s="82"/>
      <c r="D20" s="80"/>
      <c r="E20" s="80"/>
      <c r="I20" s="79">
        <f t="shared" si="0"/>
        <v>0</v>
      </c>
      <c r="J20" s="78" t="s">
        <v>265</v>
      </c>
      <c r="K20" s="79">
        <f t="shared" si="1"/>
        <v>0</v>
      </c>
      <c r="M20" s="417" t="s">
        <v>267</v>
      </c>
      <c r="N20" s="418">
        <v>0</v>
      </c>
    </row>
    <row r="21" spans="1:14" ht="14.35" x14ac:dyDescent="0.5">
      <c r="A21" s="68" t="s">
        <v>313</v>
      </c>
      <c r="B21" s="68" t="s">
        <v>10</v>
      </c>
      <c r="C21" s="82"/>
      <c r="D21" s="80"/>
      <c r="E21" s="80"/>
      <c r="I21" s="79">
        <f t="shared" si="0"/>
        <v>0</v>
      </c>
      <c r="J21" s="78" t="s">
        <v>265</v>
      </c>
      <c r="K21" s="79">
        <f t="shared" si="1"/>
        <v>0</v>
      </c>
      <c r="M21" s="417" t="s">
        <v>861</v>
      </c>
      <c r="N21" s="418">
        <v>0</v>
      </c>
    </row>
    <row r="22" spans="1:14" ht="14.35" x14ac:dyDescent="0.5">
      <c r="A22" s="68" t="s">
        <v>314</v>
      </c>
      <c r="B22" s="68" t="s">
        <v>11</v>
      </c>
      <c r="C22" s="82"/>
      <c r="D22" s="80"/>
      <c r="E22" s="80"/>
      <c r="I22" s="79">
        <f t="shared" si="0"/>
        <v>0</v>
      </c>
      <c r="J22" s="78" t="s">
        <v>265</v>
      </c>
      <c r="K22" s="79">
        <f t="shared" si="1"/>
        <v>0</v>
      </c>
      <c r="M22" s="417" t="s">
        <v>650</v>
      </c>
      <c r="N22" s="418">
        <v>0</v>
      </c>
    </row>
    <row r="23" spans="1:14" ht="14.35" x14ac:dyDescent="0.5">
      <c r="A23" s="68" t="s">
        <v>315</v>
      </c>
      <c r="B23" s="68" t="s">
        <v>12</v>
      </c>
      <c r="C23" s="82"/>
      <c r="D23" s="80"/>
      <c r="E23" s="80"/>
      <c r="I23" s="79">
        <f t="shared" si="0"/>
        <v>0</v>
      </c>
      <c r="J23" s="78" t="s">
        <v>265</v>
      </c>
      <c r="K23" s="79">
        <f t="shared" si="1"/>
        <v>0</v>
      </c>
      <c r="M23" s="417" t="s">
        <v>858</v>
      </c>
      <c r="N23" s="418">
        <v>0</v>
      </c>
    </row>
    <row r="24" spans="1:14" ht="14.35" x14ac:dyDescent="0.5">
      <c r="A24" s="100" t="s">
        <v>696</v>
      </c>
      <c r="B24" s="100" t="s">
        <v>697</v>
      </c>
      <c r="C24" s="82"/>
      <c r="D24" s="80"/>
      <c r="E24" s="80"/>
      <c r="I24" s="79">
        <f t="shared" si="0"/>
        <v>0</v>
      </c>
      <c r="J24" s="78" t="s">
        <v>265</v>
      </c>
      <c r="K24" s="79">
        <f t="shared" si="1"/>
        <v>0</v>
      </c>
      <c r="M24" s="417" t="s">
        <v>859</v>
      </c>
      <c r="N24" s="418">
        <v>0</v>
      </c>
    </row>
    <row r="25" spans="1:14" ht="14.35" x14ac:dyDescent="0.5">
      <c r="A25" s="68" t="s">
        <v>316</v>
      </c>
      <c r="B25" s="68" t="s">
        <v>13</v>
      </c>
      <c r="C25" s="82"/>
      <c r="E25" s="80"/>
      <c r="I25" s="79">
        <f t="shared" si="0"/>
        <v>0</v>
      </c>
      <c r="J25" s="78" t="s">
        <v>265</v>
      </c>
      <c r="K25" s="79">
        <f t="shared" si="1"/>
        <v>0</v>
      </c>
      <c r="M25" s="417" t="s">
        <v>860</v>
      </c>
      <c r="N25" s="418">
        <v>0</v>
      </c>
    </row>
    <row r="26" spans="1:14" ht="14.35" x14ac:dyDescent="0.5">
      <c r="A26" s="68" t="s">
        <v>317</v>
      </c>
      <c r="B26" s="68" t="s">
        <v>14</v>
      </c>
      <c r="C26" s="82"/>
      <c r="D26" s="80"/>
      <c r="E26" s="80"/>
      <c r="I26" s="79">
        <f t="shared" si="0"/>
        <v>0</v>
      </c>
      <c r="J26" s="78" t="s">
        <v>265</v>
      </c>
      <c r="K26" s="79">
        <f t="shared" si="1"/>
        <v>0</v>
      </c>
      <c r="M26" s="417" t="s">
        <v>283</v>
      </c>
      <c r="N26" s="418">
        <v>0</v>
      </c>
    </row>
    <row r="27" spans="1:14" ht="14.35" x14ac:dyDescent="0.5">
      <c r="A27" s="68" t="s">
        <v>318</v>
      </c>
      <c r="B27" s="68" t="s">
        <v>15</v>
      </c>
      <c r="C27" s="82"/>
      <c r="D27" s="80"/>
      <c r="E27" s="80"/>
      <c r="I27" s="79">
        <f t="shared" si="0"/>
        <v>0</v>
      </c>
      <c r="J27" s="78" t="s">
        <v>271</v>
      </c>
      <c r="K27" s="79">
        <f t="shared" si="1"/>
        <v>0</v>
      </c>
      <c r="M27"/>
      <c r="N27"/>
    </row>
    <row r="28" spans="1:14" ht="14.35" x14ac:dyDescent="0.5">
      <c r="A28" s="68" t="s">
        <v>617</v>
      </c>
      <c r="B28" s="68" t="s">
        <v>618</v>
      </c>
      <c r="C28" s="82"/>
      <c r="D28" s="80"/>
      <c r="E28" s="80"/>
      <c r="I28" s="79">
        <f t="shared" si="0"/>
        <v>0</v>
      </c>
      <c r="J28" s="78" t="s">
        <v>858</v>
      </c>
      <c r="K28" s="79">
        <f t="shared" si="1"/>
        <v>0</v>
      </c>
      <c r="M28"/>
      <c r="N28"/>
    </row>
    <row r="29" spans="1:14" ht="14.35" x14ac:dyDescent="0.5">
      <c r="A29" s="69"/>
      <c r="B29" s="68" t="s">
        <v>614</v>
      </c>
      <c r="C29" s="82"/>
      <c r="E29" s="80"/>
      <c r="I29" s="79">
        <f t="shared" si="0"/>
        <v>0</v>
      </c>
      <c r="J29" s="78" t="s">
        <v>650</v>
      </c>
      <c r="K29" s="79">
        <f t="shared" si="1"/>
        <v>0</v>
      </c>
    </row>
    <row r="30" spans="1:14" ht="14.35" x14ac:dyDescent="0.5">
      <c r="A30" s="68" t="s">
        <v>319</v>
      </c>
      <c r="B30" s="68" t="s">
        <v>16</v>
      </c>
      <c r="C30" s="82"/>
      <c r="D30" s="80"/>
      <c r="E30" s="80"/>
      <c r="I30" s="79">
        <f t="shared" si="0"/>
        <v>0</v>
      </c>
      <c r="J30" s="78" t="s">
        <v>271</v>
      </c>
      <c r="K30" s="79">
        <f t="shared" si="1"/>
        <v>0</v>
      </c>
    </row>
    <row r="31" spans="1:14" ht="14.35" x14ac:dyDescent="0.5">
      <c r="A31" s="26" t="s">
        <v>652</v>
      </c>
      <c r="B31" s="26" t="s">
        <v>653</v>
      </c>
      <c r="C31" s="82"/>
      <c r="D31" s="80"/>
      <c r="E31" s="80"/>
      <c r="I31" s="79">
        <f t="shared" si="0"/>
        <v>0</v>
      </c>
      <c r="J31" s="78" t="s">
        <v>271</v>
      </c>
      <c r="K31" s="79">
        <f t="shared" si="1"/>
        <v>0</v>
      </c>
    </row>
    <row r="32" spans="1:14" ht="14.35" x14ac:dyDescent="0.5">
      <c r="A32" s="68" t="s">
        <v>320</v>
      </c>
      <c r="B32" s="68" t="s">
        <v>17</v>
      </c>
      <c r="C32" s="82"/>
      <c r="D32" s="80"/>
      <c r="E32" s="80"/>
      <c r="I32" s="79">
        <f t="shared" si="0"/>
        <v>0</v>
      </c>
      <c r="J32" s="78" t="s">
        <v>650</v>
      </c>
      <c r="K32" s="79">
        <f t="shared" si="1"/>
        <v>0</v>
      </c>
    </row>
    <row r="33" spans="1:13" ht="14.35" x14ac:dyDescent="0.5">
      <c r="A33" s="68" t="s">
        <v>321</v>
      </c>
      <c r="B33" s="68" t="s">
        <v>18</v>
      </c>
      <c r="C33" s="82"/>
      <c r="D33" s="80"/>
      <c r="E33" s="80"/>
      <c r="I33" s="79">
        <f t="shared" si="0"/>
        <v>0</v>
      </c>
      <c r="J33" s="78" t="s">
        <v>650</v>
      </c>
      <c r="K33" s="79">
        <f t="shared" si="1"/>
        <v>0</v>
      </c>
    </row>
    <row r="34" spans="1:13" ht="14.35" x14ac:dyDescent="0.5">
      <c r="A34" s="68" t="s">
        <v>322</v>
      </c>
      <c r="B34" s="68" t="s">
        <v>19</v>
      </c>
      <c r="C34" s="82"/>
      <c r="D34" s="80"/>
      <c r="E34" s="80"/>
      <c r="I34" s="79">
        <f t="shared" si="0"/>
        <v>0</v>
      </c>
      <c r="J34" s="78" t="s">
        <v>268</v>
      </c>
      <c r="K34" s="79">
        <f t="shared" si="1"/>
        <v>0</v>
      </c>
      <c r="M34" s="77"/>
    </row>
    <row r="35" spans="1:13" ht="14.35" x14ac:dyDescent="0.5">
      <c r="A35" s="68" t="s">
        <v>323</v>
      </c>
      <c r="B35" s="68" t="s">
        <v>20</v>
      </c>
      <c r="C35" s="82"/>
      <c r="D35" s="80"/>
      <c r="E35" s="80"/>
      <c r="I35" s="79">
        <f t="shared" si="0"/>
        <v>0</v>
      </c>
      <c r="J35" s="78" t="s">
        <v>268</v>
      </c>
      <c r="K35" s="79">
        <f t="shared" si="1"/>
        <v>0</v>
      </c>
    </row>
    <row r="36" spans="1:13" ht="14.35" x14ac:dyDescent="0.5">
      <c r="A36" s="100" t="s">
        <v>812</v>
      </c>
      <c r="B36" s="100" t="s">
        <v>813</v>
      </c>
      <c r="C36" s="82"/>
      <c r="D36" s="80"/>
      <c r="E36" s="80"/>
      <c r="I36" s="79">
        <f t="shared" si="0"/>
        <v>0</v>
      </c>
      <c r="J36" s="78" t="s">
        <v>268</v>
      </c>
      <c r="K36" s="79">
        <f t="shared" si="1"/>
        <v>0</v>
      </c>
    </row>
    <row r="37" spans="1:13" ht="14.35" x14ac:dyDescent="0.5">
      <c r="A37" s="68" t="s">
        <v>324</v>
      </c>
      <c r="B37" s="68" t="s">
        <v>21</v>
      </c>
      <c r="C37" s="82"/>
      <c r="D37" s="80"/>
      <c r="E37" s="80"/>
      <c r="I37" s="79">
        <f t="shared" si="0"/>
        <v>0</v>
      </c>
      <c r="J37" s="78" t="s">
        <v>266</v>
      </c>
      <c r="K37" s="79">
        <f t="shared" si="1"/>
        <v>0</v>
      </c>
    </row>
    <row r="38" spans="1:13" ht="14.35" x14ac:dyDescent="0.5">
      <c r="A38" s="100" t="s">
        <v>801</v>
      </c>
      <c r="B38" s="100" t="s">
        <v>802</v>
      </c>
      <c r="C38" s="82"/>
      <c r="D38" s="80"/>
      <c r="E38" s="80"/>
      <c r="I38" s="79">
        <f t="shared" si="0"/>
        <v>0</v>
      </c>
      <c r="J38" s="78" t="s">
        <v>650</v>
      </c>
      <c r="K38" s="79">
        <f t="shared" si="1"/>
        <v>0</v>
      </c>
    </row>
    <row r="39" spans="1:13" ht="14.35" x14ac:dyDescent="0.5">
      <c r="A39" s="68" t="s">
        <v>609</v>
      </c>
      <c r="B39" s="68" t="s">
        <v>608</v>
      </c>
      <c r="C39" s="82"/>
      <c r="D39" s="80"/>
      <c r="E39" s="80"/>
      <c r="I39" s="79">
        <f t="shared" si="0"/>
        <v>0</v>
      </c>
      <c r="J39" s="78" t="s">
        <v>266</v>
      </c>
      <c r="K39" s="79">
        <f t="shared" si="1"/>
        <v>0</v>
      </c>
    </row>
    <row r="40" spans="1:13" ht="14.35" x14ac:dyDescent="0.5">
      <c r="A40" s="69"/>
      <c r="B40" s="68" t="s">
        <v>604</v>
      </c>
      <c r="C40" s="82"/>
      <c r="D40" s="79"/>
      <c r="E40" s="104"/>
      <c r="F40" s="79"/>
      <c r="G40" s="79"/>
      <c r="H40" s="79">
        <f>-D40</f>
        <v>0</v>
      </c>
      <c r="I40" s="79">
        <f t="shared" si="0"/>
        <v>0</v>
      </c>
      <c r="J40" s="79" t="s">
        <v>266</v>
      </c>
      <c r="K40" s="79">
        <f t="shared" si="1"/>
        <v>0</v>
      </c>
    </row>
    <row r="41" spans="1:13" ht="14.35" x14ac:dyDescent="0.5">
      <c r="A41" s="68" t="s">
        <v>325</v>
      </c>
      <c r="B41" s="68" t="s">
        <v>23</v>
      </c>
      <c r="C41" s="82"/>
      <c r="E41" s="80"/>
      <c r="I41" s="79">
        <f t="shared" si="0"/>
        <v>0</v>
      </c>
      <c r="J41" s="78" t="s">
        <v>266</v>
      </c>
      <c r="K41" s="79">
        <f t="shared" si="1"/>
        <v>0</v>
      </c>
    </row>
    <row r="42" spans="1:13" ht="14.35" x14ac:dyDescent="0.5">
      <c r="A42" s="68" t="s">
        <v>326</v>
      </c>
      <c r="B42" s="68" t="s">
        <v>24</v>
      </c>
      <c r="C42" s="82"/>
      <c r="D42" s="80"/>
      <c r="E42" s="80"/>
      <c r="H42" s="78">
        <f>-H40</f>
        <v>0</v>
      </c>
      <c r="I42" s="79">
        <f t="shared" si="0"/>
        <v>0</v>
      </c>
      <c r="J42" s="78" t="s">
        <v>266</v>
      </c>
      <c r="K42" s="79">
        <f t="shared" si="1"/>
        <v>0</v>
      </c>
    </row>
    <row r="43" spans="1:13" ht="14.35" x14ac:dyDescent="0.5">
      <c r="A43" s="68" t="s">
        <v>327</v>
      </c>
      <c r="B43" s="68" t="s">
        <v>25</v>
      </c>
      <c r="C43" s="82"/>
      <c r="D43" s="80"/>
      <c r="E43" s="80"/>
      <c r="I43" s="79">
        <f t="shared" si="0"/>
        <v>0</v>
      </c>
      <c r="J43" s="78" t="s">
        <v>266</v>
      </c>
      <c r="K43" s="79">
        <f t="shared" si="1"/>
        <v>0</v>
      </c>
    </row>
    <row r="44" spans="1:13" ht="14.35" x14ac:dyDescent="0.5">
      <c r="A44" s="68" t="s">
        <v>328</v>
      </c>
      <c r="B44" s="68" t="s">
        <v>26</v>
      </c>
      <c r="C44" s="82"/>
      <c r="E44" s="80"/>
      <c r="I44" s="79">
        <f t="shared" si="0"/>
        <v>0</v>
      </c>
      <c r="J44" s="78" t="s">
        <v>266</v>
      </c>
      <c r="K44" s="79">
        <f t="shared" si="1"/>
        <v>0</v>
      </c>
    </row>
    <row r="45" spans="1:13" ht="14.35" x14ac:dyDescent="0.5">
      <c r="A45" s="68" t="s">
        <v>329</v>
      </c>
      <c r="B45" s="68" t="s">
        <v>27</v>
      </c>
      <c r="C45" s="82"/>
      <c r="E45" s="80"/>
      <c r="I45" s="79">
        <f t="shared" si="0"/>
        <v>0</v>
      </c>
      <c r="J45" s="78" t="s">
        <v>266</v>
      </c>
      <c r="K45" s="79">
        <f t="shared" si="1"/>
        <v>0</v>
      </c>
    </row>
    <row r="46" spans="1:13" ht="14.35" x14ac:dyDescent="0.5">
      <c r="A46" s="68" t="s">
        <v>330</v>
      </c>
      <c r="B46" s="68" t="s">
        <v>28</v>
      </c>
      <c r="C46" s="82"/>
      <c r="E46" s="80"/>
      <c r="I46" s="79">
        <f t="shared" si="0"/>
        <v>0</v>
      </c>
      <c r="J46" s="78" t="s">
        <v>266</v>
      </c>
      <c r="K46" s="79">
        <f t="shared" si="1"/>
        <v>0</v>
      </c>
    </row>
    <row r="47" spans="1:13" ht="14.35" x14ac:dyDescent="0.5">
      <c r="A47" s="68" t="s">
        <v>331</v>
      </c>
      <c r="B47" s="68" t="s">
        <v>29</v>
      </c>
      <c r="C47" s="82"/>
      <c r="E47" s="80"/>
      <c r="I47" s="79">
        <f t="shared" si="0"/>
        <v>0</v>
      </c>
      <c r="J47" s="78" t="s">
        <v>266</v>
      </c>
      <c r="K47" s="79">
        <f t="shared" si="1"/>
        <v>0</v>
      </c>
    </row>
    <row r="48" spans="1:13" ht="14.35" x14ac:dyDescent="0.5">
      <c r="A48" s="68" t="s">
        <v>332</v>
      </c>
      <c r="B48" s="68" t="s">
        <v>30</v>
      </c>
      <c r="C48" s="82"/>
      <c r="D48" s="80"/>
      <c r="E48" s="80"/>
      <c r="I48" s="79">
        <f t="shared" si="0"/>
        <v>0</v>
      </c>
      <c r="J48" s="78" t="s">
        <v>266</v>
      </c>
      <c r="K48" s="79">
        <f t="shared" si="1"/>
        <v>0</v>
      </c>
    </row>
    <row r="49" spans="1:11" ht="14.35" x14ac:dyDescent="0.5">
      <c r="A49" s="68" t="s">
        <v>333</v>
      </c>
      <c r="B49" s="68" t="s">
        <v>31</v>
      </c>
      <c r="C49" s="82"/>
      <c r="D49" s="80"/>
      <c r="E49" s="80"/>
      <c r="I49" s="79">
        <f t="shared" si="0"/>
        <v>0</v>
      </c>
      <c r="J49" s="78" t="s">
        <v>266</v>
      </c>
      <c r="K49" s="79">
        <f t="shared" si="1"/>
        <v>0</v>
      </c>
    </row>
    <row r="50" spans="1:11" ht="14.35" x14ac:dyDescent="0.5">
      <c r="A50" s="68" t="s">
        <v>334</v>
      </c>
      <c r="B50" s="68" t="s">
        <v>32</v>
      </c>
      <c r="C50" s="82"/>
      <c r="D50" s="80"/>
      <c r="E50" s="80"/>
      <c r="I50" s="79">
        <f t="shared" si="0"/>
        <v>0</v>
      </c>
      <c r="J50" s="78" t="s">
        <v>266</v>
      </c>
      <c r="K50" s="79">
        <f t="shared" si="1"/>
        <v>0</v>
      </c>
    </row>
    <row r="51" spans="1:11" ht="14.35" x14ac:dyDescent="0.5">
      <c r="A51" s="68" t="s">
        <v>335</v>
      </c>
      <c r="B51" s="68" t="s">
        <v>33</v>
      </c>
      <c r="C51" s="82"/>
      <c r="E51" s="80"/>
      <c r="I51" s="79">
        <f t="shared" si="0"/>
        <v>0</v>
      </c>
      <c r="J51" s="78" t="s">
        <v>266</v>
      </c>
      <c r="K51" s="79">
        <f t="shared" si="1"/>
        <v>0</v>
      </c>
    </row>
    <row r="52" spans="1:11" ht="14.35" x14ac:dyDescent="0.5">
      <c r="A52" s="68" t="s">
        <v>336</v>
      </c>
      <c r="B52" s="68" t="s">
        <v>34</v>
      </c>
      <c r="C52" s="82"/>
      <c r="E52" s="80"/>
      <c r="I52" s="79">
        <f t="shared" si="0"/>
        <v>0</v>
      </c>
      <c r="J52" s="78" t="s">
        <v>269</v>
      </c>
      <c r="K52" s="79">
        <f t="shared" si="1"/>
        <v>0</v>
      </c>
    </row>
    <row r="53" spans="1:11" ht="14.35" x14ac:dyDescent="0.5">
      <c r="A53" s="68" t="s">
        <v>337</v>
      </c>
      <c r="B53" s="68" t="s">
        <v>35</v>
      </c>
      <c r="C53" s="82"/>
      <c r="D53" s="80"/>
      <c r="E53" s="80"/>
      <c r="I53" s="79">
        <f t="shared" si="0"/>
        <v>0</v>
      </c>
      <c r="J53" s="78" t="s">
        <v>266</v>
      </c>
      <c r="K53" s="79">
        <f t="shared" si="1"/>
        <v>0</v>
      </c>
    </row>
    <row r="54" spans="1:11" ht="14.35" x14ac:dyDescent="0.5">
      <c r="A54" s="69" t="s">
        <v>768</v>
      </c>
      <c r="B54" s="68" t="s">
        <v>36</v>
      </c>
      <c r="C54" s="82"/>
      <c r="D54" s="80"/>
      <c r="I54" s="79">
        <f t="shared" si="0"/>
        <v>0</v>
      </c>
      <c r="J54" s="78" t="s">
        <v>266</v>
      </c>
      <c r="K54" s="79">
        <f t="shared" si="1"/>
        <v>0</v>
      </c>
    </row>
    <row r="55" spans="1:11" ht="14.35" x14ac:dyDescent="0.5">
      <c r="A55" s="68" t="s">
        <v>354</v>
      </c>
      <c r="B55" s="68" t="s">
        <v>55</v>
      </c>
      <c r="C55" s="82"/>
      <c r="E55" s="80"/>
      <c r="I55" s="79">
        <f t="shared" si="0"/>
        <v>0</v>
      </c>
      <c r="J55" s="78" t="s">
        <v>266</v>
      </c>
      <c r="K55" s="79">
        <f t="shared" si="1"/>
        <v>0</v>
      </c>
    </row>
    <row r="56" spans="1:11" ht="14.35" x14ac:dyDescent="0.5">
      <c r="A56" s="68" t="s">
        <v>338</v>
      </c>
      <c r="B56" s="68" t="s">
        <v>37</v>
      </c>
      <c r="C56" s="82"/>
      <c r="D56" s="80"/>
      <c r="E56" s="80"/>
      <c r="I56" s="79">
        <f t="shared" si="0"/>
        <v>0</v>
      </c>
      <c r="J56" s="78" t="s">
        <v>266</v>
      </c>
      <c r="K56" s="79">
        <f t="shared" si="1"/>
        <v>0</v>
      </c>
    </row>
    <row r="57" spans="1:11" ht="14.35" x14ac:dyDescent="0.5">
      <c r="A57" s="68" t="s">
        <v>339</v>
      </c>
      <c r="B57" s="68" t="s">
        <v>38</v>
      </c>
      <c r="C57" s="82"/>
      <c r="E57" s="80"/>
      <c r="I57" s="79">
        <f t="shared" si="0"/>
        <v>0</v>
      </c>
      <c r="J57" s="78" t="s">
        <v>266</v>
      </c>
      <c r="K57" s="79">
        <f t="shared" si="1"/>
        <v>0</v>
      </c>
    </row>
    <row r="58" spans="1:11" ht="14.35" x14ac:dyDescent="0.5">
      <c r="A58" s="68" t="s">
        <v>340</v>
      </c>
      <c r="B58" s="68" t="s">
        <v>39</v>
      </c>
      <c r="C58" s="82"/>
      <c r="D58" s="80"/>
      <c r="E58" s="80"/>
      <c r="I58" s="79">
        <f t="shared" si="0"/>
        <v>0</v>
      </c>
      <c r="J58" s="78" t="s">
        <v>266</v>
      </c>
      <c r="K58" s="79">
        <f t="shared" si="1"/>
        <v>0</v>
      </c>
    </row>
    <row r="59" spans="1:11" ht="14.35" x14ac:dyDescent="0.5">
      <c r="A59" s="68" t="s">
        <v>341</v>
      </c>
      <c r="B59" s="68" t="s">
        <v>40</v>
      </c>
      <c r="C59" s="82"/>
      <c r="D59" s="80"/>
      <c r="E59" s="80"/>
      <c r="I59" s="79">
        <f t="shared" si="0"/>
        <v>0</v>
      </c>
      <c r="J59" s="78" t="s">
        <v>266</v>
      </c>
      <c r="K59" s="79">
        <f t="shared" si="1"/>
        <v>0</v>
      </c>
    </row>
    <row r="60" spans="1:11" ht="14.35" x14ac:dyDescent="0.5">
      <c r="A60" s="69"/>
      <c r="B60" s="68" t="s">
        <v>41</v>
      </c>
      <c r="C60" s="82"/>
      <c r="D60" s="80"/>
      <c r="I60" s="79">
        <f t="shared" si="0"/>
        <v>0</v>
      </c>
      <c r="J60" s="78" t="s">
        <v>266</v>
      </c>
      <c r="K60" s="79">
        <f t="shared" si="1"/>
        <v>0</v>
      </c>
    </row>
    <row r="61" spans="1:11" ht="14.35" x14ac:dyDescent="0.5">
      <c r="A61" s="68" t="s">
        <v>342</v>
      </c>
      <c r="B61" s="68" t="s">
        <v>42</v>
      </c>
      <c r="C61" s="82"/>
      <c r="D61" s="80"/>
      <c r="E61" s="80"/>
      <c r="I61" s="79">
        <f t="shared" si="0"/>
        <v>0</v>
      </c>
      <c r="J61" s="78" t="s">
        <v>266</v>
      </c>
      <c r="K61" s="79">
        <f t="shared" si="1"/>
        <v>0</v>
      </c>
    </row>
    <row r="62" spans="1:11" ht="14.35" x14ac:dyDescent="0.5">
      <c r="A62" s="68" t="s">
        <v>343</v>
      </c>
      <c r="B62" s="68" t="s">
        <v>43</v>
      </c>
      <c r="C62" s="82"/>
      <c r="D62" s="80"/>
      <c r="E62" s="80"/>
      <c r="I62" s="79">
        <f t="shared" si="0"/>
        <v>0</v>
      </c>
      <c r="J62" s="78" t="s">
        <v>266</v>
      </c>
      <c r="K62" s="79">
        <f t="shared" si="1"/>
        <v>0</v>
      </c>
    </row>
    <row r="63" spans="1:11" ht="14.35" x14ac:dyDescent="0.5">
      <c r="A63" s="68" t="s">
        <v>344</v>
      </c>
      <c r="B63" s="68" t="s">
        <v>44</v>
      </c>
      <c r="C63" s="82"/>
      <c r="E63" s="80"/>
      <c r="I63" s="79">
        <f t="shared" si="0"/>
        <v>0</v>
      </c>
      <c r="J63" s="78" t="s">
        <v>266</v>
      </c>
      <c r="K63" s="79">
        <f t="shared" si="1"/>
        <v>0</v>
      </c>
    </row>
    <row r="64" spans="1:11" ht="14.35" x14ac:dyDescent="0.5">
      <c r="A64" s="68" t="s">
        <v>345</v>
      </c>
      <c r="B64" s="68" t="s">
        <v>45</v>
      </c>
      <c r="C64" s="82"/>
      <c r="E64" s="80"/>
      <c r="I64" s="79">
        <f t="shared" si="0"/>
        <v>0</v>
      </c>
      <c r="J64" s="78" t="s">
        <v>266</v>
      </c>
      <c r="K64" s="79">
        <f t="shared" si="1"/>
        <v>0</v>
      </c>
    </row>
    <row r="65" spans="1:11" ht="14.35" x14ac:dyDescent="0.5">
      <c r="A65" s="68" t="s">
        <v>346</v>
      </c>
      <c r="B65" s="68" t="s">
        <v>46</v>
      </c>
      <c r="C65" s="82"/>
      <c r="E65" s="80"/>
      <c r="I65" s="79">
        <f t="shared" si="0"/>
        <v>0</v>
      </c>
      <c r="J65" s="78" t="s">
        <v>266</v>
      </c>
      <c r="K65" s="79">
        <f t="shared" si="1"/>
        <v>0</v>
      </c>
    </row>
    <row r="66" spans="1:11" ht="14.35" x14ac:dyDescent="0.5">
      <c r="A66" s="68" t="s">
        <v>347</v>
      </c>
      <c r="B66" s="68" t="s">
        <v>47</v>
      </c>
      <c r="C66" s="82"/>
      <c r="E66" s="80"/>
      <c r="I66" s="79">
        <f t="shared" si="0"/>
        <v>0</v>
      </c>
      <c r="J66" s="78" t="s">
        <v>266</v>
      </c>
      <c r="K66" s="79">
        <f t="shared" si="1"/>
        <v>0</v>
      </c>
    </row>
    <row r="67" spans="1:11" ht="14.35" x14ac:dyDescent="0.5">
      <c r="A67" s="68" t="s">
        <v>348</v>
      </c>
      <c r="B67" s="68" t="s">
        <v>48</v>
      </c>
      <c r="C67" s="82"/>
      <c r="D67" s="80"/>
      <c r="E67" s="80"/>
      <c r="I67" s="79">
        <f t="shared" si="0"/>
        <v>0</v>
      </c>
      <c r="J67" s="78" t="s">
        <v>266</v>
      </c>
      <c r="K67" s="79">
        <f t="shared" si="1"/>
        <v>0</v>
      </c>
    </row>
    <row r="68" spans="1:11" ht="14.35" x14ac:dyDescent="0.5">
      <c r="A68" s="68" t="s">
        <v>349</v>
      </c>
      <c r="B68" s="68" t="s">
        <v>49</v>
      </c>
      <c r="C68" s="82"/>
      <c r="D68" s="79"/>
      <c r="E68" s="80"/>
      <c r="I68" s="79">
        <f t="shared" si="0"/>
        <v>0</v>
      </c>
      <c r="J68" s="78" t="s">
        <v>266</v>
      </c>
      <c r="K68" s="79">
        <f t="shared" si="1"/>
        <v>0</v>
      </c>
    </row>
    <row r="69" spans="1:11" ht="14.35" x14ac:dyDescent="0.5">
      <c r="A69" s="68" t="s">
        <v>350</v>
      </c>
      <c r="B69" s="68" t="s">
        <v>50</v>
      </c>
      <c r="C69" s="82"/>
      <c r="E69" s="80"/>
      <c r="I69" s="79">
        <f t="shared" si="0"/>
        <v>0</v>
      </c>
      <c r="J69" s="78" t="s">
        <v>269</v>
      </c>
      <c r="K69" s="79">
        <f t="shared" si="1"/>
        <v>0</v>
      </c>
    </row>
    <row r="70" spans="1:11" ht="14.35" x14ac:dyDescent="0.5">
      <c r="A70" s="68" t="s">
        <v>612</v>
      </c>
      <c r="B70" s="68" t="s">
        <v>613</v>
      </c>
      <c r="C70" s="82"/>
      <c r="D70" s="79"/>
      <c r="E70" s="80"/>
      <c r="I70" s="79">
        <f t="shared" si="0"/>
        <v>0</v>
      </c>
      <c r="J70" s="78" t="s">
        <v>266</v>
      </c>
      <c r="K70" s="79">
        <f t="shared" si="1"/>
        <v>0</v>
      </c>
    </row>
    <row r="71" spans="1:11" ht="14.35" x14ac:dyDescent="0.5">
      <c r="A71" s="68" t="s">
        <v>351</v>
      </c>
      <c r="B71" s="68" t="s">
        <v>51</v>
      </c>
      <c r="C71" s="82"/>
      <c r="D71" s="80"/>
      <c r="E71" s="80"/>
      <c r="I71" s="79">
        <f t="shared" si="0"/>
        <v>0</v>
      </c>
      <c r="J71" s="78" t="s">
        <v>266</v>
      </c>
      <c r="K71" s="79">
        <f t="shared" si="1"/>
        <v>0</v>
      </c>
    </row>
    <row r="72" spans="1:11" ht="14.35" x14ac:dyDescent="0.5">
      <c r="A72" s="68" t="s">
        <v>352</v>
      </c>
      <c r="B72" s="68" t="s">
        <v>53</v>
      </c>
      <c r="C72" s="82"/>
      <c r="D72" s="80"/>
      <c r="E72" s="80"/>
      <c r="G72" s="78">
        <f>-C72</f>
        <v>0</v>
      </c>
      <c r="I72" s="79">
        <f t="shared" si="0"/>
        <v>0</v>
      </c>
      <c r="J72" s="78" t="s">
        <v>267</v>
      </c>
      <c r="K72" s="79">
        <f t="shared" si="1"/>
        <v>0</v>
      </c>
    </row>
    <row r="73" spans="1:11" ht="14.35" x14ac:dyDescent="0.5">
      <c r="A73" s="68" t="s">
        <v>353</v>
      </c>
      <c r="B73" s="68" t="s">
        <v>54</v>
      </c>
      <c r="C73" s="82"/>
      <c r="D73" s="80"/>
      <c r="E73" s="80"/>
      <c r="G73" s="78">
        <f>-C73</f>
        <v>0</v>
      </c>
      <c r="I73" s="79">
        <f t="shared" si="0"/>
        <v>0</v>
      </c>
      <c r="J73" s="78" t="s">
        <v>267</v>
      </c>
      <c r="K73" s="79">
        <f t="shared" si="1"/>
        <v>0</v>
      </c>
    </row>
    <row r="74" spans="1:11" ht="14.35" x14ac:dyDescent="0.5">
      <c r="A74" s="68" t="s">
        <v>355</v>
      </c>
      <c r="B74" s="68" t="s">
        <v>56</v>
      </c>
      <c r="C74" s="82"/>
      <c r="D74" s="80"/>
      <c r="E74" s="80"/>
      <c r="I74" s="79">
        <f t="shared" ref="I74:I118" si="2">SUM(C74:H74)</f>
        <v>0</v>
      </c>
      <c r="J74" s="78" t="s">
        <v>271</v>
      </c>
      <c r="K74" s="79">
        <f t="shared" ref="K74:K137" si="3">I74</f>
        <v>0</v>
      </c>
    </row>
    <row r="75" spans="1:11" ht="14.35" x14ac:dyDescent="0.5">
      <c r="A75" s="68" t="s">
        <v>356</v>
      </c>
      <c r="B75" s="68" t="s">
        <v>57</v>
      </c>
      <c r="C75" s="82"/>
      <c r="D75" s="80"/>
      <c r="E75" s="80"/>
      <c r="I75" s="79">
        <f t="shared" si="2"/>
        <v>0</v>
      </c>
      <c r="J75" s="78" t="s">
        <v>268</v>
      </c>
      <c r="K75" s="79">
        <f t="shared" si="3"/>
        <v>0</v>
      </c>
    </row>
    <row r="76" spans="1:11" ht="14.35" x14ac:dyDescent="0.5">
      <c r="A76" s="68" t="s">
        <v>357</v>
      </c>
      <c r="B76" s="68" t="s">
        <v>58</v>
      </c>
      <c r="C76" s="82"/>
      <c r="E76" s="80"/>
      <c r="I76" s="79">
        <f t="shared" si="2"/>
        <v>0</v>
      </c>
      <c r="J76" s="78" t="s">
        <v>270</v>
      </c>
      <c r="K76" s="79">
        <f t="shared" si="3"/>
        <v>0</v>
      </c>
    </row>
    <row r="77" spans="1:11" ht="14.35" x14ac:dyDescent="0.5">
      <c r="A77" s="68" t="s">
        <v>358</v>
      </c>
      <c r="B77" s="68" t="s">
        <v>59</v>
      </c>
      <c r="C77" s="82"/>
      <c r="D77" s="80"/>
      <c r="E77" s="80"/>
      <c r="I77" s="79">
        <f t="shared" si="2"/>
        <v>0</v>
      </c>
      <c r="J77" s="78" t="s">
        <v>270</v>
      </c>
      <c r="K77" s="79">
        <f t="shared" si="3"/>
        <v>0</v>
      </c>
    </row>
    <row r="78" spans="1:11" ht="14.35" x14ac:dyDescent="0.5">
      <c r="A78" s="68" t="s">
        <v>359</v>
      </c>
      <c r="B78" s="68" t="s">
        <v>60</v>
      </c>
      <c r="C78" s="82"/>
      <c r="D78" s="80"/>
      <c r="E78" s="80"/>
      <c r="I78" s="79">
        <f t="shared" si="2"/>
        <v>0</v>
      </c>
      <c r="J78" s="78" t="s">
        <v>274</v>
      </c>
      <c r="K78" s="79">
        <f t="shared" si="3"/>
        <v>0</v>
      </c>
    </row>
    <row r="79" spans="1:11" ht="14.35" x14ac:dyDescent="0.5">
      <c r="A79" s="68" t="s">
        <v>360</v>
      </c>
      <c r="B79" s="68" t="s">
        <v>61</v>
      </c>
      <c r="C79" s="82"/>
      <c r="D79" s="80"/>
      <c r="E79" s="80"/>
      <c r="I79" s="79">
        <f t="shared" si="2"/>
        <v>0</v>
      </c>
      <c r="J79" s="78" t="s">
        <v>274</v>
      </c>
      <c r="K79" s="79">
        <f t="shared" si="3"/>
        <v>0</v>
      </c>
    </row>
    <row r="80" spans="1:11" ht="14.35" x14ac:dyDescent="0.5">
      <c r="A80" s="68" t="s">
        <v>361</v>
      </c>
      <c r="B80" s="68" t="s">
        <v>62</v>
      </c>
      <c r="C80" s="82"/>
      <c r="D80" s="80"/>
      <c r="E80" s="80"/>
      <c r="F80" s="78">
        <f>-C80</f>
        <v>0</v>
      </c>
      <c r="I80" s="79">
        <f t="shared" si="2"/>
        <v>0</v>
      </c>
      <c r="J80" s="78" t="s">
        <v>267</v>
      </c>
      <c r="K80" s="79">
        <f t="shared" si="3"/>
        <v>0</v>
      </c>
    </row>
    <row r="81" spans="1:11" ht="14.35" x14ac:dyDescent="0.5">
      <c r="A81" s="68" t="s">
        <v>362</v>
      </c>
      <c r="B81" s="68" t="s">
        <v>63</v>
      </c>
      <c r="C81" s="82"/>
      <c r="D81" s="80"/>
      <c r="E81" s="80"/>
      <c r="F81" s="78">
        <f>-C81</f>
        <v>0</v>
      </c>
      <c r="I81" s="79">
        <f t="shared" si="2"/>
        <v>0</v>
      </c>
      <c r="J81" s="78" t="s">
        <v>267</v>
      </c>
      <c r="K81" s="79">
        <f t="shared" si="3"/>
        <v>0</v>
      </c>
    </row>
    <row r="82" spans="1:11" ht="14.35" x14ac:dyDescent="0.5">
      <c r="A82" s="68" t="s">
        <v>363</v>
      </c>
      <c r="B82" s="68" t="s">
        <v>64</v>
      </c>
      <c r="C82" s="77"/>
      <c r="E82" s="80"/>
      <c r="I82" s="79">
        <f t="shared" si="2"/>
        <v>0</v>
      </c>
      <c r="J82" s="78" t="s">
        <v>859</v>
      </c>
      <c r="K82" s="79">
        <f t="shared" si="3"/>
        <v>0</v>
      </c>
    </row>
    <row r="83" spans="1:11" x14ac:dyDescent="0.4">
      <c r="A83" s="68" t="s">
        <v>364</v>
      </c>
      <c r="B83" s="68" t="s">
        <v>65</v>
      </c>
      <c r="C83" s="77"/>
      <c r="F83" s="76"/>
      <c r="I83" s="79">
        <f t="shared" si="2"/>
        <v>0</v>
      </c>
      <c r="J83" s="78" t="s">
        <v>860</v>
      </c>
      <c r="K83" s="79">
        <f t="shared" si="3"/>
        <v>0</v>
      </c>
    </row>
    <row r="84" spans="1:11" ht="14.35" x14ac:dyDescent="0.5">
      <c r="A84" s="68" t="s">
        <v>365</v>
      </c>
      <c r="B84" s="68" t="s">
        <v>262</v>
      </c>
      <c r="C84" s="77"/>
      <c r="D84" s="80"/>
      <c r="E84" s="80"/>
      <c r="I84" s="79">
        <f t="shared" si="2"/>
        <v>0</v>
      </c>
      <c r="J84" s="78" t="s">
        <v>860</v>
      </c>
      <c r="K84" s="79">
        <f t="shared" si="3"/>
        <v>0</v>
      </c>
    </row>
    <row r="85" spans="1:11" ht="14.35" x14ac:dyDescent="0.5">
      <c r="A85" s="68" t="s">
        <v>366</v>
      </c>
      <c r="B85" s="68" t="s">
        <v>66</v>
      </c>
      <c r="C85" s="77"/>
      <c r="D85" s="80"/>
      <c r="E85" s="80"/>
      <c r="I85" s="79">
        <f t="shared" si="2"/>
        <v>0</v>
      </c>
      <c r="J85" s="78" t="s">
        <v>860</v>
      </c>
      <c r="K85" s="79">
        <f t="shared" si="3"/>
        <v>0</v>
      </c>
    </row>
    <row r="86" spans="1:11" ht="14.35" x14ac:dyDescent="0.5">
      <c r="A86" s="68" t="s">
        <v>367</v>
      </c>
      <c r="B86" s="68" t="s">
        <v>67</v>
      </c>
      <c r="C86" s="77"/>
      <c r="D86" s="80"/>
      <c r="E86" s="80"/>
      <c r="I86" s="79">
        <f t="shared" si="2"/>
        <v>0</v>
      </c>
      <c r="J86" s="78" t="s">
        <v>860</v>
      </c>
      <c r="K86" s="79">
        <f t="shared" si="3"/>
        <v>0</v>
      </c>
    </row>
    <row r="87" spans="1:11" ht="14.35" x14ac:dyDescent="0.5">
      <c r="A87" s="68" t="s">
        <v>368</v>
      </c>
      <c r="B87" s="68" t="s">
        <v>68</v>
      </c>
      <c r="C87" s="77"/>
      <c r="D87" s="80"/>
      <c r="E87" s="80"/>
      <c r="I87" s="79">
        <f t="shared" si="2"/>
        <v>0</v>
      </c>
      <c r="J87" s="78" t="s">
        <v>860</v>
      </c>
      <c r="K87" s="79">
        <f t="shared" si="3"/>
        <v>0</v>
      </c>
    </row>
    <row r="88" spans="1:11" ht="14.35" x14ac:dyDescent="0.5">
      <c r="A88" s="69" t="s">
        <v>369</v>
      </c>
      <c r="B88" s="68" t="s">
        <v>69</v>
      </c>
      <c r="C88" s="77"/>
      <c r="E88" s="80"/>
      <c r="I88" s="79">
        <f t="shared" si="2"/>
        <v>0</v>
      </c>
      <c r="J88" s="78" t="s">
        <v>860</v>
      </c>
      <c r="K88" s="79">
        <f t="shared" si="3"/>
        <v>0</v>
      </c>
    </row>
    <row r="89" spans="1:11" ht="14.35" x14ac:dyDescent="0.5">
      <c r="A89" s="68" t="s">
        <v>370</v>
      </c>
      <c r="B89" s="68" t="s">
        <v>70</v>
      </c>
      <c r="C89" s="77"/>
      <c r="D89" s="80"/>
      <c r="E89" s="80"/>
      <c r="I89" s="79">
        <f t="shared" si="2"/>
        <v>0</v>
      </c>
      <c r="J89" s="78" t="s">
        <v>273</v>
      </c>
      <c r="K89" s="79">
        <f t="shared" si="3"/>
        <v>0</v>
      </c>
    </row>
    <row r="90" spans="1:11" ht="14.35" x14ac:dyDescent="0.5">
      <c r="A90" s="68" t="s">
        <v>371</v>
      </c>
      <c r="B90" s="68" t="s">
        <v>71</v>
      </c>
      <c r="C90" s="77"/>
      <c r="D90" s="80"/>
      <c r="E90" s="80"/>
      <c r="I90" s="79">
        <f t="shared" si="2"/>
        <v>0</v>
      </c>
      <c r="J90" s="78" t="s">
        <v>273</v>
      </c>
      <c r="K90" s="79">
        <f t="shared" si="3"/>
        <v>0</v>
      </c>
    </row>
    <row r="91" spans="1:11" ht="14.35" x14ac:dyDescent="0.5">
      <c r="A91" s="68" t="s">
        <v>372</v>
      </c>
      <c r="B91" s="68" t="s">
        <v>72</v>
      </c>
      <c r="C91" s="77"/>
      <c r="D91" s="80"/>
      <c r="E91" s="80"/>
      <c r="I91" s="79">
        <f t="shared" si="2"/>
        <v>0</v>
      </c>
      <c r="J91" s="78" t="s">
        <v>273</v>
      </c>
      <c r="K91" s="79">
        <f t="shared" si="3"/>
        <v>0</v>
      </c>
    </row>
    <row r="92" spans="1:11" ht="14.35" x14ac:dyDescent="0.5">
      <c r="A92" s="68" t="s">
        <v>373</v>
      </c>
      <c r="B92" s="68" t="s">
        <v>73</v>
      </c>
      <c r="C92" s="77"/>
      <c r="D92" s="80"/>
      <c r="E92" s="80"/>
      <c r="I92" s="79">
        <f t="shared" si="2"/>
        <v>0</v>
      </c>
      <c r="J92" s="78" t="s">
        <v>273</v>
      </c>
      <c r="K92" s="79">
        <f t="shared" si="3"/>
        <v>0</v>
      </c>
    </row>
    <row r="93" spans="1:11" ht="14.35" x14ac:dyDescent="0.5">
      <c r="A93" s="68" t="s">
        <v>374</v>
      </c>
      <c r="B93" s="68" t="s">
        <v>74</v>
      </c>
      <c r="C93" s="77"/>
      <c r="D93" s="80"/>
      <c r="E93" s="80"/>
      <c r="I93" s="79">
        <f t="shared" si="2"/>
        <v>0</v>
      </c>
      <c r="J93" s="78" t="s">
        <v>273</v>
      </c>
      <c r="K93" s="79">
        <f t="shared" si="3"/>
        <v>0</v>
      </c>
    </row>
    <row r="94" spans="1:11" ht="14.35" x14ac:dyDescent="0.5">
      <c r="A94" s="68" t="s">
        <v>375</v>
      </c>
      <c r="B94" s="68" t="s">
        <v>75</v>
      </c>
      <c r="C94" s="77"/>
      <c r="D94" s="80"/>
      <c r="E94" s="80"/>
      <c r="I94" s="79">
        <f t="shared" si="2"/>
        <v>0</v>
      </c>
      <c r="J94" s="78" t="s">
        <v>273</v>
      </c>
      <c r="K94" s="79">
        <f t="shared" si="3"/>
        <v>0</v>
      </c>
    </row>
    <row r="95" spans="1:11" ht="14.35" x14ac:dyDescent="0.5">
      <c r="A95" s="68" t="s">
        <v>376</v>
      </c>
      <c r="B95" s="68" t="s">
        <v>76</v>
      </c>
      <c r="C95" s="77"/>
      <c r="D95" s="80"/>
      <c r="E95" s="80"/>
      <c r="I95" s="79">
        <f t="shared" si="2"/>
        <v>0</v>
      </c>
      <c r="J95" s="78" t="s">
        <v>273</v>
      </c>
      <c r="K95" s="79">
        <f t="shared" si="3"/>
        <v>0</v>
      </c>
    </row>
    <row r="96" spans="1:11" ht="14.35" x14ac:dyDescent="0.5">
      <c r="A96" s="68" t="s">
        <v>378</v>
      </c>
      <c r="B96" s="68" t="s">
        <v>78</v>
      </c>
      <c r="C96" s="77"/>
      <c r="D96" s="80"/>
      <c r="E96" s="80"/>
      <c r="I96" s="79">
        <f t="shared" si="2"/>
        <v>0</v>
      </c>
      <c r="J96" s="78" t="s">
        <v>273</v>
      </c>
      <c r="K96" s="79">
        <f t="shared" si="3"/>
        <v>0</v>
      </c>
    </row>
    <row r="97" spans="1:11" ht="14.35" x14ac:dyDescent="0.5">
      <c r="A97" s="68" t="s">
        <v>379</v>
      </c>
      <c r="B97" s="68" t="s">
        <v>79</v>
      </c>
      <c r="C97" s="77"/>
      <c r="D97" s="80"/>
      <c r="E97" s="80"/>
      <c r="I97" s="79">
        <f t="shared" si="2"/>
        <v>0</v>
      </c>
      <c r="J97" s="78" t="s">
        <v>273</v>
      </c>
      <c r="K97" s="79">
        <f t="shared" si="3"/>
        <v>0</v>
      </c>
    </row>
    <row r="98" spans="1:11" ht="14.35" x14ac:dyDescent="0.5">
      <c r="A98" s="68" t="s">
        <v>380</v>
      </c>
      <c r="B98" s="68" t="s">
        <v>80</v>
      </c>
      <c r="C98" s="77"/>
      <c r="D98" s="80"/>
      <c r="E98" s="80"/>
      <c r="I98" s="79">
        <f t="shared" si="2"/>
        <v>0</v>
      </c>
      <c r="J98" s="78" t="s">
        <v>273</v>
      </c>
      <c r="K98" s="79">
        <f t="shared" si="3"/>
        <v>0</v>
      </c>
    </row>
    <row r="99" spans="1:11" ht="14.35" x14ac:dyDescent="0.5">
      <c r="A99" s="68" t="s">
        <v>383</v>
      </c>
      <c r="B99" s="68" t="s">
        <v>83</v>
      </c>
      <c r="C99" s="77"/>
      <c r="D99" s="80"/>
      <c r="E99" s="80"/>
      <c r="I99" s="79">
        <f t="shared" si="2"/>
        <v>0</v>
      </c>
      <c r="J99" s="78" t="s">
        <v>273</v>
      </c>
      <c r="K99" s="79">
        <f t="shared" si="3"/>
        <v>0</v>
      </c>
    </row>
    <row r="100" spans="1:11" ht="14.35" x14ac:dyDescent="0.5">
      <c r="A100" s="68" t="s">
        <v>385</v>
      </c>
      <c r="B100" s="68" t="s">
        <v>85</v>
      </c>
      <c r="C100" s="77"/>
      <c r="D100" s="80"/>
      <c r="E100" s="80"/>
      <c r="I100" s="79">
        <f t="shared" si="2"/>
        <v>0</v>
      </c>
      <c r="J100" s="78" t="s">
        <v>273</v>
      </c>
      <c r="K100" s="79">
        <f t="shared" si="3"/>
        <v>0</v>
      </c>
    </row>
    <row r="101" spans="1:11" ht="14.35" x14ac:dyDescent="0.5">
      <c r="A101" s="68" t="s">
        <v>387</v>
      </c>
      <c r="B101" s="68" t="s">
        <v>87</v>
      </c>
      <c r="C101" s="77"/>
      <c r="D101" s="80"/>
      <c r="E101" s="80"/>
      <c r="I101" s="79">
        <f t="shared" si="2"/>
        <v>0</v>
      </c>
      <c r="J101" s="78" t="s">
        <v>273</v>
      </c>
      <c r="K101" s="79">
        <f t="shared" si="3"/>
        <v>0</v>
      </c>
    </row>
    <row r="102" spans="1:11" ht="14.35" x14ac:dyDescent="0.5">
      <c r="A102" s="68" t="s">
        <v>390</v>
      </c>
      <c r="B102" s="68" t="s">
        <v>90</v>
      </c>
      <c r="C102" s="77"/>
      <c r="D102" s="80"/>
      <c r="E102" s="80"/>
      <c r="I102" s="79">
        <f t="shared" si="2"/>
        <v>0</v>
      </c>
      <c r="J102" s="78" t="s">
        <v>273</v>
      </c>
      <c r="K102" s="79">
        <f t="shared" si="3"/>
        <v>0</v>
      </c>
    </row>
    <row r="103" spans="1:11" ht="14.35" x14ac:dyDescent="0.5">
      <c r="A103" s="68" t="s">
        <v>392</v>
      </c>
      <c r="B103" s="68" t="s">
        <v>92</v>
      </c>
      <c r="C103" s="77"/>
      <c r="D103" s="80"/>
      <c r="E103" s="80"/>
      <c r="I103" s="79">
        <f t="shared" si="2"/>
        <v>0</v>
      </c>
      <c r="J103" s="78" t="s">
        <v>273</v>
      </c>
      <c r="K103" s="79">
        <f t="shared" si="3"/>
        <v>0</v>
      </c>
    </row>
    <row r="104" spans="1:11" ht="14.35" x14ac:dyDescent="0.5">
      <c r="A104" s="68" t="s">
        <v>393</v>
      </c>
      <c r="B104" s="68" t="s">
        <v>93</v>
      </c>
      <c r="C104" s="77"/>
      <c r="D104" s="80"/>
      <c r="E104" s="80"/>
      <c r="I104" s="79">
        <f t="shared" si="2"/>
        <v>0</v>
      </c>
      <c r="J104" s="78" t="s">
        <v>273</v>
      </c>
      <c r="K104" s="79">
        <f t="shared" si="3"/>
        <v>0</v>
      </c>
    </row>
    <row r="105" spans="1:11" ht="14.35" x14ac:dyDescent="0.5">
      <c r="A105" s="68" t="s">
        <v>395</v>
      </c>
      <c r="B105" s="68" t="s">
        <v>95</v>
      </c>
      <c r="C105" s="77"/>
      <c r="D105" s="80"/>
      <c r="E105" s="80"/>
      <c r="I105" s="79">
        <f t="shared" si="2"/>
        <v>0</v>
      </c>
      <c r="J105" s="78" t="s">
        <v>859</v>
      </c>
      <c r="K105" s="79">
        <f t="shared" si="3"/>
        <v>0</v>
      </c>
    </row>
    <row r="106" spans="1:11" ht="14.35" x14ac:dyDescent="0.5">
      <c r="A106" s="68" t="s">
        <v>396</v>
      </c>
      <c r="B106" s="68" t="s">
        <v>96</v>
      </c>
      <c r="C106" s="77"/>
      <c r="D106" s="81"/>
      <c r="E106" s="80"/>
      <c r="I106" s="79">
        <f t="shared" si="2"/>
        <v>0</v>
      </c>
      <c r="J106" s="78" t="s">
        <v>859</v>
      </c>
      <c r="K106" s="79">
        <f t="shared" si="3"/>
        <v>0</v>
      </c>
    </row>
    <row r="107" spans="1:11" ht="14.35" x14ac:dyDescent="0.5">
      <c r="A107" s="68" t="s">
        <v>397</v>
      </c>
      <c r="B107" s="68" t="s">
        <v>97</v>
      </c>
      <c r="C107" s="77"/>
      <c r="D107" s="80"/>
      <c r="E107" s="80"/>
      <c r="I107" s="79">
        <f t="shared" si="2"/>
        <v>0</v>
      </c>
      <c r="J107" s="78" t="s">
        <v>859</v>
      </c>
      <c r="K107" s="79">
        <f t="shared" si="3"/>
        <v>0</v>
      </c>
    </row>
    <row r="108" spans="1:11" ht="14.35" x14ac:dyDescent="0.5">
      <c r="A108" s="27" t="s">
        <v>629</v>
      </c>
      <c r="B108" s="100" t="s">
        <v>630</v>
      </c>
      <c r="C108" s="77"/>
      <c r="D108" s="80"/>
      <c r="E108" s="80"/>
      <c r="I108" s="79">
        <f t="shared" si="2"/>
        <v>0</v>
      </c>
      <c r="J108" s="78" t="s">
        <v>859</v>
      </c>
      <c r="K108" s="79">
        <f t="shared" si="3"/>
        <v>0</v>
      </c>
    </row>
    <row r="109" spans="1:11" ht="14.35" x14ac:dyDescent="0.5">
      <c r="A109" s="68" t="s">
        <v>398</v>
      </c>
      <c r="B109" s="68" t="s">
        <v>98</v>
      </c>
      <c r="C109" s="77"/>
      <c r="D109" s="80"/>
      <c r="E109" s="80"/>
      <c r="I109" s="79">
        <f t="shared" si="2"/>
        <v>0</v>
      </c>
      <c r="J109" s="78" t="s">
        <v>859</v>
      </c>
      <c r="K109" s="79">
        <f t="shared" si="3"/>
        <v>0</v>
      </c>
    </row>
    <row r="110" spans="1:11" ht="14.35" x14ac:dyDescent="0.5">
      <c r="A110" s="68" t="s">
        <v>399</v>
      </c>
      <c r="B110" s="68" t="s">
        <v>99</v>
      </c>
      <c r="C110" s="77"/>
      <c r="D110" s="80"/>
      <c r="E110" s="80"/>
      <c r="I110" s="79">
        <f t="shared" si="2"/>
        <v>0</v>
      </c>
      <c r="J110" s="78" t="s">
        <v>859</v>
      </c>
      <c r="K110" s="79">
        <f t="shared" si="3"/>
        <v>0</v>
      </c>
    </row>
    <row r="111" spans="1:11" ht="14.35" x14ac:dyDescent="0.5">
      <c r="A111" s="68" t="s">
        <v>400</v>
      </c>
      <c r="B111" s="68" t="s">
        <v>100</v>
      </c>
      <c r="C111" s="77"/>
      <c r="D111" s="80"/>
      <c r="E111" s="80"/>
      <c r="I111" s="79">
        <f t="shared" si="2"/>
        <v>0</v>
      </c>
      <c r="J111" s="78" t="s">
        <v>859</v>
      </c>
      <c r="K111" s="79">
        <f t="shared" si="3"/>
        <v>0</v>
      </c>
    </row>
    <row r="112" spans="1:11" ht="14.35" x14ac:dyDescent="0.5">
      <c r="A112" s="68" t="s">
        <v>401</v>
      </c>
      <c r="B112" s="68" t="s">
        <v>101</v>
      </c>
      <c r="C112" s="77"/>
      <c r="E112" s="80"/>
      <c r="I112" s="79">
        <f t="shared" si="2"/>
        <v>0</v>
      </c>
      <c r="J112" s="78" t="s">
        <v>859</v>
      </c>
      <c r="K112" s="79">
        <f t="shared" si="3"/>
        <v>0</v>
      </c>
    </row>
    <row r="113" spans="1:11" ht="14.35" x14ac:dyDescent="0.5">
      <c r="A113" s="68" t="s">
        <v>402</v>
      </c>
      <c r="B113" s="68" t="s">
        <v>102</v>
      </c>
      <c r="C113" s="77"/>
      <c r="D113" s="81"/>
      <c r="E113" s="80"/>
      <c r="I113" s="79">
        <f t="shared" si="2"/>
        <v>0</v>
      </c>
      <c r="J113" s="78" t="s">
        <v>859</v>
      </c>
      <c r="K113" s="79">
        <f t="shared" si="3"/>
        <v>0</v>
      </c>
    </row>
    <row r="114" spans="1:11" ht="14.35" x14ac:dyDescent="0.5">
      <c r="A114" s="68" t="s">
        <v>403</v>
      </c>
      <c r="B114" s="68" t="s">
        <v>103</v>
      </c>
      <c r="C114" s="77"/>
      <c r="E114" s="80"/>
      <c r="I114" s="79">
        <f t="shared" si="2"/>
        <v>0</v>
      </c>
      <c r="J114" s="78" t="s">
        <v>859</v>
      </c>
      <c r="K114" s="79">
        <f t="shared" si="3"/>
        <v>0</v>
      </c>
    </row>
    <row r="115" spans="1:11" ht="14.35" x14ac:dyDescent="0.5">
      <c r="A115" s="68" t="s">
        <v>406</v>
      </c>
      <c r="B115" s="68" t="s">
        <v>106</v>
      </c>
      <c r="C115" s="77"/>
      <c r="D115" s="80"/>
      <c r="E115" s="80"/>
      <c r="I115" s="79">
        <f t="shared" si="2"/>
        <v>0</v>
      </c>
      <c r="J115" s="78" t="s">
        <v>273</v>
      </c>
      <c r="K115" s="79">
        <f t="shared" si="3"/>
        <v>0</v>
      </c>
    </row>
    <row r="116" spans="1:11" ht="14.35" x14ac:dyDescent="0.5">
      <c r="A116" s="68" t="s">
        <v>409</v>
      </c>
      <c r="B116" s="68" t="s">
        <v>109</v>
      </c>
      <c r="C116" s="77"/>
      <c r="D116" s="80"/>
      <c r="E116" s="80"/>
      <c r="I116" s="79">
        <f t="shared" si="2"/>
        <v>0</v>
      </c>
      <c r="J116" s="78" t="s">
        <v>273</v>
      </c>
      <c r="K116" s="79">
        <f t="shared" si="3"/>
        <v>0</v>
      </c>
    </row>
    <row r="117" spans="1:11" ht="14.35" x14ac:dyDescent="0.5">
      <c r="A117" s="68" t="s">
        <v>410</v>
      </c>
      <c r="B117" s="68" t="s">
        <v>110</v>
      </c>
      <c r="C117" s="77"/>
      <c r="D117" s="80"/>
      <c r="E117" s="80"/>
      <c r="I117" s="79">
        <f t="shared" si="2"/>
        <v>0</v>
      </c>
      <c r="J117" s="78" t="s">
        <v>273</v>
      </c>
      <c r="K117" s="79">
        <f t="shared" si="3"/>
        <v>0</v>
      </c>
    </row>
    <row r="118" spans="1:11" ht="14.35" x14ac:dyDescent="0.5">
      <c r="A118" s="68" t="s">
        <v>411</v>
      </c>
      <c r="B118" s="68" t="s">
        <v>111</v>
      </c>
      <c r="C118" s="77"/>
      <c r="D118" s="80"/>
      <c r="E118" s="80"/>
      <c r="I118" s="79">
        <f t="shared" si="2"/>
        <v>0</v>
      </c>
      <c r="J118" s="78" t="s">
        <v>273</v>
      </c>
      <c r="K118" s="79">
        <f t="shared" si="3"/>
        <v>0</v>
      </c>
    </row>
    <row r="119" spans="1:11" ht="14.35" x14ac:dyDescent="0.5">
      <c r="A119" s="68" t="s">
        <v>419</v>
      </c>
      <c r="B119" s="68" t="s">
        <v>119</v>
      </c>
      <c r="C119" s="77"/>
      <c r="D119" s="80"/>
      <c r="E119" s="80"/>
      <c r="I119" s="79">
        <f t="shared" ref="I119:I167" si="4">SUM(C119:H119)</f>
        <v>0</v>
      </c>
      <c r="J119" s="78" t="s">
        <v>273</v>
      </c>
      <c r="K119" s="79">
        <f t="shared" si="3"/>
        <v>0</v>
      </c>
    </row>
    <row r="120" spans="1:11" ht="14.35" x14ac:dyDescent="0.5">
      <c r="A120" s="68" t="s">
        <v>421</v>
      </c>
      <c r="B120" s="68" t="s">
        <v>121</v>
      </c>
      <c r="C120" s="77"/>
      <c r="D120" s="80"/>
      <c r="E120" s="80"/>
      <c r="I120" s="79">
        <f t="shared" si="4"/>
        <v>0</v>
      </c>
      <c r="J120" s="78" t="s">
        <v>273</v>
      </c>
      <c r="K120" s="79">
        <f t="shared" si="3"/>
        <v>0</v>
      </c>
    </row>
    <row r="121" spans="1:11" ht="14.35" x14ac:dyDescent="0.5">
      <c r="A121" s="68" t="s">
        <v>423</v>
      </c>
      <c r="B121" s="68" t="s">
        <v>123</v>
      </c>
      <c r="C121" s="77"/>
      <c r="D121" s="80"/>
      <c r="E121" s="80"/>
      <c r="I121" s="79">
        <f t="shared" si="4"/>
        <v>0</v>
      </c>
      <c r="J121" s="78" t="s">
        <v>273</v>
      </c>
      <c r="K121" s="79">
        <f t="shared" si="3"/>
        <v>0</v>
      </c>
    </row>
    <row r="122" spans="1:11" ht="14.35" x14ac:dyDescent="0.5">
      <c r="A122" s="68" t="s">
        <v>424</v>
      </c>
      <c r="B122" s="68" t="s">
        <v>124</v>
      </c>
      <c r="C122" s="77"/>
      <c r="D122" s="80"/>
      <c r="E122" s="80"/>
      <c r="I122" s="79">
        <f t="shared" si="4"/>
        <v>0</v>
      </c>
      <c r="J122" s="78" t="s">
        <v>273</v>
      </c>
      <c r="K122" s="79">
        <f t="shared" si="3"/>
        <v>0</v>
      </c>
    </row>
    <row r="123" spans="1:11" ht="14.35" x14ac:dyDescent="0.5">
      <c r="A123" s="68" t="s">
        <v>425</v>
      </c>
      <c r="B123" s="68" t="s">
        <v>259</v>
      </c>
      <c r="C123" s="77"/>
      <c r="D123" s="80"/>
      <c r="E123" s="80"/>
      <c r="I123" s="79">
        <f t="shared" si="4"/>
        <v>0</v>
      </c>
      <c r="J123" s="78" t="s">
        <v>273</v>
      </c>
      <c r="K123" s="79">
        <f t="shared" si="3"/>
        <v>0</v>
      </c>
    </row>
    <row r="124" spans="1:11" ht="14.35" x14ac:dyDescent="0.5">
      <c r="A124" s="68" t="s">
        <v>628</v>
      </c>
      <c r="B124" s="68" t="s">
        <v>620</v>
      </c>
      <c r="C124" s="77"/>
      <c r="D124" s="80"/>
      <c r="E124" s="80"/>
      <c r="I124" s="79">
        <f t="shared" si="4"/>
        <v>0</v>
      </c>
      <c r="J124" s="78" t="s">
        <v>273</v>
      </c>
      <c r="K124" s="79">
        <f t="shared" si="3"/>
        <v>0</v>
      </c>
    </row>
    <row r="125" spans="1:11" ht="14.35" x14ac:dyDescent="0.5">
      <c r="A125" s="68" t="s">
        <v>623</v>
      </c>
      <c r="B125" s="68" t="s">
        <v>631</v>
      </c>
      <c r="C125" s="77"/>
      <c r="D125" s="80"/>
      <c r="E125" s="80"/>
      <c r="I125" s="79">
        <f t="shared" si="4"/>
        <v>0</v>
      </c>
      <c r="J125" s="78" t="s">
        <v>273</v>
      </c>
      <c r="K125" s="79">
        <f t="shared" si="3"/>
        <v>0</v>
      </c>
    </row>
    <row r="126" spans="1:11" ht="14.35" x14ac:dyDescent="0.5">
      <c r="A126" s="68" t="s">
        <v>635</v>
      </c>
      <c r="B126" s="68" t="s">
        <v>634</v>
      </c>
      <c r="C126" s="77"/>
      <c r="D126" s="80"/>
      <c r="E126" s="80"/>
      <c r="I126" s="79">
        <f t="shared" si="4"/>
        <v>0</v>
      </c>
      <c r="J126" s="78" t="s">
        <v>273</v>
      </c>
      <c r="K126" s="79">
        <f t="shared" si="3"/>
        <v>0</v>
      </c>
    </row>
    <row r="127" spans="1:11" ht="14.35" x14ac:dyDescent="0.5">
      <c r="A127" s="68" t="s">
        <v>645</v>
      </c>
      <c r="B127" s="68" t="s">
        <v>643</v>
      </c>
      <c r="C127" s="77"/>
      <c r="D127" s="80"/>
      <c r="E127" s="80"/>
      <c r="I127" s="79">
        <f t="shared" si="4"/>
        <v>0</v>
      </c>
      <c r="J127" s="78" t="s">
        <v>273</v>
      </c>
      <c r="K127" s="79">
        <f t="shared" si="3"/>
        <v>0</v>
      </c>
    </row>
    <row r="128" spans="1:11" ht="14.35" x14ac:dyDescent="0.5">
      <c r="A128" s="68" t="s">
        <v>646</v>
      </c>
      <c r="B128" s="68" t="s">
        <v>647</v>
      </c>
      <c r="C128" s="77"/>
      <c r="D128" s="80"/>
      <c r="E128" s="80"/>
      <c r="I128" s="79">
        <f t="shared" si="4"/>
        <v>0</v>
      </c>
      <c r="J128" s="78" t="s">
        <v>273</v>
      </c>
      <c r="K128" s="79">
        <f t="shared" si="3"/>
        <v>0</v>
      </c>
    </row>
    <row r="129" spans="1:11" ht="14.35" x14ac:dyDescent="0.5">
      <c r="A129" s="68" t="s">
        <v>658</v>
      </c>
      <c r="B129" s="68" t="s">
        <v>657</v>
      </c>
      <c r="C129" s="77"/>
      <c r="D129" s="80"/>
      <c r="E129" s="80"/>
      <c r="I129" s="79">
        <f t="shared" si="4"/>
        <v>0</v>
      </c>
      <c r="J129" s="78" t="s">
        <v>273</v>
      </c>
      <c r="K129" s="79">
        <f t="shared" si="3"/>
        <v>0</v>
      </c>
    </row>
    <row r="130" spans="1:11" ht="14.35" x14ac:dyDescent="0.5">
      <c r="A130" s="68" t="s">
        <v>661</v>
      </c>
      <c r="B130" s="68" t="s">
        <v>660</v>
      </c>
      <c r="C130" s="77"/>
      <c r="D130" s="80"/>
      <c r="E130" s="80"/>
      <c r="I130" s="79">
        <f t="shared" si="4"/>
        <v>0</v>
      </c>
      <c r="J130" s="78" t="s">
        <v>273</v>
      </c>
      <c r="K130" s="79">
        <f t="shared" si="3"/>
        <v>0</v>
      </c>
    </row>
    <row r="131" spans="1:11" ht="14.35" x14ac:dyDescent="0.5">
      <c r="A131" s="100" t="s">
        <v>674</v>
      </c>
      <c r="B131" s="100" t="s">
        <v>675</v>
      </c>
      <c r="C131" s="77"/>
      <c r="D131" s="80"/>
      <c r="E131" s="80"/>
      <c r="I131" s="79">
        <f t="shared" si="4"/>
        <v>0</v>
      </c>
      <c r="J131" s="78" t="s">
        <v>273</v>
      </c>
      <c r="K131" s="79">
        <f t="shared" si="3"/>
        <v>0</v>
      </c>
    </row>
    <row r="132" spans="1:11" ht="14.35" x14ac:dyDescent="0.5">
      <c r="A132" s="100" t="s">
        <v>692</v>
      </c>
      <c r="B132" s="100" t="s">
        <v>689</v>
      </c>
      <c r="C132" s="77"/>
      <c r="D132" s="80"/>
      <c r="E132" s="80"/>
      <c r="I132" s="79">
        <f t="shared" si="4"/>
        <v>0</v>
      </c>
      <c r="J132" s="78" t="s">
        <v>273</v>
      </c>
      <c r="K132" s="79">
        <f t="shared" si="3"/>
        <v>0</v>
      </c>
    </row>
    <row r="133" spans="1:11" ht="14.35" x14ac:dyDescent="0.5">
      <c r="A133" s="100" t="s">
        <v>693</v>
      </c>
      <c r="B133" s="100" t="s">
        <v>691</v>
      </c>
      <c r="C133" s="77"/>
      <c r="D133" s="80"/>
      <c r="E133" s="80"/>
      <c r="I133" s="79">
        <f t="shared" si="4"/>
        <v>0</v>
      </c>
      <c r="J133" s="78" t="s">
        <v>273</v>
      </c>
      <c r="K133" s="79">
        <f t="shared" si="3"/>
        <v>0</v>
      </c>
    </row>
    <row r="134" spans="1:11" ht="14.35" x14ac:dyDescent="0.5">
      <c r="A134" s="100" t="s">
        <v>676</v>
      </c>
      <c r="B134" s="100" t="s">
        <v>677</v>
      </c>
      <c r="C134" s="77"/>
      <c r="D134" s="80"/>
      <c r="E134" s="80"/>
      <c r="I134" s="79">
        <f t="shared" si="4"/>
        <v>0</v>
      </c>
      <c r="J134" s="78" t="s">
        <v>273</v>
      </c>
      <c r="K134" s="79">
        <f t="shared" si="3"/>
        <v>0</v>
      </c>
    </row>
    <row r="135" spans="1:11" ht="14.35" x14ac:dyDescent="0.5">
      <c r="A135" s="71" t="s">
        <v>762</v>
      </c>
      <c r="B135" s="71" t="s">
        <v>763</v>
      </c>
      <c r="C135" s="77"/>
      <c r="D135" s="80"/>
      <c r="E135" s="80"/>
      <c r="I135" s="79">
        <f t="shared" si="4"/>
        <v>0</v>
      </c>
      <c r="J135" s="78" t="s">
        <v>273</v>
      </c>
      <c r="K135" s="79">
        <f t="shared" si="3"/>
        <v>0</v>
      </c>
    </row>
    <row r="136" spans="1:11" ht="14.35" x14ac:dyDescent="0.5">
      <c r="A136" s="71" t="s">
        <v>764</v>
      </c>
      <c r="B136" s="71" t="s">
        <v>765</v>
      </c>
      <c r="C136" s="77"/>
      <c r="D136" s="80"/>
      <c r="E136" s="80"/>
      <c r="I136" s="79">
        <f t="shared" si="4"/>
        <v>0</v>
      </c>
      <c r="J136" s="78" t="s">
        <v>273</v>
      </c>
      <c r="K136" s="79">
        <f t="shared" si="3"/>
        <v>0</v>
      </c>
    </row>
    <row r="137" spans="1:11" ht="14.35" x14ac:dyDescent="0.5">
      <c r="A137" s="71" t="s">
        <v>775</v>
      </c>
      <c r="B137" s="100" t="s">
        <v>776</v>
      </c>
      <c r="C137" s="77"/>
      <c r="D137" s="80"/>
      <c r="E137" s="80"/>
      <c r="I137" s="79">
        <f t="shared" si="4"/>
        <v>0</v>
      </c>
      <c r="J137" s="78" t="s">
        <v>273</v>
      </c>
      <c r="K137" s="79">
        <f t="shared" si="3"/>
        <v>0</v>
      </c>
    </row>
    <row r="138" spans="1:11" ht="14.35" x14ac:dyDescent="0.5">
      <c r="A138" s="71" t="s">
        <v>777</v>
      </c>
      <c r="B138" s="100" t="s">
        <v>778</v>
      </c>
      <c r="C138" s="77"/>
      <c r="D138" s="80"/>
      <c r="E138" s="80"/>
      <c r="I138" s="79">
        <f t="shared" si="4"/>
        <v>0</v>
      </c>
      <c r="J138" s="78" t="s">
        <v>273</v>
      </c>
      <c r="K138" s="79">
        <f t="shared" ref="K138:K200" si="5">I138</f>
        <v>0</v>
      </c>
    </row>
    <row r="139" spans="1:11" ht="14.35" x14ac:dyDescent="0.5">
      <c r="A139" s="100" t="s">
        <v>788</v>
      </c>
      <c r="B139" s="100" t="s">
        <v>789</v>
      </c>
      <c r="C139" s="77"/>
      <c r="D139" s="80"/>
      <c r="E139" s="80"/>
      <c r="I139" s="79">
        <f t="shared" si="4"/>
        <v>0</v>
      </c>
      <c r="J139" s="78" t="s">
        <v>273</v>
      </c>
      <c r="K139" s="79">
        <f t="shared" si="5"/>
        <v>0</v>
      </c>
    </row>
    <row r="140" spans="1:11" ht="14.35" x14ac:dyDescent="0.5">
      <c r="A140" s="100" t="s">
        <v>790</v>
      </c>
      <c r="B140" s="100" t="s">
        <v>791</v>
      </c>
      <c r="C140" s="77"/>
      <c r="D140" s="80"/>
      <c r="E140" s="80"/>
      <c r="I140" s="79">
        <f t="shared" si="4"/>
        <v>0</v>
      </c>
      <c r="J140" s="78" t="s">
        <v>273</v>
      </c>
      <c r="K140" s="79">
        <f t="shared" si="5"/>
        <v>0</v>
      </c>
    </row>
    <row r="141" spans="1:11" ht="14.35" x14ac:dyDescent="0.5">
      <c r="A141" s="100" t="s">
        <v>803</v>
      </c>
      <c r="B141" s="100" t="s">
        <v>804</v>
      </c>
      <c r="C141" s="77"/>
      <c r="D141" s="80"/>
      <c r="E141" s="80"/>
      <c r="I141" s="79">
        <f t="shared" si="4"/>
        <v>0</v>
      </c>
      <c r="J141" s="78" t="s">
        <v>273</v>
      </c>
      <c r="K141" s="79">
        <f t="shared" si="5"/>
        <v>0</v>
      </c>
    </row>
    <row r="142" spans="1:11" ht="14.35" x14ac:dyDescent="0.5">
      <c r="A142" s="100" t="s">
        <v>814</v>
      </c>
      <c r="B142" s="100" t="s">
        <v>815</v>
      </c>
      <c r="C142" s="77"/>
      <c r="D142" s="80"/>
      <c r="E142" s="80"/>
      <c r="I142" s="79">
        <f t="shared" si="4"/>
        <v>0</v>
      </c>
      <c r="J142" s="78" t="s">
        <v>273</v>
      </c>
      <c r="K142" s="79">
        <f t="shared" si="5"/>
        <v>0</v>
      </c>
    </row>
    <row r="143" spans="1:11" ht="14.35" x14ac:dyDescent="0.5">
      <c r="A143" s="100" t="s">
        <v>863</v>
      </c>
      <c r="B143" s="100" t="s">
        <v>864</v>
      </c>
      <c r="C143" s="77"/>
      <c r="D143" s="80"/>
      <c r="E143" s="80"/>
      <c r="I143" s="79">
        <f t="shared" ref="I143:I144" si="6">SUM(C143:H143)</f>
        <v>0</v>
      </c>
      <c r="J143" s="78" t="s">
        <v>273</v>
      </c>
      <c r="K143" s="79">
        <f t="shared" si="5"/>
        <v>0</v>
      </c>
    </row>
    <row r="144" spans="1:11" ht="14.35" x14ac:dyDescent="0.5">
      <c r="A144" s="100" t="s">
        <v>871</v>
      </c>
      <c r="B144" s="100" t="s">
        <v>872</v>
      </c>
      <c r="C144" s="77"/>
      <c r="D144" s="80"/>
      <c r="E144" s="80"/>
      <c r="I144" s="79">
        <f t="shared" si="6"/>
        <v>0</v>
      </c>
      <c r="J144" s="78" t="s">
        <v>273</v>
      </c>
      <c r="K144" s="79">
        <f t="shared" si="5"/>
        <v>0</v>
      </c>
    </row>
    <row r="145" spans="1:11" ht="14.35" x14ac:dyDescent="0.5">
      <c r="A145" s="68" t="s">
        <v>426</v>
      </c>
      <c r="B145" s="68" t="s">
        <v>125</v>
      </c>
      <c r="C145" s="77"/>
      <c r="D145" s="80"/>
      <c r="E145" s="80"/>
      <c r="I145" s="79">
        <f t="shared" si="4"/>
        <v>0</v>
      </c>
      <c r="J145" s="78" t="s">
        <v>272</v>
      </c>
      <c r="K145" s="79">
        <f t="shared" si="5"/>
        <v>0</v>
      </c>
    </row>
    <row r="146" spans="1:11" ht="14.35" x14ac:dyDescent="0.5">
      <c r="A146" s="100" t="s">
        <v>805</v>
      </c>
      <c r="B146" s="100" t="s">
        <v>806</v>
      </c>
      <c r="C146" s="77"/>
      <c r="D146" s="80"/>
      <c r="E146" s="80"/>
      <c r="I146" s="79">
        <f t="shared" si="4"/>
        <v>0</v>
      </c>
      <c r="J146" s="78" t="s">
        <v>272</v>
      </c>
      <c r="K146" s="79">
        <f t="shared" si="5"/>
        <v>0</v>
      </c>
    </row>
    <row r="147" spans="1:11" ht="14.35" x14ac:dyDescent="0.5">
      <c r="A147" s="68" t="s">
        <v>427</v>
      </c>
      <c r="B147" s="68" t="s">
        <v>126</v>
      </c>
      <c r="C147" s="77"/>
      <c r="D147" s="80"/>
      <c r="E147" s="80"/>
      <c r="I147" s="79">
        <f t="shared" si="4"/>
        <v>0</v>
      </c>
      <c r="J147" s="78" t="s">
        <v>272</v>
      </c>
      <c r="K147" s="79">
        <f t="shared" si="5"/>
        <v>0</v>
      </c>
    </row>
    <row r="148" spans="1:11" ht="14.35" x14ac:dyDescent="0.5">
      <c r="A148" s="68" t="s">
        <v>428</v>
      </c>
      <c r="B148" s="68" t="s">
        <v>127</v>
      </c>
      <c r="C148" s="77"/>
      <c r="D148" s="80"/>
      <c r="E148" s="80"/>
      <c r="I148" s="79">
        <f t="shared" si="4"/>
        <v>0</v>
      </c>
      <c r="J148" s="78" t="s">
        <v>272</v>
      </c>
      <c r="K148" s="79">
        <f t="shared" si="5"/>
        <v>0</v>
      </c>
    </row>
    <row r="149" spans="1:11" ht="14.35" x14ac:dyDescent="0.5">
      <c r="A149" s="68" t="s">
        <v>429</v>
      </c>
      <c r="B149" s="68" t="s">
        <v>128</v>
      </c>
      <c r="C149" s="77"/>
      <c r="D149" s="80"/>
      <c r="E149" s="80"/>
      <c r="I149" s="79">
        <f t="shared" si="4"/>
        <v>0</v>
      </c>
      <c r="J149" s="78" t="s">
        <v>272</v>
      </c>
      <c r="K149" s="79">
        <f t="shared" si="5"/>
        <v>0</v>
      </c>
    </row>
    <row r="150" spans="1:11" ht="14.35" x14ac:dyDescent="0.5">
      <c r="A150" s="68" t="s">
        <v>430</v>
      </c>
      <c r="B150" s="68" t="s">
        <v>129</v>
      </c>
      <c r="C150" s="77"/>
      <c r="D150" s="80"/>
      <c r="E150" s="80"/>
      <c r="I150" s="79">
        <f t="shared" si="4"/>
        <v>0</v>
      </c>
      <c r="J150" s="78" t="s">
        <v>272</v>
      </c>
      <c r="K150" s="79">
        <f t="shared" si="5"/>
        <v>0</v>
      </c>
    </row>
    <row r="151" spans="1:11" ht="14.35" x14ac:dyDescent="0.5">
      <c r="A151" s="68" t="s">
        <v>431</v>
      </c>
      <c r="B151" s="68" t="s">
        <v>70</v>
      </c>
      <c r="C151" s="77"/>
      <c r="D151" s="80"/>
      <c r="E151" s="80"/>
      <c r="I151" s="79">
        <f t="shared" si="4"/>
        <v>0</v>
      </c>
      <c r="J151" s="78" t="s">
        <v>274</v>
      </c>
      <c r="K151" s="79">
        <f t="shared" si="5"/>
        <v>0</v>
      </c>
    </row>
    <row r="152" spans="1:11" ht="14.35" x14ac:dyDescent="0.5">
      <c r="A152" s="68" t="s">
        <v>434</v>
      </c>
      <c r="B152" s="68" t="s">
        <v>74</v>
      </c>
      <c r="C152" s="77"/>
      <c r="D152" s="80"/>
      <c r="E152" s="80"/>
      <c r="I152" s="79">
        <f t="shared" si="4"/>
        <v>0</v>
      </c>
      <c r="J152" s="78" t="s">
        <v>274</v>
      </c>
      <c r="K152" s="79">
        <f t="shared" si="5"/>
        <v>0</v>
      </c>
    </row>
    <row r="153" spans="1:11" ht="14.35" x14ac:dyDescent="0.5">
      <c r="A153" s="68" t="s">
        <v>435</v>
      </c>
      <c r="B153" s="68" t="s">
        <v>132</v>
      </c>
      <c r="C153" s="77"/>
      <c r="D153" s="80"/>
      <c r="E153" s="80"/>
      <c r="I153" s="79">
        <f t="shared" si="4"/>
        <v>0</v>
      </c>
      <c r="J153" s="78" t="s">
        <v>274</v>
      </c>
      <c r="K153" s="79">
        <f t="shared" si="5"/>
        <v>0</v>
      </c>
    </row>
    <row r="154" spans="1:11" ht="14.35" x14ac:dyDescent="0.5">
      <c r="A154" s="68" t="s">
        <v>436</v>
      </c>
      <c r="B154" s="68" t="s">
        <v>76</v>
      </c>
      <c r="C154" s="77"/>
      <c r="D154" s="80"/>
      <c r="E154" s="80"/>
      <c r="I154" s="79">
        <f t="shared" si="4"/>
        <v>0</v>
      </c>
      <c r="J154" s="78" t="s">
        <v>274</v>
      </c>
      <c r="K154" s="79">
        <f t="shared" si="5"/>
        <v>0</v>
      </c>
    </row>
    <row r="155" spans="1:11" ht="14.35" x14ac:dyDescent="0.5">
      <c r="A155" s="68" t="s">
        <v>438</v>
      </c>
      <c r="B155" s="68" t="s">
        <v>78</v>
      </c>
      <c r="C155" s="77"/>
      <c r="D155" s="80"/>
      <c r="E155" s="80"/>
      <c r="I155" s="79">
        <f t="shared" si="4"/>
        <v>0</v>
      </c>
      <c r="J155" s="78" t="s">
        <v>274</v>
      </c>
      <c r="K155" s="79">
        <f t="shared" si="5"/>
        <v>0</v>
      </c>
    </row>
    <row r="156" spans="1:11" ht="14.35" x14ac:dyDescent="0.5">
      <c r="A156" s="68" t="s">
        <v>439</v>
      </c>
      <c r="B156" s="68" t="s">
        <v>79</v>
      </c>
      <c r="C156" s="77"/>
      <c r="D156" s="80"/>
      <c r="E156" s="80"/>
      <c r="I156" s="79">
        <f t="shared" si="4"/>
        <v>0</v>
      </c>
      <c r="J156" s="78" t="s">
        <v>274</v>
      </c>
      <c r="K156" s="79">
        <f t="shared" si="5"/>
        <v>0</v>
      </c>
    </row>
    <row r="157" spans="1:11" ht="14.35" x14ac:dyDescent="0.5">
      <c r="A157" s="68" t="s">
        <v>440</v>
      </c>
      <c r="B157" s="68" t="s">
        <v>80</v>
      </c>
      <c r="C157" s="77"/>
      <c r="D157" s="80"/>
      <c r="E157" s="80"/>
      <c r="I157" s="79">
        <f t="shared" si="4"/>
        <v>0</v>
      </c>
      <c r="J157" s="78" t="s">
        <v>274</v>
      </c>
      <c r="K157" s="79">
        <f t="shared" si="5"/>
        <v>0</v>
      </c>
    </row>
    <row r="158" spans="1:11" ht="14.35" x14ac:dyDescent="0.5">
      <c r="A158" s="68" t="s">
        <v>443</v>
      </c>
      <c r="B158" s="68" t="s">
        <v>83</v>
      </c>
      <c r="C158" s="77"/>
      <c r="D158" s="80"/>
      <c r="E158" s="80"/>
      <c r="I158" s="79">
        <f t="shared" si="4"/>
        <v>0</v>
      </c>
      <c r="J158" s="78" t="s">
        <v>274</v>
      </c>
      <c r="K158" s="79">
        <f t="shared" si="5"/>
        <v>0</v>
      </c>
    </row>
    <row r="159" spans="1:11" ht="14.35" x14ac:dyDescent="0.5">
      <c r="A159" s="68" t="s">
        <v>445</v>
      </c>
      <c r="B159" s="68" t="s">
        <v>85</v>
      </c>
      <c r="C159" s="77"/>
      <c r="D159" s="80"/>
      <c r="E159" s="80"/>
      <c r="I159" s="79">
        <f t="shared" si="4"/>
        <v>0</v>
      </c>
      <c r="J159" s="78" t="s">
        <v>274</v>
      </c>
      <c r="K159" s="79">
        <f t="shared" si="5"/>
        <v>0</v>
      </c>
    </row>
    <row r="160" spans="1:11" ht="14.35" x14ac:dyDescent="0.5">
      <c r="A160" s="68" t="s">
        <v>447</v>
      </c>
      <c r="B160" s="68" t="s">
        <v>87</v>
      </c>
      <c r="C160" s="77"/>
      <c r="D160" s="80"/>
      <c r="E160" s="80"/>
      <c r="I160" s="79">
        <f t="shared" si="4"/>
        <v>0</v>
      </c>
      <c r="J160" s="78" t="s">
        <v>274</v>
      </c>
      <c r="K160" s="79">
        <f t="shared" si="5"/>
        <v>0</v>
      </c>
    </row>
    <row r="161" spans="1:11" ht="14.35" x14ac:dyDescent="0.5">
      <c r="A161" s="68" t="s">
        <v>450</v>
      </c>
      <c r="B161" s="68" t="s">
        <v>90</v>
      </c>
      <c r="C161" s="77"/>
      <c r="D161" s="80"/>
      <c r="E161" s="80"/>
      <c r="I161" s="79">
        <f t="shared" si="4"/>
        <v>0</v>
      </c>
      <c r="J161" s="78" t="s">
        <v>274</v>
      </c>
      <c r="K161" s="79">
        <f t="shared" si="5"/>
        <v>0</v>
      </c>
    </row>
    <row r="162" spans="1:11" ht="14.35" x14ac:dyDescent="0.5">
      <c r="A162" s="68" t="s">
        <v>452</v>
      </c>
      <c r="B162" s="68" t="s">
        <v>92</v>
      </c>
      <c r="C162" s="77"/>
      <c r="D162" s="80"/>
      <c r="E162" s="80"/>
      <c r="I162" s="79">
        <f t="shared" si="4"/>
        <v>0</v>
      </c>
      <c r="J162" s="78" t="s">
        <v>274</v>
      </c>
      <c r="K162" s="79">
        <f t="shared" si="5"/>
        <v>0</v>
      </c>
    </row>
    <row r="163" spans="1:11" ht="14.35" x14ac:dyDescent="0.5">
      <c r="A163" s="68" t="s">
        <v>453</v>
      </c>
      <c r="B163" s="68" t="s">
        <v>93</v>
      </c>
      <c r="C163" s="77"/>
      <c r="D163" s="80"/>
      <c r="E163" s="80"/>
      <c r="I163" s="79">
        <f t="shared" si="4"/>
        <v>0</v>
      </c>
      <c r="J163" s="78" t="s">
        <v>274</v>
      </c>
      <c r="K163" s="79">
        <f t="shared" si="5"/>
        <v>0</v>
      </c>
    </row>
    <row r="164" spans="1:11" ht="14.35" x14ac:dyDescent="0.5">
      <c r="A164" s="68" t="s">
        <v>457</v>
      </c>
      <c r="B164" s="68" t="s">
        <v>106</v>
      </c>
      <c r="C164" s="77"/>
      <c r="D164" s="80"/>
      <c r="E164" s="80"/>
      <c r="I164" s="79">
        <f t="shared" si="4"/>
        <v>0</v>
      </c>
      <c r="J164" s="78" t="s">
        <v>274</v>
      </c>
      <c r="K164" s="79">
        <f t="shared" si="5"/>
        <v>0</v>
      </c>
    </row>
    <row r="165" spans="1:11" ht="14.35" x14ac:dyDescent="0.5">
      <c r="A165" s="68" t="s">
        <v>460</v>
      </c>
      <c r="B165" s="68" t="s">
        <v>109</v>
      </c>
      <c r="C165" s="77"/>
      <c r="D165" s="80"/>
      <c r="E165" s="80"/>
      <c r="I165" s="79">
        <f t="shared" si="4"/>
        <v>0</v>
      </c>
      <c r="J165" s="78" t="s">
        <v>274</v>
      </c>
      <c r="K165" s="79">
        <f t="shared" si="5"/>
        <v>0</v>
      </c>
    </row>
    <row r="166" spans="1:11" ht="14.35" x14ac:dyDescent="0.5">
      <c r="A166" s="68" t="s">
        <v>461</v>
      </c>
      <c r="B166" s="68" t="s">
        <v>110</v>
      </c>
      <c r="C166" s="77"/>
      <c r="D166" s="80"/>
      <c r="E166" s="80"/>
      <c r="I166" s="79">
        <f t="shared" si="4"/>
        <v>0</v>
      </c>
      <c r="J166" s="78" t="s">
        <v>274</v>
      </c>
      <c r="K166" s="79">
        <f t="shared" si="5"/>
        <v>0</v>
      </c>
    </row>
    <row r="167" spans="1:11" ht="14.35" x14ac:dyDescent="0.5">
      <c r="A167" s="68" t="s">
        <v>462</v>
      </c>
      <c r="B167" s="68" t="s">
        <v>136</v>
      </c>
      <c r="C167" s="77"/>
      <c r="D167" s="80"/>
      <c r="E167" s="80"/>
      <c r="I167" s="79">
        <f t="shared" si="4"/>
        <v>0</v>
      </c>
      <c r="J167" s="78" t="s">
        <v>274</v>
      </c>
      <c r="K167" s="79">
        <f t="shared" si="5"/>
        <v>0</v>
      </c>
    </row>
    <row r="168" spans="1:11" ht="14.35" x14ac:dyDescent="0.5">
      <c r="A168" s="68" t="s">
        <v>470</v>
      </c>
      <c r="B168" s="68" t="s">
        <v>119</v>
      </c>
      <c r="C168" s="77"/>
      <c r="D168" s="80"/>
      <c r="E168" s="80"/>
      <c r="I168" s="79">
        <f t="shared" ref="I168:I203" si="7">SUM(C168:H168)</f>
        <v>0</v>
      </c>
      <c r="J168" s="78" t="s">
        <v>274</v>
      </c>
      <c r="K168" s="79">
        <f t="shared" si="5"/>
        <v>0</v>
      </c>
    </row>
    <row r="169" spans="1:11" ht="14.35" x14ac:dyDescent="0.5">
      <c r="A169" s="68" t="s">
        <v>472</v>
      </c>
      <c r="B169" s="68" t="s">
        <v>121</v>
      </c>
      <c r="C169" s="77"/>
      <c r="D169" s="80"/>
      <c r="E169" s="80"/>
      <c r="I169" s="79">
        <f t="shared" si="7"/>
        <v>0</v>
      </c>
      <c r="J169" s="78" t="s">
        <v>274</v>
      </c>
      <c r="K169" s="79">
        <f t="shared" si="5"/>
        <v>0</v>
      </c>
    </row>
    <row r="170" spans="1:11" ht="14.35" x14ac:dyDescent="0.5">
      <c r="A170" s="68" t="s">
        <v>474</v>
      </c>
      <c r="B170" s="68" t="s">
        <v>123</v>
      </c>
      <c r="C170" s="77"/>
      <c r="D170" s="80"/>
      <c r="E170" s="80"/>
      <c r="I170" s="79">
        <f t="shared" si="7"/>
        <v>0</v>
      </c>
      <c r="J170" s="78" t="s">
        <v>274</v>
      </c>
      <c r="K170" s="79">
        <f t="shared" si="5"/>
        <v>0</v>
      </c>
    </row>
    <row r="171" spans="1:11" ht="14.35" x14ac:dyDescent="0.5">
      <c r="A171" s="68" t="s">
        <v>475</v>
      </c>
      <c r="B171" s="68" t="s">
        <v>124</v>
      </c>
      <c r="C171" s="77"/>
      <c r="D171" s="80"/>
      <c r="E171" s="80"/>
      <c r="I171" s="79">
        <f t="shared" si="7"/>
        <v>0</v>
      </c>
      <c r="J171" s="78" t="s">
        <v>274</v>
      </c>
      <c r="K171" s="79">
        <f t="shared" si="5"/>
        <v>0</v>
      </c>
    </row>
    <row r="172" spans="1:11" ht="14.35" x14ac:dyDescent="0.5">
      <c r="A172" s="68" t="s">
        <v>476</v>
      </c>
      <c r="B172" s="68" t="s">
        <v>259</v>
      </c>
      <c r="C172" s="77"/>
      <c r="D172" s="80"/>
      <c r="E172" s="80"/>
      <c r="I172" s="79">
        <f t="shared" si="7"/>
        <v>0</v>
      </c>
      <c r="J172" s="78" t="s">
        <v>274</v>
      </c>
      <c r="K172" s="79">
        <f t="shared" si="5"/>
        <v>0</v>
      </c>
    </row>
    <row r="173" spans="1:11" ht="14.35" x14ac:dyDescent="0.5">
      <c r="A173" s="68" t="s">
        <v>619</v>
      </c>
      <c r="B173" s="68" t="s">
        <v>620</v>
      </c>
      <c r="C173" s="77"/>
      <c r="D173" s="80"/>
      <c r="E173" s="80"/>
      <c r="I173" s="79">
        <f t="shared" si="7"/>
        <v>0</v>
      </c>
      <c r="J173" s="78" t="s">
        <v>274</v>
      </c>
      <c r="K173" s="79">
        <f t="shared" si="5"/>
        <v>0</v>
      </c>
    </row>
    <row r="174" spans="1:11" ht="14.35" x14ac:dyDescent="0.5">
      <c r="A174" s="68" t="s">
        <v>621</v>
      </c>
      <c r="B174" s="68" t="s">
        <v>622</v>
      </c>
      <c r="C174" s="77"/>
      <c r="D174" s="80"/>
      <c r="E174" s="80"/>
      <c r="I174" s="79">
        <f t="shared" si="7"/>
        <v>0</v>
      </c>
      <c r="J174" s="78" t="s">
        <v>274</v>
      </c>
      <c r="K174" s="79">
        <f t="shared" si="5"/>
        <v>0</v>
      </c>
    </row>
    <row r="175" spans="1:11" ht="14.35" x14ac:dyDescent="0.5">
      <c r="A175" s="68" t="s">
        <v>636</v>
      </c>
      <c r="B175" s="68" t="s">
        <v>634</v>
      </c>
      <c r="C175" s="77"/>
      <c r="D175" s="80"/>
      <c r="E175" s="80"/>
      <c r="I175" s="79">
        <f t="shared" si="7"/>
        <v>0</v>
      </c>
      <c r="J175" s="78" t="s">
        <v>274</v>
      </c>
      <c r="K175" s="79">
        <f t="shared" si="5"/>
        <v>0</v>
      </c>
    </row>
    <row r="176" spans="1:11" ht="14.35" x14ac:dyDescent="0.5">
      <c r="A176" s="68" t="s">
        <v>644</v>
      </c>
      <c r="B176" s="68" t="s">
        <v>643</v>
      </c>
      <c r="C176" s="77"/>
      <c r="D176" s="80"/>
      <c r="E176" s="80"/>
      <c r="I176" s="79">
        <f t="shared" si="7"/>
        <v>0</v>
      </c>
      <c r="J176" s="78" t="s">
        <v>274</v>
      </c>
      <c r="K176" s="79">
        <f t="shared" si="5"/>
        <v>0</v>
      </c>
    </row>
    <row r="177" spans="1:11" ht="14.35" x14ac:dyDescent="0.5">
      <c r="A177" s="68" t="s">
        <v>648</v>
      </c>
      <c r="B177" s="68" t="s">
        <v>647</v>
      </c>
      <c r="C177" s="77"/>
      <c r="D177" s="80"/>
      <c r="E177" s="80"/>
      <c r="I177" s="79">
        <f t="shared" si="7"/>
        <v>0</v>
      </c>
      <c r="J177" s="78" t="s">
        <v>274</v>
      </c>
      <c r="K177" s="79">
        <f t="shared" si="5"/>
        <v>0</v>
      </c>
    </row>
    <row r="178" spans="1:11" ht="14.35" x14ac:dyDescent="0.5">
      <c r="A178" s="27" t="s">
        <v>656</v>
      </c>
      <c r="B178" s="27" t="s">
        <v>657</v>
      </c>
      <c r="C178" s="77"/>
      <c r="D178" s="80"/>
      <c r="E178" s="80"/>
      <c r="F178" s="80"/>
      <c r="G178" s="80"/>
      <c r="H178" s="80"/>
      <c r="I178" s="79">
        <f t="shared" si="7"/>
        <v>0</v>
      </c>
      <c r="J178" s="78" t="s">
        <v>274</v>
      </c>
      <c r="K178" s="79">
        <f t="shared" si="5"/>
        <v>0</v>
      </c>
    </row>
    <row r="179" spans="1:11" ht="14.35" x14ac:dyDescent="0.5">
      <c r="A179" s="27" t="s">
        <v>659</v>
      </c>
      <c r="B179" s="27" t="s">
        <v>660</v>
      </c>
      <c r="C179" s="77"/>
      <c r="D179" s="80"/>
      <c r="E179" s="80"/>
      <c r="F179" s="80"/>
      <c r="G179" s="80"/>
      <c r="H179" s="80"/>
      <c r="I179" s="79">
        <f t="shared" si="7"/>
        <v>0</v>
      </c>
      <c r="J179" s="78" t="s">
        <v>274</v>
      </c>
      <c r="K179" s="79">
        <f t="shared" si="5"/>
        <v>0</v>
      </c>
    </row>
    <row r="180" spans="1:11" ht="14.35" x14ac:dyDescent="0.5">
      <c r="A180" s="100" t="s">
        <v>678</v>
      </c>
      <c r="B180" s="100" t="s">
        <v>675</v>
      </c>
      <c r="C180" s="77"/>
      <c r="D180" s="80"/>
      <c r="E180" s="80"/>
      <c r="F180" s="80"/>
      <c r="G180" s="80"/>
      <c r="H180" s="80"/>
      <c r="I180" s="79">
        <f t="shared" si="7"/>
        <v>0</v>
      </c>
      <c r="J180" s="78" t="s">
        <v>274</v>
      </c>
      <c r="K180" s="79">
        <f t="shared" si="5"/>
        <v>0</v>
      </c>
    </row>
    <row r="181" spans="1:11" ht="14.35" x14ac:dyDescent="0.5">
      <c r="A181" s="100" t="s">
        <v>688</v>
      </c>
      <c r="B181" s="100" t="s">
        <v>689</v>
      </c>
      <c r="C181" s="77"/>
      <c r="D181" s="80"/>
      <c r="E181" s="80"/>
      <c r="F181" s="80"/>
      <c r="G181" s="80"/>
      <c r="H181" s="80"/>
      <c r="I181" s="79">
        <f t="shared" si="7"/>
        <v>0</v>
      </c>
      <c r="J181" s="78" t="s">
        <v>274</v>
      </c>
      <c r="K181" s="79">
        <f t="shared" si="5"/>
        <v>0</v>
      </c>
    </row>
    <row r="182" spans="1:11" ht="14.35" x14ac:dyDescent="0.5">
      <c r="A182" s="100" t="s">
        <v>690</v>
      </c>
      <c r="B182" s="100" t="s">
        <v>691</v>
      </c>
      <c r="C182" s="77"/>
      <c r="D182" s="80"/>
      <c r="E182" s="80"/>
      <c r="F182" s="80"/>
      <c r="G182" s="80"/>
      <c r="H182" s="80"/>
      <c r="I182" s="79">
        <f t="shared" si="7"/>
        <v>0</v>
      </c>
      <c r="J182" s="78" t="s">
        <v>274</v>
      </c>
      <c r="K182" s="79">
        <f t="shared" si="5"/>
        <v>0</v>
      </c>
    </row>
    <row r="183" spans="1:11" ht="14.35" x14ac:dyDescent="0.5">
      <c r="A183" s="100" t="s">
        <v>679</v>
      </c>
      <c r="B183" s="100" t="s">
        <v>677</v>
      </c>
      <c r="C183" s="77"/>
      <c r="D183" s="80"/>
      <c r="E183" s="80"/>
      <c r="F183" s="80"/>
      <c r="G183" s="80"/>
      <c r="H183" s="80"/>
      <c r="I183" s="79">
        <f t="shared" si="7"/>
        <v>0</v>
      </c>
      <c r="J183" s="78" t="s">
        <v>274</v>
      </c>
      <c r="K183" s="79">
        <f t="shared" si="5"/>
        <v>0</v>
      </c>
    </row>
    <row r="184" spans="1:11" ht="14.35" x14ac:dyDescent="0.5">
      <c r="A184" s="71" t="s">
        <v>766</v>
      </c>
      <c r="B184" s="71" t="s">
        <v>763</v>
      </c>
      <c r="C184" s="77"/>
      <c r="D184" s="80"/>
      <c r="E184" s="80"/>
      <c r="F184" s="80"/>
      <c r="G184" s="80"/>
      <c r="H184" s="80"/>
      <c r="I184" s="79">
        <f t="shared" si="7"/>
        <v>0</v>
      </c>
      <c r="J184" s="78" t="s">
        <v>274</v>
      </c>
      <c r="K184" s="79">
        <f t="shared" si="5"/>
        <v>0</v>
      </c>
    </row>
    <row r="185" spans="1:11" ht="14.35" x14ac:dyDescent="0.5">
      <c r="A185" s="71" t="s">
        <v>767</v>
      </c>
      <c r="B185" s="71" t="s">
        <v>765</v>
      </c>
      <c r="C185" s="77"/>
      <c r="D185" s="80"/>
      <c r="E185" s="80"/>
      <c r="F185" s="80"/>
      <c r="G185" s="80"/>
      <c r="H185" s="80"/>
      <c r="I185" s="79">
        <f t="shared" si="7"/>
        <v>0</v>
      </c>
      <c r="J185" s="78" t="s">
        <v>274</v>
      </c>
      <c r="K185" s="79">
        <f t="shared" si="5"/>
        <v>0</v>
      </c>
    </row>
    <row r="186" spans="1:11" ht="14.35" x14ac:dyDescent="0.5">
      <c r="A186" s="71" t="s">
        <v>779</v>
      </c>
      <c r="B186" s="100" t="s">
        <v>776</v>
      </c>
      <c r="C186" s="77"/>
      <c r="D186" s="80"/>
      <c r="E186" s="80"/>
      <c r="F186" s="80"/>
      <c r="G186" s="80"/>
      <c r="H186" s="80"/>
      <c r="I186" s="79">
        <f t="shared" si="7"/>
        <v>0</v>
      </c>
      <c r="J186" s="78" t="s">
        <v>274</v>
      </c>
      <c r="K186" s="79">
        <f t="shared" si="5"/>
        <v>0</v>
      </c>
    </row>
    <row r="187" spans="1:11" ht="14.35" x14ac:dyDescent="0.5">
      <c r="A187" s="71" t="s">
        <v>780</v>
      </c>
      <c r="B187" s="100" t="s">
        <v>778</v>
      </c>
      <c r="C187" s="77"/>
      <c r="D187" s="80"/>
      <c r="E187" s="80"/>
      <c r="F187" s="80"/>
      <c r="G187" s="80"/>
      <c r="H187" s="80"/>
      <c r="I187" s="79">
        <f t="shared" si="7"/>
        <v>0</v>
      </c>
      <c r="J187" s="78" t="s">
        <v>274</v>
      </c>
      <c r="K187" s="79">
        <f t="shared" si="5"/>
        <v>0</v>
      </c>
    </row>
    <row r="188" spans="1:11" ht="14.35" x14ac:dyDescent="0.5">
      <c r="A188" s="100" t="s">
        <v>792</v>
      </c>
      <c r="B188" s="100" t="s">
        <v>789</v>
      </c>
      <c r="C188" s="77"/>
      <c r="D188" s="80"/>
      <c r="E188" s="80"/>
      <c r="F188" s="80"/>
      <c r="G188" s="80"/>
      <c r="H188" s="80"/>
      <c r="I188" s="79">
        <f t="shared" si="7"/>
        <v>0</v>
      </c>
      <c r="J188" s="78" t="s">
        <v>274</v>
      </c>
      <c r="K188" s="79">
        <f t="shared" si="5"/>
        <v>0</v>
      </c>
    </row>
    <row r="189" spans="1:11" ht="14.35" x14ac:dyDescent="0.5">
      <c r="A189" s="100" t="s">
        <v>793</v>
      </c>
      <c r="B189" s="100" t="s">
        <v>791</v>
      </c>
      <c r="C189" s="77"/>
      <c r="D189" s="80"/>
      <c r="E189" s="80"/>
      <c r="F189" s="80"/>
      <c r="G189" s="80"/>
      <c r="H189" s="80"/>
      <c r="I189" s="79">
        <f t="shared" si="7"/>
        <v>0</v>
      </c>
      <c r="J189" s="78" t="s">
        <v>274</v>
      </c>
      <c r="K189" s="79">
        <f t="shared" si="5"/>
        <v>0</v>
      </c>
    </row>
    <row r="190" spans="1:11" ht="14.35" x14ac:dyDescent="0.5">
      <c r="A190" s="100" t="s">
        <v>807</v>
      </c>
      <c r="B190" s="100" t="s">
        <v>804</v>
      </c>
      <c r="C190" s="77"/>
      <c r="D190" s="80"/>
      <c r="E190" s="80"/>
      <c r="F190" s="80"/>
      <c r="G190" s="80"/>
      <c r="H190" s="80"/>
      <c r="I190" s="79">
        <f t="shared" si="7"/>
        <v>0</v>
      </c>
      <c r="J190" s="78" t="s">
        <v>274</v>
      </c>
      <c r="K190" s="79">
        <f t="shared" si="5"/>
        <v>0</v>
      </c>
    </row>
    <row r="191" spans="1:11" ht="14.35" x14ac:dyDescent="0.5">
      <c r="A191" s="100" t="s">
        <v>816</v>
      </c>
      <c r="B191" s="100" t="s">
        <v>815</v>
      </c>
      <c r="C191" s="77"/>
      <c r="D191" s="80"/>
      <c r="E191" s="80"/>
      <c r="F191" s="80"/>
      <c r="G191" s="80"/>
      <c r="H191" s="80"/>
      <c r="I191" s="79">
        <f t="shared" si="7"/>
        <v>0</v>
      </c>
      <c r="J191" s="78" t="s">
        <v>274</v>
      </c>
      <c r="K191" s="79">
        <f t="shared" si="5"/>
        <v>0</v>
      </c>
    </row>
    <row r="192" spans="1:11" ht="14.35" x14ac:dyDescent="0.5">
      <c r="A192" s="100" t="s">
        <v>865</v>
      </c>
      <c r="B192" s="100" t="s">
        <v>864</v>
      </c>
      <c r="C192" s="77"/>
      <c r="D192" s="80"/>
      <c r="E192" s="80"/>
      <c r="F192" s="80"/>
      <c r="G192" s="80"/>
      <c r="H192" s="80"/>
      <c r="I192" s="79">
        <f t="shared" si="7"/>
        <v>0</v>
      </c>
      <c r="J192" s="78" t="s">
        <v>274</v>
      </c>
      <c r="K192" s="79">
        <f t="shared" si="5"/>
        <v>0</v>
      </c>
    </row>
    <row r="193" spans="1:11" ht="14.35" x14ac:dyDescent="0.5">
      <c r="A193" s="100" t="s">
        <v>873</v>
      </c>
      <c r="B193" s="100" t="s">
        <v>872</v>
      </c>
      <c r="C193" s="77"/>
      <c r="D193" s="80"/>
      <c r="E193" s="80"/>
      <c r="F193" s="80"/>
      <c r="G193" s="80"/>
      <c r="H193" s="80"/>
      <c r="I193" s="79">
        <f t="shared" si="7"/>
        <v>0</v>
      </c>
      <c r="J193" s="78" t="s">
        <v>274</v>
      </c>
      <c r="K193" s="79">
        <f t="shared" si="5"/>
        <v>0</v>
      </c>
    </row>
    <row r="194" spans="1:11" ht="14.35" x14ac:dyDescent="0.5">
      <c r="A194" s="91">
        <v>27250</v>
      </c>
      <c r="B194" s="68" t="s">
        <v>772</v>
      </c>
      <c r="C194" s="77"/>
      <c r="E194" s="80"/>
      <c r="G194" s="78">
        <f>-D194</f>
        <v>0</v>
      </c>
      <c r="I194" s="79">
        <f t="shared" si="7"/>
        <v>0</v>
      </c>
      <c r="J194" s="78" t="s">
        <v>267</v>
      </c>
      <c r="K194" s="79">
        <f t="shared" si="5"/>
        <v>0</v>
      </c>
    </row>
    <row r="195" spans="1:11" ht="14.35" x14ac:dyDescent="0.5">
      <c r="A195" s="69" t="s">
        <v>770</v>
      </c>
      <c r="B195" s="68" t="s">
        <v>771</v>
      </c>
      <c r="C195" s="77"/>
      <c r="D195" s="80"/>
      <c r="G195" s="78">
        <f>-E195</f>
        <v>0</v>
      </c>
      <c r="I195" s="79">
        <f t="shared" si="7"/>
        <v>0</v>
      </c>
      <c r="J195" s="78" t="s">
        <v>267</v>
      </c>
      <c r="K195" s="79">
        <f t="shared" si="5"/>
        <v>0</v>
      </c>
    </row>
    <row r="196" spans="1:11" ht="14.35" x14ac:dyDescent="0.5">
      <c r="A196" s="68" t="s">
        <v>477</v>
      </c>
      <c r="B196" s="68" t="s">
        <v>137</v>
      </c>
      <c r="C196" s="77"/>
      <c r="D196" s="80"/>
      <c r="E196" s="80"/>
      <c r="I196" s="79">
        <f t="shared" si="7"/>
        <v>0</v>
      </c>
      <c r="J196" s="78" t="s">
        <v>861</v>
      </c>
      <c r="K196" s="79">
        <f t="shared" si="5"/>
        <v>0</v>
      </c>
    </row>
    <row r="197" spans="1:11" ht="14.35" x14ac:dyDescent="0.5">
      <c r="A197" s="69" t="s">
        <v>773</v>
      </c>
      <c r="B197" s="68" t="s">
        <v>605</v>
      </c>
      <c r="C197" s="77"/>
      <c r="E197" s="80"/>
      <c r="I197" s="79">
        <f t="shared" si="7"/>
        <v>0</v>
      </c>
      <c r="J197" s="78" t="s">
        <v>278</v>
      </c>
      <c r="K197" s="79">
        <f t="shared" si="5"/>
        <v>0</v>
      </c>
    </row>
    <row r="198" spans="1:11" ht="14.35" x14ac:dyDescent="0.5">
      <c r="A198" s="69" t="s">
        <v>774</v>
      </c>
      <c r="B198" s="68" t="s">
        <v>606</v>
      </c>
      <c r="C198" s="77"/>
      <c r="E198" s="80"/>
      <c r="H198" s="78">
        <f>'P&amp;L-Detail 9.18'!I148</f>
        <v>0</v>
      </c>
      <c r="I198" s="79">
        <f>SUM(C198:H198)</f>
        <v>0</v>
      </c>
      <c r="J198" s="78" t="s">
        <v>278</v>
      </c>
      <c r="K198" s="79">
        <f t="shared" si="5"/>
        <v>0</v>
      </c>
    </row>
    <row r="199" spans="1:11" x14ac:dyDescent="0.4">
      <c r="A199" s="68" t="s">
        <v>478</v>
      </c>
      <c r="B199" s="68" t="s">
        <v>138</v>
      </c>
      <c r="C199" s="77"/>
      <c r="I199" s="79">
        <f t="shared" si="7"/>
        <v>0</v>
      </c>
      <c r="J199" s="78" t="s">
        <v>278</v>
      </c>
      <c r="K199" s="79">
        <f t="shared" si="5"/>
        <v>0</v>
      </c>
    </row>
    <row r="200" spans="1:11" x14ac:dyDescent="0.4">
      <c r="A200" s="68" t="s">
        <v>479</v>
      </c>
      <c r="B200" s="68" t="s">
        <v>139</v>
      </c>
      <c r="C200" s="77"/>
      <c r="F200" s="78">
        <f>-E200-D200</f>
        <v>0</v>
      </c>
      <c r="I200" s="79">
        <f t="shared" si="7"/>
        <v>0</v>
      </c>
      <c r="J200" s="78" t="s">
        <v>276</v>
      </c>
      <c r="K200" s="79">
        <f t="shared" si="5"/>
        <v>0</v>
      </c>
    </row>
    <row r="201" spans="1:11" ht="14.35" x14ac:dyDescent="0.5">
      <c r="A201" s="68" t="s">
        <v>480</v>
      </c>
      <c r="B201" s="68" t="s">
        <v>140</v>
      </c>
      <c r="C201" s="77"/>
      <c r="D201" s="80"/>
      <c r="E201" s="80"/>
      <c r="I201" s="79">
        <f t="shared" si="7"/>
        <v>0</v>
      </c>
      <c r="J201" s="78" t="s">
        <v>275</v>
      </c>
      <c r="K201" s="79">
        <f t="shared" ref="K201:K203" si="8">I201</f>
        <v>0</v>
      </c>
    </row>
    <row r="202" spans="1:11" ht="14.35" x14ac:dyDescent="0.5">
      <c r="A202" s="68" t="s">
        <v>481</v>
      </c>
      <c r="B202" s="68" t="s">
        <v>141</v>
      </c>
      <c r="C202" s="77"/>
      <c r="D202" s="80"/>
      <c r="E202" s="80"/>
      <c r="I202" s="79">
        <f t="shared" si="7"/>
        <v>0</v>
      </c>
      <c r="J202" s="78" t="s">
        <v>277</v>
      </c>
      <c r="K202" s="79">
        <f t="shared" si="8"/>
        <v>0</v>
      </c>
    </row>
    <row r="203" spans="1:11" x14ac:dyDescent="0.4">
      <c r="A203" s="68" t="s">
        <v>304</v>
      </c>
      <c r="B203" s="68" t="s">
        <v>142</v>
      </c>
      <c r="C203" s="77"/>
      <c r="I203" s="79">
        <f t="shared" si="7"/>
        <v>0</v>
      </c>
      <c r="J203" s="78" t="s">
        <v>278</v>
      </c>
      <c r="K203" s="79">
        <f t="shared" si="8"/>
        <v>0</v>
      </c>
    </row>
    <row r="204" spans="1:11" x14ac:dyDescent="0.4">
      <c r="A204" s="76" t="s">
        <v>483</v>
      </c>
      <c r="B204" s="8"/>
      <c r="C204" s="20">
        <f t="shared" ref="C204:K204" si="9">SUM(C6:C81)+SUM(C82:C203)</f>
        <v>0</v>
      </c>
      <c r="D204" s="20">
        <f t="shared" si="9"/>
        <v>0</v>
      </c>
      <c r="E204" s="20">
        <f t="shared" si="9"/>
        <v>0</v>
      </c>
      <c r="F204" s="20">
        <f t="shared" si="9"/>
        <v>0</v>
      </c>
      <c r="G204" s="20">
        <f t="shared" si="9"/>
        <v>0</v>
      </c>
      <c r="H204" s="20">
        <f t="shared" si="9"/>
        <v>0</v>
      </c>
      <c r="I204" s="20">
        <f t="shared" si="9"/>
        <v>0</v>
      </c>
      <c r="J204" s="20">
        <f t="shared" si="9"/>
        <v>0</v>
      </c>
      <c r="K204" s="20">
        <f t="shared" si="9"/>
        <v>0</v>
      </c>
    </row>
    <row r="205" spans="1:11" x14ac:dyDescent="0.4">
      <c r="B205" s="8"/>
    </row>
    <row r="206" spans="1:11" x14ac:dyDescent="0.4">
      <c r="B206" s="8" t="s">
        <v>261</v>
      </c>
    </row>
    <row r="207" spans="1:11" x14ac:dyDescent="0.4">
      <c r="B207" s="76" t="s">
        <v>285</v>
      </c>
      <c r="C207" s="78">
        <f>SUM(C6:C81)</f>
        <v>0</v>
      </c>
      <c r="D207" s="78">
        <f>SUM(D6:D81)</f>
        <v>0</v>
      </c>
      <c r="E207" s="78">
        <f>SUM(E6:E81)</f>
        <v>0</v>
      </c>
      <c r="K207" s="78">
        <f>SUM(K6:K81)</f>
        <v>0</v>
      </c>
    </row>
    <row r="208" spans="1:11" x14ac:dyDescent="0.4">
      <c r="B208" s="76" t="s">
        <v>286</v>
      </c>
      <c r="C208" s="78">
        <f>SUM(C82:C196)</f>
        <v>0</v>
      </c>
      <c r="D208" s="78">
        <f>SUM(D82:D196)</f>
        <v>0</v>
      </c>
      <c r="E208" s="78">
        <f>SUM(E82:E196)</f>
        <v>0</v>
      </c>
      <c r="H208" s="78">
        <f>374064.27+C203</f>
        <v>374064.27</v>
      </c>
      <c r="K208" s="78">
        <f>SUM(K82:K196)</f>
        <v>0</v>
      </c>
    </row>
    <row r="209" spans="1:11" x14ac:dyDescent="0.4">
      <c r="B209" s="76" t="s">
        <v>607</v>
      </c>
      <c r="C209" s="78">
        <f>SUM(C197:C203)</f>
        <v>0</v>
      </c>
      <c r="D209" s="78">
        <f>SUM(D197:D203)</f>
        <v>0</v>
      </c>
      <c r="E209" s="78">
        <f>SUM(E197:E203)</f>
        <v>0</v>
      </c>
      <c r="K209" s="78">
        <f>SUM(K197:K203)</f>
        <v>0</v>
      </c>
    </row>
    <row r="210" spans="1:11" x14ac:dyDescent="0.4">
      <c r="B210" s="76" t="s">
        <v>483</v>
      </c>
      <c r="C210" s="78">
        <f>SUM(C207:C209)</f>
        <v>0</v>
      </c>
      <c r="D210" s="78">
        <f>SUM(D207:D209)</f>
        <v>0</v>
      </c>
      <c r="E210" s="78">
        <f>SUM(E207:E209)</f>
        <v>0</v>
      </c>
      <c r="K210" s="78">
        <f>SUM(K207:K209)</f>
        <v>0</v>
      </c>
    </row>
    <row r="211" spans="1:11" x14ac:dyDescent="0.4">
      <c r="A211" s="68"/>
      <c r="B211" s="68"/>
      <c r="C211" s="77"/>
      <c r="D211" s="76"/>
      <c r="E211" s="76"/>
    </row>
    <row r="212" spans="1:11" x14ac:dyDescent="0.4">
      <c r="A212" s="68"/>
      <c r="B212" s="68"/>
      <c r="C212" s="77"/>
      <c r="D212" s="76"/>
      <c r="E212" s="76"/>
    </row>
    <row r="213" spans="1:11" x14ac:dyDescent="0.4">
      <c r="A213" s="68"/>
      <c r="B213" s="68"/>
      <c r="C213" s="77"/>
      <c r="D213" s="76"/>
      <c r="E213" s="76"/>
    </row>
    <row r="214" spans="1:11" x14ac:dyDescent="0.4">
      <c r="A214" s="68"/>
      <c r="B214" s="68"/>
      <c r="C214" s="77"/>
      <c r="D214" s="76"/>
      <c r="E214" s="76"/>
    </row>
    <row r="215" spans="1:11" x14ac:dyDescent="0.4">
      <c r="A215" s="68"/>
      <c r="B215" s="68"/>
      <c r="C215" s="77"/>
      <c r="D215" s="76"/>
      <c r="E215" s="76"/>
    </row>
    <row r="216" spans="1:11" x14ac:dyDescent="0.4">
      <c r="A216" s="68"/>
      <c r="B216" s="68"/>
      <c r="C216" s="77"/>
      <c r="D216" s="76"/>
      <c r="E216" s="76"/>
    </row>
    <row r="217" spans="1:11" x14ac:dyDescent="0.4">
      <c r="A217" s="68"/>
      <c r="B217" s="68"/>
      <c r="C217" s="77"/>
      <c r="D217" s="76"/>
      <c r="E217" s="76"/>
    </row>
    <row r="218" spans="1:11" x14ac:dyDescent="0.4">
      <c r="A218" s="100"/>
      <c r="B218" s="100"/>
      <c r="C218" s="77"/>
      <c r="D218" s="76"/>
      <c r="E218" s="76"/>
    </row>
    <row r="219" spans="1:11" x14ac:dyDescent="0.4">
      <c r="A219" s="100"/>
      <c r="B219" s="100"/>
      <c r="C219" s="77"/>
      <c r="D219" s="76"/>
      <c r="E219" s="76"/>
    </row>
    <row r="220" spans="1:11" x14ac:dyDescent="0.4">
      <c r="A220" s="100"/>
      <c r="B220" s="100"/>
      <c r="C220" s="77"/>
      <c r="D220" s="76"/>
      <c r="E220" s="76"/>
    </row>
    <row r="221" spans="1:11" x14ac:dyDescent="0.4">
      <c r="A221" s="100"/>
      <c r="B221" s="100"/>
      <c r="C221" s="77"/>
      <c r="D221" s="76"/>
      <c r="E221" s="76"/>
    </row>
    <row r="222" spans="1:11" x14ac:dyDescent="0.4">
      <c r="A222" s="100"/>
      <c r="B222" s="100"/>
      <c r="C222" s="77"/>
      <c r="D222" s="76"/>
      <c r="E222" s="76"/>
    </row>
    <row r="223" spans="1:11" x14ac:dyDescent="0.4">
      <c r="A223" s="100"/>
      <c r="B223" s="100"/>
      <c r="C223" s="77"/>
      <c r="D223" s="76"/>
      <c r="E223" s="76"/>
    </row>
    <row r="224" spans="1:11" x14ac:dyDescent="0.4">
      <c r="A224" s="100"/>
      <c r="B224" s="100"/>
      <c r="C224" s="77"/>
      <c r="D224" s="76"/>
      <c r="E224" s="76"/>
    </row>
    <row r="225" spans="1:12" x14ac:dyDescent="0.4">
      <c r="A225" s="100"/>
      <c r="B225" s="100"/>
      <c r="C225" s="77"/>
      <c r="D225" s="76"/>
      <c r="E225" s="76"/>
    </row>
    <row r="226" spans="1:12" x14ac:dyDescent="0.4">
      <c r="A226" s="100"/>
      <c r="B226" s="100"/>
      <c r="C226" s="77"/>
      <c r="D226" s="76"/>
      <c r="E226" s="76"/>
    </row>
    <row r="227" spans="1:12" x14ac:dyDescent="0.4">
      <c r="A227" s="100"/>
      <c r="B227" s="100"/>
      <c r="C227" s="77"/>
      <c r="D227" s="76"/>
      <c r="E227" s="76"/>
    </row>
    <row r="228" spans="1:12" x14ac:dyDescent="0.4">
      <c r="A228" s="100"/>
      <c r="B228" s="100"/>
      <c r="C228" s="77"/>
      <c r="D228" s="76"/>
      <c r="E228" s="76"/>
    </row>
    <row r="229" spans="1:12" x14ac:dyDescent="0.4">
      <c r="A229" s="100"/>
      <c r="B229" s="100"/>
      <c r="C229" s="77"/>
      <c r="D229" s="76"/>
      <c r="E229" s="76"/>
    </row>
    <row r="230" spans="1:12" x14ac:dyDescent="0.4">
      <c r="B230" s="68"/>
      <c r="C230" s="77"/>
      <c r="D230" s="76"/>
    </row>
    <row r="231" spans="1:12" x14ac:dyDescent="0.4">
      <c r="B231" s="68"/>
      <c r="C231" s="77"/>
      <c r="E231" s="76"/>
    </row>
    <row r="232" spans="1:12" x14ac:dyDescent="0.4">
      <c r="A232" s="68"/>
      <c r="B232" s="68"/>
      <c r="C232" s="77"/>
      <c r="D232" s="76"/>
    </row>
    <row r="233" spans="1:12" x14ac:dyDescent="0.4">
      <c r="A233" s="68"/>
      <c r="B233" s="68"/>
      <c r="C233" s="77"/>
      <c r="D233" s="76"/>
      <c r="E233" s="76"/>
    </row>
    <row r="234" spans="1:12" x14ac:dyDescent="0.4">
      <c r="A234" s="68"/>
      <c r="B234" s="68"/>
      <c r="C234" s="77"/>
      <c r="E234" s="76"/>
    </row>
    <row r="235" spans="1:12" x14ac:dyDescent="0.4">
      <c r="A235" s="68"/>
      <c r="B235" s="68"/>
      <c r="C235" s="77"/>
      <c r="E235" s="76"/>
    </row>
    <row r="236" spans="1:12" x14ac:dyDescent="0.4">
      <c r="A236" s="68"/>
      <c r="B236" s="68"/>
      <c r="C236" s="77"/>
    </row>
    <row r="237" spans="1:12" x14ac:dyDescent="0.4">
      <c r="D237" s="76"/>
      <c r="E237" s="76"/>
      <c r="F237" s="76"/>
      <c r="G237" s="76"/>
      <c r="H237" s="76"/>
      <c r="I237" s="76"/>
      <c r="J237" s="76"/>
      <c r="K237" s="76"/>
      <c r="L237" s="76"/>
    </row>
    <row r="238" spans="1:12" x14ac:dyDescent="0.4">
      <c r="D238" s="76"/>
      <c r="E238" s="76"/>
      <c r="F238" s="76"/>
      <c r="G238" s="76"/>
      <c r="H238" s="76"/>
      <c r="I238" s="76"/>
      <c r="J238" s="76"/>
      <c r="K238" s="76"/>
      <c r="L238" s="76"/>
    </row>
    <row r="239" spans="1:12" x14ac:dyDescent="0.4">
      <c r="D239" s="76"/>
      <c r="E239" s="76"/>
      <c r="F239" s="76"/>
      <c r="G239" s="76"/>
      <c r="H239" s="76"/>
      <c r="I239" s="76"/>
      <c r="J239" s="76"/>
      <c r="K239" s="76"/>
      <c r="L239" s="76"/>
    </row>
    <row r="240" spans="1:12" x14ac:dyDescent="0.4">
      <c r="D240" s="76"/>
      <c r="E240" s="76"/>
      <c r="F240" s="76"/>
      <c r="G240" s="76"/>
      <c r="H240" s="76"/>
      <c r="I240" s="76"/>
      <c r="J240" s="76"/>
      <c r="K240" s="76"/>
      <c r="L240" s="76"/>
    </row>
    <row r="241" spans="4:12" x14ac:dyDescent="0.4">
      <c r="D241" s="76"/>
      <c r="E241" s="76"/>
      <c r="F241" s="76"/>
      <c r="G241" s="76"/>
      <c r="H241" s="76"/>
      <c r="I241" s="76"/>
      <c r="J241" s="76"/>
      <c r="K241" s="76"/>
      <c r="L241" s="76"/>
    </row>
    <row r="242" spans="4:12" x14ac:dyDescent="0.4">
      <c r="D242" s="76"/>
      <c r="E242" s="76"/>
      <c r="F242" s="76"/>
      <c r="G242" s="76"/>
      <c r="H242" s="76"/>
      <c r="I242" s="76"/>
      <c r="J242" s="76"/>
      <c r="K242" s="76"/>
      <c r="L242" s="76"/>
    </row>
    <row r="243" spans="4:12" x14ac:dyDescent="0.4">
      <c r="D243" s="76"/>
      <c r="E243" s="76"/>
      <c r="F243" s="76"/>
      <c r="G243" s="76"/>
      <c r="H243" s="76"/>
      <c r="I243" s="76"/>
      <c r="J243" s="76"/>
      <c r="K243" s="77">
        <f>SUM(K89:K104)+SUM(K115:K144)+SUM(K151:K193)</f>
        <v>0</v>
      </c>
      <c r="L243" s="76"/>
    </row>
    <row r="244" spans="4:12" x14ac:dyDescent="0.4">
      <c r="D244" s="76"/>
      <c r="E244" s="76"/>
      <c r="F244" s="76"/>
      <c r="G244" s="76"/>
      <c r="H244" s="76"/>
      <c r="I244" s="76"/>
      <c r="J244" s="76"/>
      <c r="K244" s="76"/>
      <c r="L244" s="76"/>
    </row>
    <row r="245" spans="4:12" x14ac:dyDescent="0.4">
      <c r="D245" s="76"/>
      <c r="E245" s="76"/>
      <c r="F245" s="76"/>
      <c r="G245" s="76"/>
      <c r="H245" s="76"/>
      <c r="I245" s="76"/>
      <c r="J245" s="76"/>
      <c r="K245" s="76"/>
      <c r="L245" s="76"/>
    </row>
    <row r="246" spans="4:12" x14ac:dyDescent="0.4">
      <c r="D246" s="76"/>
      <c r="E246" s="76"/>
      <c r="F246" s="76"/>
      <c r="G246" s="76"/>
      <c r="H246" s="76"/>
      <c r="I246" s="76"/>
      <c r="J246" s="76"/>
      <c r="K246" s="76"/>
      <c r="L246" s="76"/>
    </row>
    <row r="247" spans="4:12" x14ac:dyDescent="0.4">
      <c r="D247" s="76"/>
      <c r="E247" s="76"/>
      <c r="F247" s="76"/>
      <c r="G247" s="76"/>
      <c r="H247" s="76"/>
      <c r="I247" s="76"/>
      <c r="J247" s="76"/>
      <c r="K247" s="76"/>
      <c r="L247" s="76"/>
    </row>
    <row r="248" spans="4:12" x14ac:dyDescent="0.4">
      <c r="D248" s="76"/>
      <c r="E248" s="76"/>
      <c r="F248" s="76"/>
      <c r="G248" s="76"/>
      <c r="H248" s="76"/>
      <c r="I248" s="76"/>
      <c r="J248" s="76"/>
      <c r="K248" s="76"/>
      <c r="L248" s="76"/>
    </row>
    <row r="461" spans="3:4" x14ac:dyDescent="0.4">
      <c r="C461" s="14"/>
      <c r="D461" s="7"/>
    </row>
    <row r="462" spans="3:4" x14ac:dyDescent="0.4">
      <c r="C462" s="14"/>
      <c r="D462" s="7"/>
    </row>
    <row r="463" spans="3:4" x14ac:dyDescent="0.4">
      <c r="C463" s="14"/>
      <c r="D463" s="7"/>
    </row>
    <row r="464" spans="3:4" x14ac:dyDescent="0.4">
      <c r="C464" s="14"/>
      <c r="D464" s="7"/>
    </row>
    <row r="465" spans="3:4" x14ac:dyDescent="0.4">
      <c r="C465" s="14"/>
      <c r="D465" s="7"/>
    </row>
    <row r="466" spans="3:4" x14ac:dyDescent="0.4">
      <c r="C466" s="14"/>
      <c r="D466" s="7"/>
    </row>
    <row r="467" spans="3:4" x14ac:dyDescent="0.4">
      <c r="C467" s="14"/>
      <c r="D467" s="7"/>
    </row>
    <row r="468" spans="3:4" x14ac:dyDescent="0.4">
      <c r="C468" s="14"/>
      <c r="D468" s="7"/>
    </row>
    <row r="469" spans="3:4" x14ac:dyDescent="0.4">
      <c r="C469" s="14"/>
      <c r="D469" s="7"/>
    </row>
    <row r="470" spans="3:4" x14ac:dyDescent="0.4">
      <c r="C470" s="14"/>
      <c r="D470" s="7"/>
    </row>
    <row r="471" spans="3:4" x14ac:dyDescent="0.4">
      <c r="C471" s="14"/>
      <c r="D471" s="7"/>
    </row>
    <row r="472" spans="3:4" x14ac:dyDescent="0.4">
      <c r="C472" s="14"/>
      <c r="D472" s="7"/>
    </row>
    <row r="473" spans="3:4" x14ac:dyDescent="0.4">
      <c r="C473" s="14"/>
      <c r="D473" s="7"/>
    </row>
    <row r="474" spans="3:4" x14ac:dyDescent="0.4">
      <c r="C474" s="14"/>
      <c r="D474" s="7"/>
    </row>
    <row r="475" spans="3:4" x14ac:dyDescent="0.4">
      <c r="C475" s="14"/>
      <c r="D475" s="7"/>
    </row>
    <row r="476" spans="3:4" x14ac:dyDescent="0.4">
      <c r="C476" s="14"/>
      <c r="D476" s="7"/>
    </row>
    <row r="477" spans="3:4" x14ac:dyDescent="0.4">
      <c r="C477" s="14"/>
      <c r="D477" s="7"/>
    </row>
    <row r="478" spans="3:4" x14ac:dyDescent="0.4">
      <c r="C478" s="14"/>
      <c r="D478" s="7"/>
    </row>
    <row r="479" spans="3:4" x14ac:dyDescent="0.4">
      <c r="C479" s="14"/>
      <c r="D479" s="7"/>
    </row>
    <row r="480" spans="3:4" x14ac:dyDescent="0.4">
      <c r="C480" s="14"/>
      <c r="D480" s="7"/>
    </row>
    <row r="481" spans="3:4" x14ac:dyDescent="0.4">
      <c r="C481" s="14"/>
      <c r="D481" s="7"/>
    </row>
    <row r="482" spans="3:4" x14ac:dyDescent="0.4">
      <c r="C482" s="14"/>
      <c r="D482" s="7"/>
    </row>
    <row r="483" spans="3:4" x14ac:dyDescent="0.4">
      <c r="C483" s="14"/>
      <c r="D483" s="7"/>
    </row>
    <row r="484" spans="3:4" x14ac:dyDescent="0.4">
      <c r="C484" s="14"/>
      <c r="D484" s="7"/>
    </row>
    <row r="485" spans="3:4" x14ac:dyDescent="0.4">
      <c r="C485" s="14"/>
      <c r="D485" s="7"/>
    </row>
    <row r="486" spans="3:4" x14ac:dyDescent="0.4">
      <c r="C486" s="14"/>
      <c r="D486" s="7"/>
    </row>
    <row r="487" spans="3:4" x14ac:dyDescent="0.4">
      <c r="C487" s="14"/>
      <c r="D487" s="7"/>
    </row>
    <row r="488" spans="3:4" x14ac:dyDescent="0.4">
      <c r="C488" s="14"/>
      <c r="D488" s="7"/>
    </row>
    <row r="489" spans="3:4" x14ac:dyDescent="0.4">
      <c r="C489" s="14"/>
      <c r="D489" s="7"/>
    </row>
    <row r="490" spans="3:4" x14ac:dyDescent="0.4">
      <c r="C490" s="14"/>
      <c r="D490" s="7"/>
    </row>
    <row r="491" spans="3:4" x14ac:dyDescent="0.4">
      <c r="C491" s="14"/>
      <c r="D491" s="7"/>
    </row>
    <row r="492" spans="3:4" x14ac:dyDescent="0.4">
      <c r="C492" s="14"/>
      <c r="D492" s="7"/>
    </row>
  </sheetData>
  <pageMargins left="0.7" right="0.7" top="0.75" bottom="0.75" header="0.3" footer="0.3"/>
  <pageSetup orientation="portrait"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158"/>
  <sheetViews>
    <sheetView zoomScaleNormal="100" workbookViewId="0">
      <pane xSplit="2" ySplit="5" topLeftCell="K6" activePane="bottomRight" state="frozen"/>
      <selection pane="topRight" activeCell="C1" sqref="C1"/>
      <selection pane="bottomLeft" activeCell="A8" sqref="A8"/>
      <selection pane="bottomRight" activeCell="P21" sqref="P21"/>
    </sheetView>
  </sheetViews>
  <sheetFormatPr defaultColWidth="9.05859375" defaultRowHeight="12.7" outlineLevelCol="1" x14ac:dyDescent="0.4"/>
  <cols>
    <col min="1" max="1" width="8.46875" style="21" bestFit="1" customWidth="1"/>
    <col min="2" max="2" width="43.64453125" style="9" bestFit="1" customWidth="1"/>
    <col min="3" max="3" width="13.64453125" style="10" hidden="1" customWidth="1" outlineLevel="1"/>
    <col min="4" max="4" width="13.52734375" style="10" hidden="1" customWidth="1" outlineLevel="1"/>
    <col min="5" max="5" width="11.3515625" style="78" hidden="1" customWidth="1" outlineLevel="1"/>
    <col min="6" max="7" width="11" style="78" hidden="1" customWidth="1" outlineLevel="1"/>
    <col min="8" max="8" width="12.64453125" style="78" hidden="1" customWidth="1" outlineLevel="1"/>
    <col min="9" max="9" width="15.64453125" style="105" hidden="1" customWidth="1" outlineLevel="1"/>
    <col min="10" max="10" width="15.46875" style="21" hidden="1" customWidth="1" outlineLevel="1"/>
    <col min="11" max="11" width="13.52734375" style="79" customWidth="1" collapsed="1"/>
    <col min="12" max="12" width="10" style="21" customWidth="1"/>
    <col min="13" max="13" width="9.05859375" style="21" customWidth="1"/>
    <col min="14" max="14" width="13.17578125" style="21" customWidth="1"/>
    <col min="15" max="15" width="12.17578125" style="10" customWidth="1"/>
    <col min="16" max="16384" width="9.05859375" style="21"/>
  </cols>
  <sheetData>
    <row r="1" spans="1:15" x14ac:dyDescent="0.4">
      <c r="A1" s="114" t="s">
        <v>0</v>
      </c>
      <c r="B1" s="114"/>
      <c r="M1" s="76"/>
      <c r="N1" s="76"/>
    </row>
    <row r="2" spans="1:15" x14ac:dyDescent="0.4">
      <c r="A2" s="115" t="s">
        <v>603</v>
      </c>
      <c r="B2" s="115"/>
      <c r="M2" s="76"/>
      <c r="N2" s="76"/>
    </row>
    <row r="3" spans="1:15" x14ac:dyDescent="0.4">
      <c r="A3" s="115" t="s">
        <v>899</v>
      </c>
      <c r="B3" s="115"/>
      <c r="D3" s="10" t="s">
        <v>261</v>
      </c>
      <c r="E3" s="78" t="s">
        <v>261</v>
      </c>
      <c r="F3" s="10"/>
      <c r="G3" s="10"/>
      <c r="H3" s="10" t="s">
        <v>261</v>
      </c>
      <c r="I3" s="105" t="s">
        <v>261</v>
      </c>
      <c r="J3" s="107"/>
      <c r="M3" s="76"/>
      <c r="N3" s="76"/>
    </row>
    <row r="5" spans="1:15" s="10" customFormat="1" x14ac:dyDescent="0.4">
      <c r="A5" s="21" t="s">
        <v>484</v>
      </c>
      <c r="B5" s="9" t="s">
        <v>279</v>
      </c>
      <c r="C5" s="108" t="s">
        <v>0</v>
      </c>
      <c r="D5" s="108" t="s">
        <v>2</v>
      </c>
      <c r="E5" s="78" t="s">
        <v>3</v>
      </c>
      <c r="F5" s="108" t="s">
        <v>485</v>
      </c>
      <c r="G5" s="108" t="s">
        <v>486</v>
      </c>
      <c r="H5" s="108" t="s">
        <v>487</v>
      </c>
      <c r="I5" s="105" t="s">
        <v>1</v>
      </c>
      <c r="J5" s="21" t="s">
        <v>280</v>
      </c>
      <c r="K5" s="19" t="s">
        <v>281</v>
      </c>
      <c r="M5" s="78"/>
      <c r="N5" s="413" t="s">
        <v>282</v>
      </c>
      <c r="O5" s="423" t="s">
        <v>284</v>
      </c>
    </row>
    <row r="6" spans="1:15" s="10" customFormat="1" x14ac:dyDescent="0.4">
      <c r="A6" s="106" t="s">
        <v>488</v>
      </c>
      <c r="B6" s="12" t="s">
        <v>143</v>
      </c>
      <c r="D6" s="78"/>
      <c r="E6" s="78"/>
      <c r="F6" s="78"/>
      <c r="G6" s="78"/>
      <c r="H6" s="78"/>
      <c r="I6" s="79">
        <f t="shared" ref="I6:I73" si="0">SUM(C6:H6)</f>
        <v>0</v>
      </c>
      <c r="J6" s="78" t="s">
        <v>287</v>
      </c>
      <c r="K6" s="79">
        <f>I6*1</f>
        <v>0</v>
      </c>
      <c r="L6" s="78"/>
      <c r="M6" s="78"/>
      <c r="N6" s="414" t="s">
        <v>287</v>
      </c>
      <c r="O6" s="415">
        <v>0</v>
      </c>
    </row>
    <row r="7" spans="1:15" s="10" customFormat="1" x14ac:dyDescent="0.4">
      <c r="A7" s="106" t="s">
        <v>489</v>
      </c>
      <c r="B7" s="12" t="s">
        <v>144</v>
      </c>
      <c r="D7" s="78"/>
      <c r="E7" s="78"/>
      <c r="F7" s="78"/>
      <c r="G7" s="78"/>
      <c r="H7" s="78"/>
      <c r="I7" s="79">
        <f t="shared" si="0"/>
        <v>0</v>
      </c>
      <c r="J7" s="78" t="s">
        <v>287</v>
      </c>
      <c r="K7" s="79">
        <f t="shared" ref="K7:K73" si="1">I7*1</f>
        <v>0</v>
      </c>
      <c r="L7" s="78"/>
      <c r="M7" s="78"/>
      <c r="N7" s="414" t="s">
        <v>288</v>
      </c>
      <c r="O7" s="415">
        <v>0</v>
      </c>
    </row>
    <row r="8" spans="1:15" s="10" customFormat="1" x14ac:dyDescent="0.4">
      <c r="A8" s="106" t="s">
        <v>490</v>
      </c>
      <c r="B8" s="12" t="s">
        <v>145</v>
      </c>
      <c r="D8" s="78"/>
      <c r="E8" s="78"/>
      <c r="F8" s="78"/>
      <c r="G8" s="78"/>
      <c r="H8" s="78"/>
      <c r="I8" s="79">
        <f t="shared" si="0"/>
        <v>0</v>
      </c>
      <c r="J8" s="78" t="s">
        <v>287</v>
      </c>
      <c r="K8" s="79">
        <f t="shared" si="1"/>
        <v>0</v>
      </c>
      <c r="L8" s="78"/>
      <c r="M8" s="78"/>
      <c r="N8" s="414" t="s">
        <v>292</v>
      </c>
      <c r="O8" s="415">
        <v>0</v>
      </c>
    </row>
    <row r="9" spans="1:15" s="10" customFormat="1" x14ac:dyDescent="0.4">
      <c r="A9" s="106" t="s">
        <v>491</v>
      </c>
      <c r="B9" s="12" t="s">
        <v>146</v>
      </c>
      <c r="D9" s="78"/>
      <c r="E9" s="78"/>
      <c r="F9" s="78"/>
      <c r="G9" s="78"/>
      <c r="H9" s="78"/>
      <c r="I9" s="79">
        <f t="shared" si="0"/>
        <v>0</v>
      </c>
      <c r="J9" s="78" t="s">
        <v>287</v>
      </c>
      <c r="K9" s="79">
        <f t="shared" si="1"/>
        <v>0</v>
      </c>
      <c r="L9" s="78"/>
      <c r="M9" s="78"/>
      <c r="N9" s="414" t="s">
        <v>291</v>
      </c>
      <c r="O9" s="415">
        <v>0</v>
      </c>
    </row>
    <row r="10" spans="1:15" s="10" customFormat="1" x14ac:dyDescent="0.4">
      <c r="A10" s="106" t="s">
        <v>492</v>
      </c>
      <c r="B10" s="12" t="s">
        <v>147</v>
      </c>
      <c r="D10" s="78"/>
      <c r="E10" s="78"/>
      <c r="F10" s="78"/>
      <c r="G10" s="78"/>
      <c r="H10" s="78"/>
      <c r="I10" s="79">
        <f t="shared" si="0"/>
        <v>0</v>
      </c>
      <c r="J10" s="78" t="s">
        <v>287</v>
      </c>
      <c r="K10" s="79">
        <f t="shared" si="1"/>
        <v>0</v>
      </c>
      <c r="L10" s="78"/>
      <c r="M10" s="78"/>
      <c r="N10" s="414" t="s">
        <v>289</v>
      </c>
      <c r="O10" s="415">
        <v>0</v>
      </c>
    </row>
    <row r="11" spans="1:15" s="10" customFormat="1" x14ac:dyDescent="0.4">
      <c r="A11" s="69" t="s">
        <v>757</v>
      </c>
      <c r="B11" s="12" t="s">
        <v>758</v>
      </c>
      <c r="D11" s="78"/>
      <c r="E11" s="78"/>
      <c r="F11" s="78"/>
      <c r="G11" s="78"/>
      <c r="H11" s="78">
        <f>-D11</f>
        <v>0</v>
      </c>
      <c r="I11" s="79">
        <f t="shared" si="0"/>
        <v>0</v>
      </c>
      <c r="J11" s="78" t="s">
        <v>287</v>
      </c>
      <c r="K11" s="79">
        <f t="shared" si="1"/>
        <v>0</v>
      </c>
      <c r="L11" s="78"/>
      <c r="M11" s="78"/>
      <c r="N11" s="414" t="s">
        <v>290</v>
      </c>
      <c r="O11" s="415">
        <v>0</v>
      </c>
    </row>
    <row r="12" spans="1:15" s="78" customFormat="1" x14ac:dyDescent="0.4">
      <c r="A12" s="106" t="s">
        <v>493</v>
      </c>
      <c r="B12" s="100" t="s">
        <v>148</v>
      </c>
      <c r="C12" s="10"/>
      <c r="I12" s="79">
        <f t="shared" si="0"/>
        <v>0</v>
      </c>
      <c r="J12" s="78" t="s">
        <v>287</v>
      </c>
      <c r="K12" s="79">
        <f t="shared" si="1"/>
        <v>0</v>
      </c>
      <c r="N12" s="414" t="s">
        <v>299</v>
      </c>
      <c r="O12" s="415">
        <v>0</v>
      </c>
    </row>
    <row r="13" spans="1:15" s="78" customFormat="1" x14ac:dyDescent="0.4">
      <c r="A13" s="106" t="s">
        <v>494</v>
      </c>
      <c r="B13" s="12" t="s">
        <v>149</v>
      </c>
      <c r="C13" s="10"/>
      <c r="I13" s="79">
        <f t="shared" si="0"/>
        <v>0</v>
      </c>
      <c r="J13" s="78" t="s">
        <v>287</v>
      </c>
      <c r="K13" s="79">
        <f t="shared" si="1"/>
        <v>0</v>
      </c>
      <c r="N13" s="414" t="s">
        <v>862</v>
      </c>
      <c r="O13" s="415">
        <v>0</v>
      </c>
    </row>
    <row r="14" spans="1:15" s="78" customFormat="1" x14ac:dyDescent="0.4">
      <c r="A14" s="106" t="s">
        <v>495</v>
      </c>
      <c r="B14" s="12" t="s">
        <v>150</v>
      </c>
      <c r="C14" s="10"/>
      <c r="I14" s="79">
        <f t="shared" si="0"/>
        <v>0</v>
      </c>
      <c r="J14" s="78" t="s">
        <v>287</v>
      </c>
      <c r="K14" s="79">
        <f t="shared" si="1"/>
        <v>0</v>
      </c>
      <c r="N14" s="414" t="s">
        <v>283</v>
      </c>
      <c r="O14" s="415">
        <v>0</v>
      </c>
    </row>
    <row r="15" spans="1:15" s="10" customFormat="1" ht="14.35" x14ac:dyDescent="0.5">
      <c r="A15" s="106" t="s">
        <v>496</v>
      </c>
      <c r="B15" s="12" t="s">
        <v>151</v>
      </c>
      <c r="D15" s="78"/>
      <c r="E15" s="78"/>
      <c r="F15" s="78"/>
      <c r="G15" s="78"/>
      <c r="H15" s="78"/>
      <c r="I15" s="79">
        <f t="shared" si="0"/>
        <v>0</v>
      </c>
      <c r="J15" s="78" t="s">
        <v>287</v>
      </c>
      <c r="K15" s="79">
        <f t="shared" si="1"/>
        <v>0</v>
      </c>
      <c r="L15" s="78"/>
      <c r="M15" s="78"/>
      <c r="N15" s="98"/>
      <c r="O15" s="98"/>
    </row>
    <row r="16" spans="1:15" s="10" customFormat="1" ht="14.35" x14ac:dyDescent="0.5">
      <c r="A16" s="106" t="s">
        <v>497</v>
      </c>
      <c r="B16" s="12" t="s">
        <v>152</v>
      </c>
      <c r="D16" s="78"/>
      <c r="E16" s="78"/>
      <c r="F16" s="78"/>
      <c r="G16" s="78"/>
      <c r="H16" s="78"/>
      <c r="I16" s="79">
        <f t="shared" si="0"/>
        <v>0</v>
      </c>
      <c r="J16" s="78" t="s">
        <v>287</v>
      </c>
      <c r="K16" s="79">
        <f t="shared" si="1"/>
        <v>0</v>
      </c>
      <c r="M16" s="78"/>
      <c r="N16" s="98"/>
      <c r="O16" s="98"/>
    </row>
    <row r="17" spans="1:15" s="10" customFormat="1" x14ac:dyDescent="0.4">
      <c r="A17" s="106" t="s">
        <v>498</v>
      </c>
      <c r="B17" s="12" t="s">
        <v>153</v>
      </c>
      <c r="D17" s="78"/>
      <c r="E17" s="78"/>
      <c r="F17" s="78"/>
      <c r="G17" s="78"/>
      <c r="H17" s="78"/>
      <c r="I17" s="79">
        <f t="shared" si="0"/>
        <v>0</v>
      </c>
      <c r="J17" s="78" t="s">
        <v>287</v>
      </c>
      <c r="K17" s="79">
        <f t="shared" si="1"/>
        <v>0</v>
      </c>
      <c r="M17" s="78"/>
      <c r="N17" s="21"/>
    </row>
    <row r="18" spans="1:15" s="10" customFormat="1" x14ac:dyDescent="0.4">
      <c r="A18" s="106" t="s">
        <v>637</v>
      </c>
      <c r="B18" s="12" t="s">
        <v>638</v>
      </c>
      <c r="D18" s="78"/>
      <c r="E18" s="78"/>
      <c r="F18" s="78"/>
      <c r="G18" s="78"/>
      <c r="H18" s="78"/>
      <c r="I18" s="79">
        <f t="shared" si="0"/>
        <v>0</v>
      </c>
      <c r="J18" s="78" t="s">
        <v>287</v>
      </c>
      <c r="K18" s="79">
        <f t="shared" si="1"/>
        <v>0</v>
      </c>
      <c r="M18" s="78"/>
      <c r="N18" s="21"/>
    </row>
    <row r="19" spans="1:15" s="10" customFormat="1" x14ac:dyDescent="0.4">
      <c r="A19" s="106" t="s">
        <v>499</v>
      </c>
      <c r="B19" s="12" t="s">
        <v>154</v>
      </c>
      <c r="D19" s="78"/>
      <c r="E19" s="78"/>
      <c r="F19" s="78"/>
      <c r="G19" s="78"/>
      <c r="H19" s="78"/>
      <c r="I19" s="79">
        <f t="shared" si="0"/>
        <v>0</v>
      </c>
      <c r="J19" s="78" t="s">
        <v>287</v>
      </c>
      <c r="K19" s="79">
        <f t="shared" si="1"/>
        <v>0</v>
      </c>
      <c r="M19" s="78"/>
      <c r="N19" s="21"/>
    </row>
    <row r="20" spans="1:15" s="10" customFormat="1" x14ac:dyDescent="0.4">
      <c r="A20" s="106" t="s">
        <v>639</v>
      </c>
      <c r="B20" s="12" t="s">
        <v>640</v>
      </c>
      <c r="D20" s="78"/>
      <c r="E20" s="78"/>
      <c r="F20" s="78"/>
      <c r="G20" s="78"/>
      <c r="H20" s="78"/>
      <c r="I20" s="79">
        <f t="shared" si="0"/>
        <v>0</v>
      </c>
      <c r="J20" s="78" t="s">
        <v>287</v>
      </c>
      <c r="K20" s="79">
        <f t="shared" si="1"/>
        <v>0</v>
      </c>
      <c r="M20" s="78"/>
      <c r="N20" s="21"/>
    </row>
    <row r="21" spans="1:15" s="10" customFormat="1" x14ac:dyDescent="0.4">
      <c r="A21" s="106" t="s">
        <v>500</v>
      </c>
      <c r="B21" s="12" t="s">
        <v>155</v>
      </c>
      <c r="D21" s="78"/>
      <c r="E21" s="78"/>
      <c r="F21" s="78"/>
      <c r="G21" s="78"/>
      <c r="H21" s="78"/>
      <c r="I21" s="79">
        <f t="shared" si="0"/>
        <v>0</v>
      </c>
      <c r="J21" s="78" t="s">
        <v>287</v>
      </c>
      <c r="K21" s="79">
        <f t="shared" si="1"/>
        <v>0</v>
      </c>
      <c r="M21" s="78"/>
      <c r="N21" s="21"/>
    </row>
    <row r="22" spans="1:15" s="10" customFormat="1" x14ac:dyDescent="0.4">
      <c r="A22" s="106" t="s">
        <v>501</v>
      </c>
      <c r="B22" s="12" t="s">
        <v>156</v>
      </c>
      <c r="D22" s="78"/>
      <c r="E22" s="78"/>
      <c r="F22" s="78"/>
      <c r="G22" s="78"/>
      <c r="H22" s="78"/>
      <c r="I22" s="79">
        <f t="shared" si="0"/>
        <v>0</v>
      </c>
      <c r="J22" s="78" t="s">
        <v>287</v>
      </c>
      <c r="K22" s="79">
        <f t="shared" si="1"/>
        <v>0</v>
      </c>
      <c r="M22" s="78"/>
      <c r="N22" s="21"/>
    </row>
    <row r="23" spans="1:15" s="10" customFormat="1" x14ac:dyDescent="0.4">
      <c r="A23" s="88" t="s">
        <v>662</v>
      </c>
      <c r="B23" s="100" t="s">
        <v>663</v>
      </c>
      <c r="D23" s="78"/>
      <c r="E23" s="78"/>
      <c r="F23" s="78"/>
      <c r="G23" s="78"/>
      <c r="H23" s="78"/>
      <c r="I23" s="79">
        <f t="shared" si="0"/>
        <v>0</v>
      </c>
      <c r="J23" s="78" t="s">
        <v>287</v>
      </c>
      <c r="K23" s="79">
        <f t="shared" si="1"/>
        <v>0</v>
      </c>
      <c r="M23" s="78"/>
      <c r="N23" s="78"/>
    </row>
    <row r="24" spans="1:15" s="10" customFormat="1" x14ac:dyDescent="0.4">
      <c r="A24" s="106" t="s">
        <v>502</v>
      </c>
      <c r="B24" s="12" t="s">
        <v>157</v>
      </c>
      <c r="D24" s="78"/>
      <c r="E24" s="78"/>
      <c r="F24" s="78"/>
      <c r="G24" s="78"/>
      <c r="H24" s="78"/>
      <c r="I24" s="79">
        <f t="shared" si="0"/>
        <v>0</v>
      </c>
      <c r="J24" s="78" t="s">
        <v>287</v>
      </c>
      <c r="K24" s="79">
        <f t="shared" si="1"/>
        <v>0</v>
      </c>
      <c r="M24" s="78"/>
      <c r="N24" s="78"/>
    </row>
    <row r="25" spans="1:15" s="10" customFormat="1" x14ac:dyDescent="0.4">
      <c r="A25" s="106" t="s">
        <v>699</v>
      </c>
      <c r="B25" s="27" t="s">
        <v>698</v>
      </c>
      <c r="D25" s="78"/>
      <c r="E25" s="78"/>
      <c r="F25" s="78"/>
      <c r="G25" s="78"/>
      <c r="H25" s="78"/>
      <c r="I25" s="79">
        <f t="shared" si="0"/>
        <v>0</v>
      </c>
      <c r="J25" s="78" t="s">
        <v>287</v>
      </c>
      <c r="K25" s="79">
        <f t="shared" si="1"/>
        <v>0</v>
      </c>
      <c r="M25" s="78"/>
      <c r="N25" s="78"/>
    </row>
    <row r="26" spans="1:15" s="10" customFormat="1" x14ac:dyDescent="0.4">
      <c r="A26" s="106" t="s">
        <v>503</v>
      </c>
      <c r="B26" s="12" t="s">
        <v>158</v>
      </c>
      <c r="D26" s="78"/>
      <c r="E26" s="78"/>
      <c r="F26" s="78"/>
      <c r="G26" s="78"/>
      <c r="H26" s="78"/>
      <c r="I26" s="79">
        <f t="shared" si="0"/>
        <v>0</v>
      </c>
      <c r="J26" s="78" t="s">
        <v>287</v>
      </c>
      <c r="K26" s="79">
        <f t="shared" si="1"/>
        <v>0</v>
      </c>
      <c r="M26" s="78"/>
      <c r="N26" s="78"/>
    </row>
    <row r="27" spans="1:15" s="10" customFormat="1" x14ac:dyDescent="0.4">
      <c r="A27" s="106" t="s">
        <v>504</v>
      </c>
      <c r="B27" s="12" t="s">
        <v>159</v>
      </c>
      <c r="D27" s="78"/>
      <c r="E27" s="78"/>
      <c r="F27" s="78"/>
      <c r="G27" s="78"/>
      <c r="H27" s="78"/>
      <c r="I27" s="79">
        <f t="shared" si="0"/>
        <v>0</v>
      </c>
      <c r="J27" s="78" t="s">
        <v>287</v>
      </c>
      <c r="K27" s="79">
        <f t="shared" si="1"/>
        <v>0</v>
      </c>
      <c r="M27" s="78"/>
      <c r="N27" s="78"/>
    </row>
    <row r="28" spans="1:15" s="10" customFormat="1" x14ac:dyDescent="0.4">
      <c r="A28" s="100" t="s">
        <v>680</v>
      </c>
      <c r="B28" s="100" t="s">
        <v>681</v>
      </c>
      <c r="D28" s="78"/>
      <c r="E28" s="78"/>
      <c r="F28" s="78"/>
      <c r="G28" s="78"/>
      <c r="H28" s="78"/>
      <c r="I28" s="79">
        <f t="shared" si="0"/>
        <v>0</v>
      </c>
      <c r="J28" s="78" t="s">
        <v>287</v>
      </c>
      <c r="K28" s="79">
        <f t="shared" si="1"/>
        <v>0</v>
      </c>
      <c r="M28" s="78"/>
      <c r="N28" s="78"/>
    </row>
    <row r="29" spans="1:15" s="10" customFormat="1" x14ac:dyDescent="0.4">
      <c r="A29" s="106" t="s">
        <v>505</v>
      </c>
      <c r="B29" s="12" t="s">
        <v>160</v>
      </c>
      <c r="D29" s="78"/>
      <c r="E29" s="78"/>
      <c r="F29" s="78"/>
      <c r="G29" s="78"/>
      <c r="H29" s="78"/>
      <c r="I29" s="79">
        <f t="shared" si="0"/>
        <v>0</v>
      </c>
      <c r="J29" s="78" t="s">
        <v>287</v>
      </c>
      <c r="K29" s="79">
        <f t="shared" si="1"/>
        <v>0</v>
      </c>
      <c r="M29" s="78"/>
      <c r="N29" s="78"/>
    </row>
    <row r="30" spans="1:15" s="10" customFormat="1" x14ac:dyDescent="0.4">
      <c r="A30" s="106" t="s">
        <v>506</v>
      </c>
      <c r="B30" s="12" t="s">
        <v>161</v>
      </c>
      <c r="D30" s="78"/>
      <c r="E30" s="78"/>
      <c r="F30" s="78"/>
      <c r="G30" s="78"/>
      <c r="H30" s="78"/>
      <c r="I30" s="79">
        <f t="shared" si="0"/>
        <v>0</v>
      </c>
      <c r="J30" s="78" t="s">
        <v>287</v>
      </c>
      <c r="K30" s="79">
        <f t="shared" si="1"/>
        <v>0</v>
      </c>
      <c r="M30" s="78"/>
      <c r="N30" s="78"/>
    </row>
    <row r="31" spans="1:15" s="10" customFormat="1" x14ac:dyDescent="0.4">
      <c r="A31" s="106" t="s">
        <v>507</v>
      </c>
      <c r="B31" s="12" t="s">
        <v>162</v>
      </c>
      <c r="D31" s="78"/>
      <c r="E31" s="78"/>
      <c r="F31" s="78"/>
      <c r="G31" s="78"/>
      <c r="H31" s="78"/>
      <c r="I31" s="79">
        <f t="shared" si="0"/>
        <v>0</v>
      </c>
      <c r="J31" s="78" t="s">
        <v>287</v>
      </c>
      <c r="K31" s="79">
        <f t="shared" si="1"/>
        <v>0</v>
      </c>
      <c r="M31" s="78"/>
      <c r="N31" s="78"/>
    </row>
    <row r="32" spans="1:15" s="78" customFormat="1" x14ac:dyDescent="0.4">
      <c r="A32" s="106" t="s">
        <v>508</v>
      </c>
      <c r="B32" s="12" t="s">
        <v>163</v>
      </c>
      <c r="C32" s="10"/>
      <c r="I32" s="79">
        <f t="shared" si="0"/>
        <v>0</v>
      </c>
      <c r="J32" s="78" t="s">
        <v>287</v>
      </c>
      <c r="K32" s="79">
        <f t="shared" si="1"/>
        <v>0</v>
      </c>
      <c r="L32" s="10"/>
      <c r="O32" s="10"/>
    </row>
    <row r="33" spans="1:15" s="78" customFormat="1" x14ac:dyDescent="0.4">
      <c r="A33" s="106" t="s">
        <v>509</v>
      </c>
      <c r="B33" s="12" t="s">
        <v>164</v>
      </c>
      <c r="C33" s="97"/>
      <c r="I33" s="79">
        <f t="shared" si="0"/>
        <v>0</v>
      </c>
      <c r="J33" s="78" t="s">
        <v>288</v>
      </c>
      <c r="K33" s="79">
        <f t="shared" si="1"/>
        <v>0</v>
      </c>
      <c r="L33" s="10"/>
      <c r="O33" s="10"/>
    </row>
    <row r="34" spans="1:15" s="78" customFormat="1" x14ac:dyDescent="0.4">
      <c r="A34" s="106" t="s">
        <v>510</v>
      </c>
      <c r="B34" s="12" t="s">
        <v>165</v>
      </c>
      <c r="C34" s="97"/>
      <c r="I34" s="79">
        <f t="shared" si="0"/>
        <v>0</v>
      </c>
      <c r="J34" s="78" t="s">
        <v>288</v>
      </c>
      <c r="K34" s="79">
        <f t="shared" si="1"/>
        <v>0</v>
      </c>
    </row>
    <row r="35" spans="1:15" s="10" customFormat="1" x14ac:dyDescent="0.4">
      <c r="A35" s="106" t="s">
        <v>511</v>
      </c>
      <c r="B35" s="12" t="s">
        <v>166</v>
      </c>
      <c r="C35" s="97"/>
      <c r="D35" s="78"/>
      <c r="E35" s="78"/>
      <c r="F35" s="78"/>
      <c r="G35" s="78"/>
      <c r="H35" s="78"/>
      <c r="I35" s="79">
        <f t="shared" si="0"/>
        <v>0</v>
      </c>
      <c r="J35" s="78" t="s">
        <v>288</v>
      </c>
      <c r="K35" s="79">
        <f t="shared" si="1"/>
        <v>0</v>
      </c>
      <c r="M35" s="78"/>
      <c r="N35" s="78"/>
    </row>
    <row r="36" spans="1:15" s="10" customFormat="1" x14ac:dyDescent="0.4">
      <c r="A36" s="68" t="s">
        <v>512</v>
      </c>
      <c r="B36" s="12" t="s">
        <v>167</v>
      </c>
      <c r="C36" s="97"/>
      <c r="D36" s="78"/>
      <c r="E36" s="78"/>
      <c r="F36" s="78"/>
      <c r="G36" s="78"/>
      <c r="H36" s="78"/>
      <c r="I36" s="79">
        <f t="shared" si="0"/>
        <v>0</v>
      </c>
      <c r="J36" s="78" t="s">
        <v>288</v>
      </c>
      <c r="K36" s="79">
        <f t="shared" si="1"/>
        <v>0</v>
      </c>
      <c r="M36" s="78"/>
      <c r="N36" s="78"/>
    </row>
    <row r="37" spans="1:15" s="10" customFormat="1" x14ac:dyDescent="0.4">
      <c r="A37" s="106" t="s">
        <v>513</v>
      </c>
      <c r="B37" s="12" t="s">
        <v>168</v>
      </c>
      <c r="C37" s="97"/>
      <c r="D37" s="78"/>
      <c r="E37" s="78"/>
      <c r="F37" s="78"/>
      <c r="G37" s="78"/>
      <c r="H37" s="78"/>
      <c r="I37" s="79">
        <f t="shared" si="0"/>
        <v>0</v>
      </c>
      <c r="J37" s="78" t="s">
        <v>288</v>
      </c>
      <c r="K37" s="79">
        <f t="shared" si="1"/>
        <v>0</v>
      </c>
      <c r="M37" s="78"/>
      <c r="N37" s="78"/>
    </row>
    <row r="38" spans="1:15" s="10" customFormat="1" x14ac:dyDescent="0.4">
      <c r="A38" s="106" t="s">
        <v>514</v>
      </c>
      <c r="B38" s="12" t="s">
        <v>169</v>
      </c>
      <c r="C38" s="97"/>
      <c r="D38" s="78"/>
      <c r="E38" s="78"/>
      <c r="F38" s="78"/>
      <c r="G38" s="78"/>
      <c r="H38" s="78"/>
      <c r="I38" s="79">
        <f t="shared" si="0"/>
        <v>0</v>
      </c>
      <c r="J38" s="78" t="s">
        <v>288</v>
      </c>
      <c r="K38" s="79">
        <f t="shared" si="1"/>
        <v>0</v>
      </c>
      <c r="M38" s="78"/>
      <c r="N38" s="78"/>
    </row>
    <row r="39" spans="1:15" s="10" customFormat="1" x14ac:dyDescent="0.4">
      <c r="A39" s="69" t="s">
        <v>611</v>
      </c>
      <c r="B39" s="12" t="s">
        <v>610</v>
      </c>
      <c r="C39" s="97"/>
      <c r="D39" s="78"/>
      <c r="E39" s="78"/>
      <c r="F39" s="78"/>
      <c r="G39" s="78"/>
      <c r="H39" s="78"/>
      <c r="I39" s="79">
        <f t="shared" si="0"/>
        <v>0</v>
      </c>
      <c r="J39" s="78" t="s">
        <v>288</v>
      </c>
      <c r="K39" s="79">
        <f t="shared" si="1"/>
        <v>0</v>
      </c>
      <c r="M39" s="78"/>
      <c r="N39" s="78"/>
    </row>
    <row r="40" spans="1:15" s="10" customFormat="1" x14ac:dyDescent="0.4">
      <c r="A40" s="69"/>
      <c r="B40" s="12" t="s">
        <v>170</v>
      </c>
      <c r="C40" s="97"/>
      <c r="D40" s="79"/>
      <c r="E40" s="79"/>
      <c r="F40" s="79"/>
      <c r="G40" s="79"/>
      <c r="H40" s="79"/>
      <c r="I40" s="79">
        <f t="shared" si="0"/>
        <v>0</v>
      </c>
      <c r="J40" s="79" t="s">
        <v>288</v>
      </c>
      <c r="K40" s="79">
        <f t="shared" si="1"/>
        <v>0</v>
      </c>
      <c r="M40" s="78"/>
      <c r="N40" s="78"/>
    </row>
    <row r="41" spans="1:15" s="10" customFormat="1" x14ac:dyDescent="0.4">
      <c r="A41" s="69"/>
      <c r="B41" s="12" t="s">
        <v>759</v>
      </c>
      <c r="C41" s="97"/>
      <c r="D41" s="79"/>
      <c r="E41" s="78"/>
      <c r="F41" s="78"/>
      <c r="G41" s="78"/>
      <c r="H41" s="79">
        <f>-D41</f>
        <v>0</v>
      </c>
      <c r="I41" s="79">
        <f t="shared" si="0"/>
        <v>0</v>
      </c>
      <c r="J41" s="78" t="s">
        <v>288</v>
      </c>
      <c r="K41" s="79">
        <f t="shared" si="1"/>
        <v>0</v>
      </c>
      <c r="L41" s="78"/>
      <c r="M41" s="78"/>
      <c r="N41" s="78"/>
    </row>
    <row r="42" spans="1:15" s="10" customFormat="1" x14ac:dyDescent="0.4">
      <c r="A42" s="106" t="s">
        <v>515</v>
      </c>
      <c r="B42" s="12" t="s">
        <v>171</v>
      </c>
      <c r="C42" s="97"/>
      <c r="D42" s="78"/>
      <c r="E42" s="78"/>
      <c r="F42" s="78"/>
      <c r="G42" s="78"/>
      <c r="H42" s="78"/>
      <c r="I42" s="79">
        <f t="shared" si="0"/>
        <v>0</v>
      </c>
      <c r="J42" s="78" t="s">
        <v>291</v>
      </c>
      <c r="K42" s="79">
        <f t="shared" si="1"/>
        <v>0</v>
      </c>
      <c r="L42" s="78"/>
      <c r="M42" s="78"/>
      <c r="N42" s="78"/>
    </row>
    <row r="43" spans="1:15" s="10" customFormat="1" x14ac:dyDescent="0.4">
      <c r="A43" s="106" t="s">
        <v>516</v>
      </c>
      <c r="B43" s="12" t="s">
        <v>172</v>
      </c>
      <c r="C43" s="97"/>
      <c r="D43" s="78"/>
      <c r="E43" s="78"/>
      <c r="F43" s="78"/>
      <c r="G43" s="78"/>
      <c r="H43" s="78"/>
      <c r="I43" s="79">
        <f t="shared" si="0"/>
        <v>0</v>
      </c>
      <c r="J43" s="78" t="s">
        <v>291</v>
      </c>
      <c r="K43" s="79">
        <f t="shared" si="1"/>
        <v>0</v>
      </c>
      <c r="M43" s="78"/>
      <c r="N43" s="78"/>
    </row>
    <row r="44" spans="1:15" s="10" customFormat="1" x14ac:dyDescent="0.4">
      <c r="A44" s="100" t="s">
        <v>655</v>
      </c>
      <c r="B44" s="100" t="s">
        <v>654</v>
      </c>
      <c r="C44" s="97"/>
      <c r="D44" s="78"/>
      <c r="E44" s="78"/>
      <c r="F44" s="78"/>
      <c r="G44" s="78"/>
      <c r="H44" s="78"/>
      <c r="I44" s="79">
        <f t="shared" ref="I44" si="2">SUM(C44:H44)</f>
        <v>0</v>
      </c>
      <c r="J44" s="78" t="s">
        <v>291</v>
      </c>
      <c r="K44" s="79">
        <f t="shared" si="1"/>
        <v>0</v>
      </c>
      <c r="M44" s="78"/>
      <c r="N44" s="78"/>
    </row>
    <row r="45" spans="1:15" s="10" customFormat="1" x14ac:dyDescent="0.4">
      <c r="A45" s="106" t="s">
        <v>517</v>
      </c>
      <c r="B45" s="12" t="s">
        <v>173</v>
      </c>
      <c r="C45" s="97"/>
      <c r="D45" s="78"/>
      <c r="E45" s="78"/>
      <c r="F45" s="78"/>
      <c r="G45" s="78"/>
      <c r="H45" s="78"/>
      <c r="I45" s="79">
        <f t="shared" si="0"/>
        <v>0</v>
      </c>
      <c r="J45" s="78" t="s">
        <v>289</v>
      </c>
      <c r="K45" s="79">
        <f t="shared" si="1"/>
        <v>0</v>
      </c>
      <c r="M45" s="78"/>
      <c r="N45" s="78"/>
    </row>
    <row r="46" spans="1:15" s="10" customFormat="1" x14ac:dyDescent="0.4">
      <c r="A46" s="106" t="s">
        <v>518</v>
      </c>
      <c r="B46" s="12" t="s">
        <v>174</v>
      </c>
      <c r="C46" s="97"/>
      <c r="D46" s="78"/>
      <c r="E46" s="78"/>
      <c r="F46" s="78"/>
      <c r="G46" s="78"/>
      <c r="H46" s="78"/>
      <c r="I46" s="79">
        <f t="shared" si="0"/>
        <v>0</v>
      </c>
      <c r="J46" s="78" t="s">
        <v>292</v>
      </c>
      <c r="K46" s="79">
        <f t="shared" si="1"/>
        <v>0</v>
      </c>
      <c r="M46" s="78"/>
      <c r="N46" s="78"/>
    </row>
    <row r="47" spans="1:15" s="10" customFormat="1" x14ac:dyDescent="0.4">
      <c r="A47" s="106" t="s">
        <v>519</v>
      </c>
      <c r="B47" s="12" t="s">
        <v>175</v>
      </c>
      <c r="C47" s="97"/>
      <c r="D47" s="78"/>
      <c r="E47" s="78"/>
      <c r="F47" s="78"/>
      <c r="G47" s="78"/>
      <c r="H47" s="78"/>
      <c r="I47" s="79">
        <f t="shared" si="0"/>
        <v>0</v>
      </c>
      <c r="J47" s="78" t="s">
        <v>288</v>
      </c>
      <c r="K47" s="79">
        <f t="shared" si="1"/>
        <v>0</v>
      </c>
      <c r="M47" s="78"/>
      <c r="N47" s="78"/>
    </row>
    <row r="48" spans="1:15" s="10" customFormat="1" x14ac:dyDescent="0.4">
      <c r="A48" s="106" t="s">
        <v>520</v>
      </c>
      <c r="B48" s="12" t="s">
        <v>176</v>
      </c>
      <c r="C48" s="97"/>
      <c r="D48" s="78"/>
      <c r="E48" s="78"/>
      <c r="F48" s="78"/>
      <c r="G48" s="78"/>
      <c r="H48" s="78"/>
      <c r="I48" s="79">
        <f t="shared" si="0"/>
        <v>0</v>
      </c>
      <c r="J48" s="78" t="s">
        <v>288</v>
      </c>
      <c r="K48" s="79">
        <f t="shared" si="1"/>
        <v>0</v>
      </c>
      <c r="M48" s="78"/>
      <c r="N48" s="78"/>
    </row>
    <row r="49" spans="1:14" s="10" customFormat="1" x14ac:dyDescent="0.4">
      <c r="A49" s="106" t="s">
        <v>521</v>
      </c>
      <c r="B49" s="12" t="s">
        <v>177</v>
      </c>
      <c r="C49" s="97"/>
      <c r="D49" s="78"/>
      <c r="E49" s="78"/>
      <c r="F49" s="78"/>
      <c r="G49" s="78"/>
      <c r="H49" s="78"/>
      <c r="I49" s="79">
        <f t="shared" si="0"/>
        <v>0</v>
      </c>
      <c r="J49" s="78" t="s">
        <v>288</v>
      </c>
      <c r="K49" s="79">
        <f t="shared" si="1"/>
        <v>0</v>
      </c>
      <c r="M49" s="78"/>
      <c r="N49" s="78"/>
    </row>
    <row r="50" spans="1:14" s="10" customFormat="1" x14ac:dyDescent="0.4">
      <c r="A50" s="106" t="s">
        <v>522</v>
      </c>
      <c r="B50" s="12" t="s">
        <v>178</v>
      </c>
      <c r="C50" s="97"/>
      <c r="D50" s="78"/>
      <c r="E50" s="78"/>
      <c r="F50" s="78"/>
      <c r="G50" s="78"/>
      <c r="H50" s="78"/>
      <c r="I50" s="79">
        <f t="shared" si="0"/>
        <v>0</v>
      </c>
      <c r="J50" s="78" t="s">
        <v>292</v>
      </c>
      <c r="K50" s="79">
        <f t="shared" si="1"/>
        <v>0</v>
      </c>
      <c r="M50" s="78"/>
      <c r="N50" s="78"/>
    </row>
    <row r="51" spans="1:14" s="10" customFormat="1" x14ac:dyDescent="0.4">
      <c r="A51" s="106" t="s">
        <v>523</v>
      </c>
      <c r="B51" s="12" t="s">
        <v>179</v>
      </c>
      <c r="C51" s="97"/>
      <c r="D51" s="78"/>
      <c r="E51" s="78"/>
      <c r="F51" s="78"/>
      <c r="G51" s="78"/>
      <c r="H51" s="78"/>
      <c r="I51" s="79">
        <f t="shared" si="0"/>
        <v>0</v>
      </c>
      <c r="J51" s="78" t="s">
        <v>292</v>
      </c>
      <c r="K51" s="79">
        <f t="shared" si="1"/>
        <v>0</v>
      </c>
      <c r="M51" s="78"/>
      <c r="N51" s="78"/>
    </row>
    <row r="52" spans="1:14" s="10" customFormat="1" x14ac:dyDescent="0.4">
      <c r="A52" s="106" t="s">
        <v>524</v>
      </c>
      <c r="B52" s="12" t="s">
        <v>180</v>
      </c>
      <c r="C52" s="97"/>
      <c r="D52" s="78"/>
      <c r="E52" s="78"/>
      <c r="F52" s="78"/>
      <c r="G52" s="78"/>
      <c r="H52" s="78"/>
      <c r="I52" s="79">
        <f t="shared" si="0"/>
        <v>0</v>
      </c>
      <c r="J52" s="78" t="s">
        <v>292</v>
      </c>
      <c r="K52" s="79">
        <f t="shared" si="1"/>
        <v>0</v>
      </c>
      <c r="M52" s="78"/>
      <c r="N52" s="78"/>
    </row>
    <row r="53" spans="1:14" s="10" customFormat="1" x14ac:dyDescent="0.4">
      <c r="A53" s="106" t="s">
        <v>525</v>
      </c>
      <c r="B53" s="12" t="s">
        <v>254</v>
      </c>
      <c r="C53" s="97"/>
      <c r="D53" s="78"/>
      <c r="E53" s="78"/>
      <c r="F53" s="78"/>
      <c r="G53" s="78"/>
      <c r="H53" s="78"/>
      <c r="I53" s="79">
        <f t="shared" si="0"/>
        <v>0</v>
      </c>
      <c r="J53" s="78" t="s">
        <v>292</v>
      </c>
      <c r="K53" s="79">
        <f t="shared" si="1"/>
        <v>0</v>
      </c>
      <c r="M53" s="78"/>
      <c r="N53" s="78"/>
    </row>
    <row r="54" spans="1:14" s="10" customFormat="1" x14ac:dyDescent="0.4">
      <c r="A54" s="100" t="s">
        <v>783</v>
      </c>
      <c r="B54" s="100" t="s">
        <v>784</v>
      </c>
      <c r="C54" s="97"/>
      <c r="D54" s="78"/>
      <c r="E54" s="78"/>
      <c r="F54" s="78"/>
      <c r="G54" s="78"/>
      <c r="H54" s="78"/>
      <c r="I54" s="79">
        <f>SUM(C54:H54)</f>
        <v>0</v>
      </c>
      <c r="J54" s="78" t="s">
        <v>292</v>
      </c>
      <c r="K54" s="79">
        <f t="shared" si="1"/>
        <v>0</v>
      </c>
      <c r="M54" s="78"/>
      <c r="N54" s="78"/>
    </row>
    <row r="55" spans="1:14" s="10" customFormat="1" x14ac:dyDescent="0.4">
      <c r="A55" s="100" t="s">
        <v>526</v>
      </c>
      <c r="B55" s="100" t="s">
        <v>255</v>
      </c>
      <c r="C55" s="97"/>
      <c r="D55" s="78"/>
      <c r="E55" s="78"/>
      <c r="F55" s="78"/>
      <c r="G55" s="78"/>
      <c r="H55" s="78"/>
      <c r="I55" s="79">
        <f>SUM(C55:H55)</f>
        <v>0</v>
      </c>
      <c r="J55" s="78" t="s">
        <v>292</v>
      </c>
      <c r="K55" s="79">
        <f t="shared" si="1"/>
        <v>0</v>
      </c>
      <c r="M55" s="78"/>
      <c r="N55" s="78"/>
    </row>
    <row r="56" spans="1:14" s="10" customFormat="1" x14ac:dyDescent="0.4">
      <c r="A56" s="106" t="s">
        <v>527</v>
      </c>
      <c r="B56" s="12" t="s">
        <v>181</v>
      </c>
      <c r="C56" s="97"/>
      <c r="D56" s="78"/>
      <c r="E56" s="78"/>
      <c r="F56" s="78"/>
      <c r="G56" s="78"/>
      <c r="H56" s="78"/>
      <c r="I56" s="79">
        <f t="shared" si="0"/>
        <v>0</v>
      </c>
      <c r="J56" s="78" t="s">
        <v>292</v>
      </c>
      <c r="K56" s="79">
        <f t="shared" si="1"/>
        <v>0</v>
      </c>
      <c r="M56" s="78"/>
      <c r="N56" s="78"/>
    </row>
    <row r="57" spans="1:14" s="10" customFormat="1" x14ac:dyDescent="0.4">
      <c r="A57" s="106" t="s">
        <v>528</v>
      </c>
      <c r="B57" s="12" t="s">
        <v>182</v>
      </c>
      <c r="C57" s="97"/>
      <c r="D57" s="78"/>
      <c r="E57" s="78"/>
      <c r="F57" s="78"/>
      <c r="G57" s="78"/>
      <c r="H57" s="78"/>
      <c r="I57" s="79">
        <f t="shared" si="0"/>
        <v>0</v>
      </c>
      <c r="J57" s="78" t="s">
        <v>292</v>
      </c>
      <c r="K57" s="79">
        <f t="shared" si="1"/>
        <v>0</v>
      </c>
      <c r="M57" s="78"/>
      <c r="N57" s="78"/>
    </row>
    <row r="58" spans="1:14" s="10" customFormat="1" x14ac:dyDescent="0.4">
      <c r="A58" s="106" t="s">
        <v>529</v>
      </c>
      <c r="B58" s="12" t="s">
        <v>183</v>
      </c>
      <c r="C58" s="97"/>
      <c r="D58" s="78"/>
      <c r="E58" s="78"/>
      <c r="F58" s="78"/>
      <c r="G58" s="78"/>
      <c r="H58" s="78"/>
      <c r="I58" s="79">
        <f t="shared" si="0"/>
        <v>0</v>
      </c>
      <c r="J58" s="78" t="s">
        <v>292</v>
      </c>
      <c r="K58" s="79">
        <f t="shared" si="1"/>
        <v>0</v>
      </c>
      <c r="M58" s="78"/>
      <c r="N58" s="78"/>
    </row>
    <row r="59" spans="1:14" s="10" customFormat="1" x14ac:dyDescent="0.4">
      <c r="A59" s="106" t="s">
        <v>530</v>
      </c>
      <c r="B59" s="12" t="s">
        <v>256</v>
      </c>
      <c r="C59" s="97"/>
      <c r="D59" s="78"/>
      <c r="E59" s="78"/>
      <c r="F59" s="78"/>
      <c r="G59" s="78"/>
      <c r="H59" s="78"/>
      <c r="I59" s="79">
        <f t="shared" si="0"/>
        <v>0</v>
      </c>
      <c r="J59" s="78" t="s">
        <v>292</v>
      </c>
      <c r="K59" s="79">
        <f t="shared" si="1"/>
        <v>0</v>
      </c>
      <c r="M59" s="78"/>
      <c r="N59" s="78"/>
    </row>
    <row r="60" spans="1:14" s="10" customFormat="1" x14ac:dyDescent="0.4">
      <c r="A60" s="106" t="s">
        <v>531</v>
      </c>
      <c r="B60" s="12" t="s">
        <v>184</v>
      </c>
      <c r="C60" s="97"/>
      <c r="D60" s="78"/>
      <c r="E60" s="78"/>
      <c r="F60" s="78"/>
      <c r="G60" s="78"/>
      <c r="H60" s="78"/>
      <c r="I60" s="79">
        <f t="shared" si="0"/>
        <v>0</v>
      </c>
      <c r="J60" s="78" t="s">
        <v>292</v>
      </c>
      <c r="K60" s="79">
        <f t="shared" si="1"/>
        <v>0</v>
      </c>
      <c r="M60" s="78"/>
      <c r="N60" s="78"/>
    </row>
    <row r="61" spans="1:14" s="10" customFormat="1" x14ac:dyDescent="0.4">
      <c r="A61" s="106" t="s">
        <v>532</v>
      </c>
      <c r="B61" s="12" t="s">
        <v>185</v>
      </c>
      <c r="C61" s="97"/>
      <c r="D61" s="78"/>
      <c r="E61" s="78"/>
      <c r="F61" s="78"/>
      <c r="G61" s="78"/>
      <c r="H61" s="78"/>
      <c r="I61" s="79">
        <f t="shared" si="0"/>
        <v>0</v>
      </c>
      <c r="J61" s="78" t="s">
        <v>289</v>
      </c>
      <c r="K61" s="79">
        <f t="shared" si="1"/>
        <v>0</v>
      </c>
      <c r="M61" s="78"/>
      <c r="N61" s="78"/>
    </row>
    <row r="62" spans="1:14" s="10" customFormat="1" x14ac:dyDescent="0.4">
      <c r="A62" s="106" t="s">
        <v>533</v>
      </c>
      <c r="B62" s="12" t="s">
        <v>186</v>
      </c>
      <c r="C62" s="97"/>
      <c r="D62" s="78"/>
      <c r="E62" s="78"/>
      <c r="F62" s="78"/>
      <c r="G62" s="78"/>
      <c r="H62" s="78"/>
      <c r="I62" s="79">
        <f t="shared" si="0"/>
        <v>0</v>
      </c>
      <c r="J62" s="78" t="s">
        <v>292</v>
      </c>
      <c r="K62" s="79">
        <f t="shared" si="1"/>
        <v>0</v>
      </c>
      <c r="M62" s="78"/>
      <c r="N62" s="78"/>
    </row>
    <row r="63" spans="1:14" s="10" customFormat="1" x14ac:dyDescent="0.4">
      <c r="A63" s="106" t="s">
        <v>534</v>
      </c>
      <c r="B63" s="12" t="s">
        <v>187</v>
      </c>
      <c r="C63" s="97"/>
      <c r="D63" s="78"/>
      <c r="E63" s="78"/>
      <c r="F63" s="78"/>
      <c r="G63" s="78"/>
      <c r="H63" s="78"/>
      <c r="I63" s="79">
        <f t="shared" si="0"/>
        <v>0</v>
      </c>
      <c r="J63" s="78" t="s">
        <v>292</v>
      </c>
      <c r="K63" s="79">
        <f t="shared" si="1"/>
        <v>0</v>
      </c>
      <c r="M63" s="78"/>
      <c r="N63" s="78"/>
    </row>
    <row r="64" spans="1:14" s="10" customFormat="1" x14ac:dyDescent="0.4">
      <c r="A64" s="106" t="s">
        <v>535</v>
      </c>
      <c r="B64" s="12" t="s">
        <v>188</v>
      </c>
      <c r="C64" s="97"/>
      <c r="D64" s="78"/>
      <c r="E64" s="78"/>
      <c r="F64" s="78"/>
      <c r="G64" s="78"/>
      <c r="H64" s="78"/>
      <c r="I64" s="79">
        <f t="shared" si="0"/>
        <v>0</v>
      </c>
      <c r="J64" s="78" t="s">
        <v>292</v>
      </c>
      <c r="K64" s="79">
        <f t="shared" si="1"/>
        <v>0</v>
      </c>
      <c r="M64" s="78"/>
      <c r="N64" s="78"/>
    </row>
    <row r="65" spans="1:14" s="10" customFormat="1" x14ac:dyDescent="0.4">
      <c r="A65" s="106" t="s">
        <v>536</v>
      </c>
      <c r="B65" s="12" t="s">
        <v>189</v>
      </c>
      <c r="C65" s="97"/>
      <c r="D65" s="78"/>
      <c r="E65" s="78"/>
      <c r="F65" s="78"/>
      <c r="G65" s="78"/>
      <c r="H65" s="78"/>
      <c r="I65" s="79">
        <f t="shared" si="0"/>
        <v>0</v>
      </c>
      <c r="J65" s="78" t="s">
        <v>292</v>
      </c>
      <c r="K65" s="79">
        <f t="shared" si="1"/>
        <v>0</v>
      </c>
      <c r="M65" s="78"/>
      <c r="N65" s="78"/>
    </row>
    <row r="66" spans="1:14" s="10" customFormat="1" x14ac:dyDescent="0.4">
      <c r="A66" s="106" t="s">
        <v>537</v>
      </c>
      <c r="B66" s="12" t="s">
        <v>190</v>
      </c>
      <c r="C66" s="97"/>
      <c r="D66" s="78"/>
      <c r="E66" s="78"/>
      <c r="F66" s="78"/>
      <c r="G66" s="78"/>
      <c r="H66" s="78"/>
      <c r="I66" s="79">
        <f t="shared" si="0"/>
        <v>0</v>
      </c>
      <c r="J66" s="78" t="s">
        <v>292</v>
      </c>
      <c r="K66" s="79">
        <f t="shared" si="1"/>
        <v>0</v>
      </c>
      <c r="M66" s="78"/>
      <c r="N66" s="78"/>
    </row>
    <row r="67" spans="1:14" s="10" customFormat="1" x14ac:dyDescent="0.4">
      <c r="A67" s="100" t="s">
        <v>785</v>
      </c>
      <c r="B67" s="100" t="s">
        <v>616</v>
      </c>
      <c r="C67" s="97"/>
      <c r="D67" s="78"/>
      <c r="E67" s="78"/>
      <c r="F67" s="78"/>
      <c r="G67" s="78"/>
      <c r="H67" s="78"/>
      <c r="I67" s="79">
        <f t="shared" ref="I67" si="3">SUM(C67:H67)</f>
        <v>0</v>
      </c>
      <c r="J67" s="78" t="s">
        <v>292</v>
      </c>
      <c r="K67" s="79">
        <f t="shared" si="1"/>
        <v>0</v>
      </c>
      <c r="M67" s="78"/>
      <c r="N67" s="78"/>
    </row>
    <row r="68" spans="1:14" s="10" customFormat="1" x14ac:dyDescent="0.4">
      <c r="A68" s="106" t="s">
        <v>538</v>
      </c>
      <c r="B68" s="12" t="s">
        <v>191</v>
      </c>
      <c r="C68" s="97"/>
      <c r="D68" s="78"/>
      <c r="E68" s="78"/>
      <c r="F68" s="78"/>
      <c r="G68" s="78"/>
      <c r="H68" s="78"/>
      <c r="I68" s="79">
        <f t="shared" si="0"/>
        <v>0</v>
      </c>
      <c r="J68" s="78" t="s">
        <v>292</v>
      </c>
      <c r="K68" s="79">
        <f t="shared" si="1"/>
        <v>0</v>
      </c>
      <c r="M68" s="78"/>
      <c r="N68" s="78"/>
    </row>
    <row r="69" spans="1:14" s="10" customFormat="1" x14ac:dyDescent="0.4">
      <c r="A69" s="106" t="s">
        <v>539</v>
      </c>
      <c r="B69" s="12" t="s">
        <v>192</v>
      </c>
      <c r="C69" s="97"/>
      <c r="D69" s="78"/>
      <c r="E69" s="78"/>
      <c r="F69" s="78"/>
      <c r="G69" s="78"/>
      <c r="H69" s="78"/>
      <c r="I69" s="79">
        <f t="shared" si="0"/>
        <v>0</v>
      </c>
      <c r="J69" s="78" t="s">
        <v>292</v>
      </c>
      <c r="K69" s="79">
        <f t="shared" si="1"/>
        <v>0</v>
      </c>
      <c r="M69" s="78"/>
      <c r="N69" s="78"/>
    </row>
    <row r="70" spans="1:14" s="10" customFormat="1" x14ac:dyDescent="0.4">
      <c r="A70" s="106" t="s">
        <v>540</v>
      </c>
      <c r="B70" s="12" t="s">
        <v>193</v>
      </c>
      <c r="C70" s="97"/>
      <c r="D70" s="78"/>
      <c r="E70" s="78"/>
      <c r="F70" s="78"/>
      <c r="G70" s="78"/>
      <c r="H70" s="78"/>
      <c r="I70" s="79">
        <f t="shared" si="0"/>
        <v>0</v>
      </c>
      <c r="J70" s="78" t="s">
        <v>292</v>
      </c>
      <c r="K70" s="79">
        <f t="shared" si="1"/>
        <v>0</v>
      </c>
      <c r="M70" s="78"/>
      <c r="N70" s="78"/>
    </row>
    <row r="71" spans="1:14" s="10" customFormat="1" x14ac:dyDescent="0.4">
      <c r="A71" s="106" t="s">
        <v>541</v>
      </c>
      <c r="B71" s="12" t="s">
        <v>194</v>
      </c>
      <c r="C71" s="97"/>
      <c r="D71" s="78"/>
      <c r="E71" s="78"/>
      <c r="F71" s="78"/>
      <c r="G71" s="78"/>
      <c r="H71" s="78"/>
      <c r="I71" s="79">
        <f t="shared" si="0"/>
        <v>0</v>
      </c>
      <c r="J71" s="78" t="s">
        <v>292</v>
      </c>
      <c r="K71" s="79">
        <f t="shared" si="1"/>
        <v>0</v>
      </c>
      <c r="M71" s="78"/>
      <c r="N71" s="78"/>
    </row>
    <row r="72" spans="1:14" s="10" customFormat="1" x14ac:dyDescent="0.4">
      <c r="A72" s="106" t="s">
        <v>542</v>
      </c>
      <c r="B72" s="12" t="s">
        <v>195</v>
      </c>
      <c r="C72" s="97"/>
      <c r="D72" s="78"/>
      <c r="E72" s="78"/>
      <c r="F72" s="78"/>
      <c r="G72" s="78"/>
      <c r="H72" s="78"/>
      <c r="I72" s="79">
        <f t="shared" si="0"/>
        <v>0</v>
      </c>
      <c r="J72" s="78" t="s">
        <v>292</v>
      </c>
      <c r="K72" s="79">
        <f t="shared" si="1"/>
        <v>0</v>
      </c>
      <c r="M72" s="78"/>
      <c r="N72" s="78"/>
    </row>
    <row r="73" spans="1:14" s="10" customFormat="1" x14ac:dyDescent="0.4">
      <c r="A73" s="106" t="s">
        <v>543</v>
      </c>
      <c r="B73" s="12" t="s">
        <v>196</v>
      </c>
      <c r="C73" s="97"/>
      <c r="D73" s="78"/>
      <c r="E73" s="78"/>
      <c r="F73" s="78"/>
      <c r="G73" s="78"/>
      <c r="H73" s="78"/>
      <c r="I73" s="79">
        <f t="shared" si="0"/>
        <v>0</v>
      </c>
      <c r="J73" s="78" t="s">
        <v>292</v>
      </c>
      <c r="K73" s="79">
        <f t="shared" si="1"/>
        <v>0</v>
      </c>
      <c r="M73" s="78"/>
      <c r="N73" s="78"/>
    </row>
    <row r="74" spans="1:14" s="10" customFormat="1" x14ac:dyDescent="0.4">
      <c r="A74" s="106" t="s">
        <v>544</v>
      </c>
      <c r="B74" s="12" t="s">
        <v>197</v>
      </c>
      <c r="C74" s="116"/>
      <c r="D74" s="78"/>
      <c r="E74" s="78"/>
      <c r="F74" s="78"/>
      <c r="G74" s="78"/>
      <c r="H74" s="78"/>
      <c r="I74" s="79">
        <f t="shared" ref="I74:I139" si="4">SUM(C74:H74)</f>
        <v>0</v>
      </c>
      <c r="J74" s="78" t="s">
        <v>290</v>
      </c>
      <c r="K74" s="79">
        <f t="shared" ref="K74:K143" si="5">I74*1</f>
        <v>0</v>
      </c>
      <c r="M74" s="78"/>
      <c r="N74" s="78"/>
    </row>
    <row r="75" spans="1:14" s="10" customFormat="1" x14ac:dyDescent="0.4">
      <c r="A75" s="106" t="s">
        <v>545</v>
      </c>
      <c r="B75" s="12" t="s">
        <v>198</v>
      </c>
      <c r="C75" s="97"/>
      <c r="D75" s="78"/>
      <c r="E75" s="78"/>
      <c r="F75" s="78"/>
      <c r="G75" s="78"/>
      <c r="H75" s="78"/>
      <c r="I75" s="79">
        <f t="shared" si="4"/>
        <v>0</v>
      </c>
      <c r="J75" s="78" t="s">
        <v>292</v>
      </c>
      <c r="K75" s="79">
        <f t="shared" si="5"/>
        <v>0</v>
      </c>
      <c r="M75" s="78"/>
      <c r="N75" s="78"/>
    </row>
    <row r="76" spans="1:14" s="10" customFormat="1" x14ac:dyDescent="0.4">
      <c r="A76" s="106" t="s">
        <v>546</v>
      </c>
      <c r="B76" s="12" t="s">
        <v>199</v>
      </c>
      <c r="C76" s="97"/>
      <c r="D76" s="78"/>
      <c r="E76" s="78"/>
      <c r="F76" s="78"/>
      <c r="G76" s="78"/>
      <c r="H76" s="78"/>
      <c r="I76" s="79">
        <f t="shared" si="4"/>
        <v>0</v>
      </c>
      <c r="J76" s="78" t="s">
        <v>292</v>
      </c>
      <c r="K76" s="79">
        <f t="shared" si="5"/>
        <v>0</v>
      </c>
      <c r="M76" s="78"/>
      <c r="N76" s="78"/>
    </row>
    <row r="77" spans="1:14" s="10" customFormat="1" x14ac:dyDescent="0.4">
      <c r="A77" s="106" t="s">
        <v>547</v>
      </c>
      <c r="B77" s="12" t="s">
        <v>200</v>
      </c>
      <c r="C77" s="97"/>
      <c r="D77" s="78"/>
      <c r="E77" s="78"/>
      <c r="F77" s="78"/>
      <c r="G77" s="78"/>
      <c r="H77" s="78"/>
      <c r="I77" s="79">
        <f t="shared" si="4"/>
        <v>0</v>
      </c>
      <c r="J77" s="78" t="s">
        <v>292</v>
      </c>
      <c r="K77" s="79">
        <f t="shared" si="5"/>
        <v>0</v>
      </c>
      <c r="M77" s="78"/>
      <c r="N77" s="78"/>
    </row>
    <row r="78" spans="1:14" s="10" customFormat="1" x14ac:dyDescent="0.4">
      <c r="A78" s="100" t="s">
        <v>874</v>
      </c>
      <c r="B78" s="100" t="s">
        <v>875</v>
      </c>
      <c r="C78" s="82"/>
      <c r="D78" s="78"/>
      <c r="E78" s="78"/>
      <c r="F78" s="78"/>
      <c r="G78" s="78"/>
      <c r="H78" s="78"/>
      <c r="I78" s="79">
        <f t="shared" ref="I78" si="6">SUM(C78:H78)</f>
        <v>0</v>
      </c>
      <c r="J78" s="78" t="s">
        <v>292</v>
      </c>
      <c r="K78" s="79">
        <f t="shared" ref="K78" si="7">I78*1</f>
        <v>0</v>
      </c>
      <c r="M78" s="78"/>
      <c r="N78" s="78"/>
    </row>
    <row r="79" spans="1:14" s="10" customFormat="1" x14ac:dyDescent="0.4">
      <c r="A79" s="100" t="s">
        <v>548</v>
      </c>
      <c r="B79" s="100" t="s">
        <v>201</v>
      </c>
      <c r="C79" s="97"/>
      <c r="D79" s="78"/>
      <c r="E79" s="78"/>
      <c r="F79" s="78"/>
      <c r="G79" s="78"/>
      <c r="H79" s="78"/>
      <c r="I79" s="79">
        <f t="shared" si="4"/>
        <v>0</v>
      </c>
      <c r="J79" s="78" t="s">
        <v>292</v>
      </c>
      <c r="K79" s="79">
        <f t="shared" si="5"/>
        <v>0</v>
      </c>
      <c r="M79" s="78"/>
      <c r="N79" s="78"/>
    </row>
    <row r="80" spans="1:14" s="10" customFormat="1" x14ac:dyDescent="0.4">
      <c r="A80" s="106" t="s">
        <v>549</v>
      </c>
      <c r="B80" s="12" t="s">
        <v>202</v>
      </c>
      <c r="C80" s="97"/>
      <c r="D80" s="78"/>
      <c r="E80" s="78"/>
      <c r="F80" s="78"/>
      <c r="G80" s="78"/>
      <c r="H80" s="78"/>
      <c r="I80" s="79">
        <f t="shared" si="4"/>
        <v>0</v>
      </c>
      <c r="J80" s="78" t="s">
        <v>292</v>
      </c>
      <c r="K80" s="79">
        <f t="shared" si="5"/>
        <v>0</v>
      </c>
      <c r="M80" s="78"/>
      <c r="N80" s="78"/>
    </row>
    <row r="81" spans="1:14" s="10" customFormat="1" x14ac:dyDescent="0.4">
      <c r="A81" s="106" t="s">
        <v>550</v>
      </c>
      <c r="B81" s="12" t="s">
        <v>203</v>
      </c>
      <c r="C81" s="97"/>
      <c r="D81" s="78"/>
      <c r="E81" s="78"/>
      <c r="F81" s="78"/>
      <c r="G81" s="78"/>
      <c r="H81" s="78"/>
      <c r="I81" s="79">
        <f t="shared" si="4"/>
        <v>0</v>
      </c>
      <c r="J81" s="78" t="s">
        <v>292</v>
      </c>
      <c r="K81" s="79">
        <f t="shared" si="5"/>
        <v>0</v>
      </c>
      <c r="M81" s="78"/>
      <c r="N81" s="78"/>
    </row>
    <row r="82" spans="1:14" s="10" customFormat="1" x14ac:dyDescent="0.4">
      <c r="A82" s="106" t="s">
        <v>551</v>
      </c>
      <c r="B82" s="12" t="s">
        <v>204</v>
      </c>
      <c r="C82" s="97"/>
      <c r="D82" s="78"/>
      <c r="E82" s="78"/>
      <c r="F82" s="78"/>
      <c r="G82" s="78"/>
      <c r="H82" s="78"/>
      <c r="I82" s="79">
        <f t="shared" si="4"/>
        <v>0</v>
      </c>
      <c r="J82" s="78" t="s">
        <v>292</v>
      </c>
      <c r="K82" s="79">
        <f t="shared" si="5"/>
        <v>0</v>
      </c>
      <c r="M82" s="78"/>
      <c r="N82" s="78"/>
    </row>
    <row r="83" spans="1:14" s="10" customFormat="1" x14ac:dyDescent="0.4">
      <c r="A83" s="106" t="s">
        <v>552</v>
      </c>
      <c r="B83" s="12" t="s">
        <v>205</v>
      </c>
      <c r="C83" s="97"/>
      <c r="D83" s="78"/>
      <c r="E83" s="78"/>
      <c r="F83" s="78"/>
      <c r="G83" s="78"/>
      <c r="H83" s="78"/>
      <c r="I83" s="79">
        <f t="shared" si="4"/>
        <v>0</v>
      </c>
      <c r="J83" s="78" t="s">
        <v>292</v>
      </c>
      <c r="K83" s="79">
        <f t="shared" si="5"/>
        <v>0</v>
      </c>
      <c r="M83" s="78"/>
      <c r="N83" s="78"/>
    </row>
    <row r="84" spans="1:14" s="10" customFormat="1" x14ac:dyDescent="0.4">
      <c r="A84" s="106" t="s">
        <v>553</v>
      </c>
      <c r="B84" s="12" t="s">
        <v>206</v>
      </c>
      <c r="C84" s="97"/>
      <c r="D84" s="78"/>
      <c r="E84" s="78"/>
      <c r="F84" s="78"/>
      <c r="G84" s="78"/>
      <c r="H84" s="78"/>
      <c r="I84" s="79">
        <f t="shared" si="4"/>
        <v>0</v>
      </c>
      <c r="J84" s="78" t="s">
        <v>292</v>
      </c>
      <c r="K84" s="79">
        <f t="shared" si="5"/>
        <v>0</v>
      </c>
      <c r="M84" s="78"/>
      <c r="N84" s="78"/>
    </row>
    <row r="85" spans="1:14" s="10" customFormat="1" x14ac:dyDescent="0.4">
      <c r="A85" s="100" t="s">
        <v>799</v>
      </c>
      <c r="B85" s="100" t="s">
        <v>800</v>
      </c>
      <c r="C85" s="97"/>
      <c r="D85" s="78"/>
      <c r="E85" s="78"/>
      <c r="F85" s="78"/>
      <c r="G85" s="78"/>
      <c r="H85" s="78"/>
      <c r="I85" s="79">
        <f t="shared" si="4"/>
        <v>0</v>
      </c>
      <c r="J85" s="78" t="s">
        <v>292</v>
      </c>
      <c r="K85" s="79">
        <f t="shared" si="5"/>
        <v>0</v>
      </c>
      <c r="M85" s="78"/>
      <c r="N85" s="78"/>
    </row>
    <row r="86" spans="1:14" s="10" customFormat="1" x14ac:dyDescent="0.4">
      <c r="A86" s="106" t="s">
        <v>554</v>
      </c>
      <c r="B86" s="12" t="s">
        <v>207</v>
      </c>
      <c r="C86" s="97"/>
      <c r="D86" s="78"/>
      <c r="E86" s="78"/>
      <c r="F86" s="78"/>
      <c r="G86" s="78"/>
      <c r="H86" s="78"/>
      <c r="I86" s="79">
        <f t="shared" si="4"/>
        <v>0</v>
      </c>
      <c r="J86" s="78" t="s">
        <v>299</v>
      </c>
      <c r="K86" s="79">
        <f t="shared" si="5"/>
        <v>0</v>
      </c>
      <c r="M86" s="78"/>
      <c r="N86" s="78"/>
    </row>
    <row r="87" spans="1:14" s="10" customFormat="1" x14ac:dyDescent="0.4">
      <c r="A87" s="106" t="s">
        <v>555</v>
      </c>
      <c r="B87" s="12" t="s">
        <v>208</v>
      </c>
      <c r="C87" s="97"/>
      <c r="D87" s="78"/>
      <c r="E87" s="78"/>
      <c r="F87" s="78"/>
      <c r="G87" s="78"/>
      <c r="H87" s="78"/>
      <c r="I87" s="79">
        <f t="shared" si="4"/>
        <v>0</v>
      </c>
      <c r="J87" s="78" t="s">
        <v>292</v>
      </c>
      <c r="K87" s="79">
        <f t="shared" si="5"/>
        <v>0</v>
      </c>
      <c r="M87" s="78"/>
      <c r="N87" s="78"/>
    </row>
    <row r="88" spans="1:14" s="10" customFormat="1" x14ac:dyDescent="0.4">
      <c r="A88" s="106" t="s">
        <v>556</v>
      </c>
      <c r="B88" s="12" t="s">
        <v>209</v>
      </c>
      <c r="C88" s="97"/>
      <c r="D88" s="78"/>
      <c r="E88" s="78"/>
      <c r="F88" s="78"/>
      <c r="G88" s="78"/>
      <c r="H88" s="78"/>
      <c r="I88" s="79">
        <f t="shared" si="4"/>
        <v>0</v>
      </c>
      <c r="J88" s="78" t="s">
        <v>292</v>
      </c>
      <c r="K88" s="79">
        <f t="shared" si="5"/>
        <v>0</v>
      </c>
      <c r="M88" s="78"/>
      <c r="N88" s="78"/>
    </row>
    <row r="89" spans="1:14" s="10" customFormat="1" x14ac:dyDescent="0.4">
      <c r="A89" s="106" t="s">
        <v>557</v>
      </c>
      <c r="B89" s="12" t="s">
        <v>210</v>
      </c>
      <c r="C89" s="97"/>
      <c r="D89" s="78"/>
      <c r="E89" s="78"/>
      <c r="F89" s="78"/>
      <c r="G89" s="78"/>
      <c r="H89" s="78"/>
      <c r="I89" s="79">
        <f t="shared" si="4"/>
        <v>0</v>
      </c>
      <c r="J89" s="78" t="s">
        <v>292</v>
      </c>
      <c r="K89" s="79">
        <f t="shared" si="5"/>
        <v>0</v>
      </c>
      <c r="M89" s="78"/>
      <c r="N89" s="78"/>
    </row>
    <row r="90" spans="1:14" s="10" customFormat="1" x14ac:dyDescent="0.4">
      <c r="A90" s="106" t="s">
        <v>558</v>
      </c>
      <c r="B90" s="12" t="s">
        <v>211</v>
      </c>
      <c r="C90" s="97"/>
      <c r="D90" s="78"/>
      <c r="E90" s="78"/>
      <c r="F90" s="78"/>
      <c r="G90" s="78"/>
      <c r="H90" s="78"/>
      <c r="I90" s="79">
        <f t="shared" si="4"/>
        <v>0</v>
      </c>
      <c r="J90" s="78" t="s">
        <v>292</v>
      </c>
      <c r="K90" s="79">
        <f t="shared" si="5"/>
        <v>0</v>
      </c>
      <c r="M90" s="78"/>
      <c r="N90" s="78"/>
    </row>
    <row r="91" spans="1:14" s="10" customFormat="1" x14ac:dyDescent="0.4">
      <c r="A91" s="106" t="s">
        <v>559</v>
      </c>
      <c r="B91" s="12" t="s">
        <v>212</v>
      </c>
      <c r="C91" s="97"/>
      <c r="D91" s="78"/>
      <c r="E91" s="78"/>
      <c r="F91" s="78"/>
      <c r="G91" s="78"/>
      <c r="H91" s="78"/>
      <c r="I91" s="79">
        <f t="shared" si="4"/>
        <v>0</v>
      </c>
      <c r="J91" s="78" t="s">
        <v>292</v>
      </c>
      <c r="K91" s="79">
        <f t="shared" si="5"/>
        <v>0</v>
      </c>
      <c r="M91" s="78"/>
      <c r="N91" s="78"/>
    </row>
    <row r="92" spans="1:14" s="10" customFormat="1" x14ac:dyDescent="0.4">
      <c r="A92" s="106" t="s">
        <v>560</v>
      </c>
      <c r="B92" s="12" t="s">
        <v>213</v>
      </c>
      <c r="C92" s="97"/>
      <c r="D92" s="78"/>
      <c r="E92" s="78"/>
      <c r="F92" s="78"/>
      <c r="G92" s="78"/>
      <c r="H92" s="78"/>
      <c r="I92" s="79">
        <f t="shared" si="4"/>
        <v>0</v>
      </c>
      <c r="J92" s="78" t="s">
        <v>292</v>
      </c>
      <c r="K92" s="79">
        <f t="shared" si="5"/>
        <v>0</v>
      </c>
      <c r="M92" s="78"/>
      <c r="N92" s="78"/>
    </row>
    <row r="93" spans="1:14" s="10" customFormat="1" x14ac:dyDescent="0.4">
      <c r="A93" s="100" t="s">
        <v>561</v>
      </c>
      <c r="B93" s="100" t="s">
        <v>214</v>
      </c>
      <c r="C93" s="97"/>
      <c r="D93" s="78"/>
      <c r="E93" s="78"/>
      <c r="F93" s="78"/>
      <c r="G93" s="78"/>
      <c r="H93" s="78"/>
      <c r="I93" s="79">
        <f t="shared" si="4"/>
        <v>0</v>
      </c>
      <c r="J93" s="78" t="s">
        <v>292</v>
      </c>
      <c r="K93" s="79">
        <f t="shared" si="5"/>
        <v>0</v>
      </c>
      <c r="M93" s="78"/>
      <c r="N93" s="78"/>
    </row>
    <row r="94" spans="1:14" s="10" customFormat="1" x14ac:dyDescent="0.4">
      <c r="A94" s="100" t="s">
        <v>641</v>
      </c>
      <c r="B94" s="100" t="s">
        <v>642</v>
      </c>
      <c r="C94" s="97"/>
      <c r="D94" s="78"/>
      <c r="E94" s="78"/>
      <c r="F94" s="78"/>
      <c r="G94" s="78"/>
      <c r="H94" s="78"/>
      <c r="I94" s="79">
        <f t="shared" si="4"/>
        <v>0</v>
      </c>
      <c r="J94" s="78" t="s">
        <v>292</v>
      </c>
      <c r="K94" s="79">
        <f t="shared" si="5"/>
        <v>0</v>
      </c>
      <c r="M94" s="78"/>
      <c r="N94" s="78"/>
    </row>
    <row r="95" spans="1:14" s="10" customFormat="1" x14ac:dyDescent="0.4">
      <c r="A95" s="106" t="s">
        <v>562</v>
      </c>
      <c r="B95" s="12" t="s">
        <v>257</v>
      </c>
      <c r="C95" s="97"/>
      <c r="D95" s="78"/>
      <c r="E95" s="78"/>
      <c r="F95" s="78"/>
      <c r="G95" s="78"/>
      <c r="H95" s="78"/>
      <c r="I95" s="79">
        <f t="shared" si="4"/>
        <v>0</v>
      </c>
      <c r="J95" s="78" t="s">
        <v>292</v>
      </c>
      <c r="K95" s="79">
        <f t="shared" si="5"/>
        <v>0</v>
      </c>
      <c r="M95" s="78"/>
      <c r="N95" s="78"/>
    </row>
    <row r="96" spans="1:14" s="10" customFormat="1" x14ac:dyDescent="0.4">
      <c r="A96" s="68" t="s">
        <v>563</v>
      </c>
      <c r="B96" s="12" t="s">
        <v>215</v>
      </c>
      <c r="C96" s="97"/>
      <c r="D96" s="78"/>
      <c r="E96" s="78"/>
      <c r="F96" s="78"/>
      <c r="G96" s="78"/>
      <c r="H96" s="78"/>
      <c r="I96" s="79">
        <f t="shared" si="4"/>
        <v>0</v>
      </c>
      <c r="J96" s="78" t="s">
        <v>292</v>
      </c>
      <c r="K96" s="79">
        <f t="shared" si="5"/>
        <v>0</v>
      </c>
      <c r="M96" s="78"/>
      <c r="N96" s="78"/>
    </row>
    <row r="97" spans="1:15" s="10" customFormat="1" x14ac:dyDescent="0.4">
      <c r="A97" s="71" t="s">
        <v>624</v>
      </c>
      <c r="B97" s="71" t="s">
        <v>625</v>
      </c>
      <c r="C97" s="97"/>
      <c r="D97" s="78"/>
      <c r="E97" s="78"/>
      <c r="F97" s="78"/>
      <c r="G97" s="78"/>
      <c r="H97" s="78"/>
      <c r="I97" s="79">
        <f t="shared" si="4"/>
        <v>0</v>
      </c>
      <c r="J97" s="78" t="s">
        <v>292</v>
      </c>
      <c r="K97" s="79">
        <f t="shared" si="5"/>
        <v>0</v>
      </c>
      <c r="M97" s="78"/>
      <c r="N97" s="78"/>
    </row>
    <row r="98" spans="1:15" s="10" customFormat="1" x14ac:dyDescent="0.4">
      <c r="A98" s="106" t="s">
        <v>564</v>
      </c>
      <c r="B98" s="12" t="s">
        <v>216</v>
      </c>
      <c r="C98" s="97"/>
      <c r="D98" s="78"/>
      <c r="E98" s="78"/>
      <c r="F98" s="78"/>
      <c r="G98" s="78"/>
      <c r="H98" s="78"/>
      <c r="I98" s="79">
        <f t="shared" si="4"/>
        <v>0</v>
      </c>
      <c r="J98" s="78" t="s">
        <v>292</v>
      </c>
      <c r="K98" s="79">
        <f t="shared" si="5"/>
        <v>0</v>
      </c>
      <c r="M98" s="78"/>
      <c r="N98" s="78"/>
    </row>
    <row r="99" spans="1:15" s="10" customFormat="1" x14ac:dyDescent="0.4">
      <c r="A99" s="106" t="s">
        <v>565</v>
      </c>
      <c r="B99" s="12" t="s">
        <v>217</v>
      </c>
      <c r="C99" s="97"/>
      <c r="D99" s="78"/>
      <c r="E99" s="78"/>
      <c r="F99" s="78"/>
      <c r="G99" s="78"/>
      <c r="H99" s="78"/>
      <c r="I99" s="79">
        <f t="shared" si="4"/>
        <v>0</v>
      </c>
      <c r="J99" s="78" t="s">
        <v>292</v>
      </c>
      <c r="K99" s="79">
        <f t="shared" si="5"/>
        <v>0</v>
      </c>
      <c r="M99" s="78"/>
      <c r="N99" s="78"/>
    </row>
    <row r="100" spans="1:15" s="10" customFormat="1" x14ac:dyDescent="0.4">
      <c r="A100" s="106" t="s">
        <v>566</v>
      </c>
      <c r="B100" s="12" t="s">
        <v>218</v>
      </c>
      <c r="C100" s="97"/>
      <c r="D100" s="78"/>
      <c r="E100" s="78"/>
      <c r="F100" s="78"/>
      <c r="G100" s="78"/>
      <c r="H100" s="78"/>
      <c r="I100" s="79">
        <f t="shared" si="4"/>
        <v>0</v>
      </c>
      <c r="J100" s="78" t="s">
        <v>292</v>
      </c>
      <c r="K100" s="79">
        <f t="shared" si="5"/>
        <v>0</v>
      </c>
      <c r="M100" s="78"/>
      <c r="N100" s="78"/>
    </row>
    <row r="101" spans="1:15" s="10" customFormat="1" x14ac:dyDescent="0.4">
      <c r="A101" s="106" t="s">
        <v>567</v>
      </c>
      <c r="B101" s="12" t="s">
        <v>219</v>
      </c>
      <c r="C101" s="97"/>
      <c r="D101" s="78"/>
      <c r="E101" s="78"/>
      <c r="F101" s="78"/>
      <c r="G101" s="78"/>
      <c r="H101" s="78"/>
      <c r="I101" s="79">
        <f t="shared" si="4"/>
        <v>0</v>
      </c>
      <c r="J101" s="78" t="s">
        <v>292</v>
      </c>
      <c r="K101" s="79">
        <f t="shared" si="5"/>
        <v>0</v>
      </c>
      <c r="M101" s="78"/>
      <c r="N101" s="78"/>
    </row>
    <row r="102" spans="1:15" s="10" customFormat="1" x14ac:dyDescent="0.4">
      <c r="A102" s="106" t="s">
        <v>568</v>
      </c>
      <c r="B102" s="12" t="s">
        <v>220</v>
      </c>
      <c r="C102" s="97"/>
      <c r="D102" s="78"/>
      <c r="E102" s="78"/>
      <c r="F102" s="78"/>
      <c r="G102" s="78"/>
      <c r="H102" s="78"/>
      <c r="I102" s="79">
        <f t="shared" si="4"/>
        <v>0</v>
      </c>
      <c r="J102" s="78" t="s">
        <v>292</v>
      </c>
      <c r="K102" s="79">
        <f t="shared" si="5"/>
        <v>0</v>
      </c>
      <c r="M102" s="78"/>
      <c r="N102" s="78"/>
    </row>
    <row r="103" spans="1:15" s="10" customFormat="1" x14ac:dyDescent="0.4">
      <c r="A103" s="106" t="s">
        <v>569</v>
      </c>
      <c r="B103" s="12" t="s">
        <v>221</v>
      </c>
      <c r="C103" s="97"/>
      <c r="D103" s="78"/>
      <c r="E103" s="78"/>
      <c r="F103" s="78"/>
      <c r="G103" s="78"/>
      <c r="H103" s="78"/>
      <c r="I103" s="79">
        <f t="shared" si="4"/>
        <v>0</v>
      </c>
      <c r="J103" s="78" t="s">
        <v>292</v>
      </c>
      <c r="K103" s="79">
        <f t="shared" si="5"/>
        <v>0</v>
      </c>
      <c r="M103" s="78"/>
      <c r="N103" s="78"/>
    </row>
    <row r="104" spans="1:15" s="10" customFormat="1" x14ac:dyDescent="0.4">
      <c r="A104" s="106" t="s">
        <v>570</v>
      </c>
      <c r="B104" s="12" t="s">
        <v>222</v>
      </c>
      <c r="C104" s="97"/>
      <c r="D104" s="78"/>
      <c r="E104" s="78"/>
      <c r="F104" s="78"/>
      <c r="G104" s="78"/>
      <c r="H104" s="78"/>
      <c r="I104" s="79">
        <f t="shared" si="4"/>
        <v>0</v>
      </c>
      <c r="J104" s="78" t="s">
        <v>292</v>
      </c>
      <c r="K104" s="79">
        <f t="shared" si="5"/>
        <v>0</v>
      </c>
      <c r="M104" s="78"/>
      <c r="N104" s="78"/>
    </row>
    <row r="105" spans="1:15" s="10" customFormat="1" x14ac:dyDescent="0.4">
      <c r="A105" s="106" t="s">
        <v>571</v>
      </c>
      <c r="B105" s="12" t="s">
        <v>223</v>
      </c>
      <c r="C105" s="97"/>
      <c r="D105" s="78"/>
      <c r="E105" s="78"/>
      <c r="F105" s="78"/>
      <c r="G105" s="78"/>
      <c r="H105" s="78"/>
      <c r="I105" s="79">
        <f t="shared" si="4"/>
        <v>0</v>
      </c>
      <c r="J105" s="78" t="s">
        <v>292</v>
      </c>
      <c r="K105" s="79">
        <f t="shared" si="5"/>
        <v>0</v>
      </c>
      <c r="M105" s="78"/>
      <c r="N105" s="78"/>
    </row>
    <row r="106" spans="1:15" s="10" customFormat="1" x14ac:dyDescent="0.4">
      <c r="A106" s="106" t="s">
        <v>572</v>
      </c>
      <c r="B106" s="12" t="s">
        <v>224</v>
      </c>
      <c r="C106" s="97"/>
      <c r="D106" s="78"/>
      <c r="E106" s="78"/>
      <c r="F106" s="78"/>
      <c r="G106" s="78"/>
      <c r="H106" s="78"/>
      <c r="I106" s="79">
        <f t="shared" si="4"/>
        <v>0</v>
      </c>
      <c r="J106" s="78" t="s">
        <v>292</v>
      </c>
      <c r="K106" s="79">
        <f t="shared" si="5"/>
        <v>0</v>
      </c>
      <c r="M106" s="78"/>
      <c r="N106" s="78"/>
    </row>
    <row r="107" spans="1:15" s="10" customFormat="1" x14ac:dyDescent="0.4">
      <c r="A107" s="106" t="s">
        <v>573</v>
      </c>
      <c r="B107" s="12" t="s">
        <v>225</v>
      </c>
      <c r="C107" s="97"/>
      <c r="D107" s="78"/>
      <c r="E107" s="78"/>
      <c r="F107" s="78"/>
      <c r="G107" s="78"/>
      <c r="H107" s="78"/>
      <c r="I107" s="79">
        <f t="shared" si="4"/>
        <v>0</v>
      </c>
      <c r="J107" s="78" t="s">
        <v>292</v>
      </c>
      <c r="K107" s="79">
        <f t="shared" si="5"/>
        <v>0</v>
      </c>
      <c r="M107" s="78"/>
      <c r="N107" s="78"/>
    </row>
    <row r="108" spans="1:15" s="10" customFormat="1" x14ac:dyDescent="0.4">
      <c r="A108" s="106" t="s">
        <v>574</v>
      </c>
      <c r="B108" s="12" t="s">
        <v>226</v>
      </c>
      <c r="C108" s="97"/>
      <c r="D108" s="78"/>
      <c r="E108" s="78"/>
      <c r="F108" s="78"/>
      <c r="G108" s="78"/>
      <c r="H108" s="78"/>
      <c r="I108" s="79">
        <f t="shared" si="4"/>
        <v>0</v>
      </c>
      <c r="J108" s="78" t="s">
        <v>292</v>
      </c>
      <c r="K108" s="79">
        <f t="shared" si="5"/>
        <v>0</v>
      </c>
      <c r="M108" s="78"/>
      <c r="N108" s="78"/>
    </row>
    <row r="109" spans="1:15" s="78" customFormat="1" x14ac:dyDescent="0.4">
      <c r="A109" s="106" t="s">
        <v>575</v>
      </c>
      <c r="B109" s="12" t="s">
        <v>227</v>
      </c>
      <c r="C109" s="97"/>
      <c r="I109" s="79">
        <f t="shared" si="4"/>
        <v>0</v>
      </c>
      <c r="J109" s="78" t="s">
        <v>292</v>
      </c>
      <c r="K109" s="79">
        <f t="shared" si="5"/>
        <v>0</v>
      </c>
      <c r="L109" s="10"/>
      <c r="O109" s="10"/>
    </row>
    <row r="110" spans="1:15" s="78" customFormat="1" x14ac:dyDescent="0.4">
      <c r="A110" s="106" t="s">
        <v>576</v>
      </c>
      <c r="B110" s="12" t="s">
        <v>228</v>
      </c>
      <c r="C110" s="97"/>
      <c r="I110" s="79">
        <f t="shared" si="4"/>
        <v>0</v>
      </c>
      <c r="J110" s="78" t="s">
        <v>291</v>
      </c>
      <c r="K110" s="79">
        <f t="shared" si="5"/>
        <v>0</v>
      </c>
      <c r="L110" s="10"/>
      <c r="O110" s="10"/>
    </row>
    <row r="111" spans="1:15" s="10" customFormat="1" x14ac:dyDescent="0.4">
      <c r="A111" s="106" t="s">
        <v>577</v>
      </c>
      <c r="B111" s="12" t="s">
        <v>229</v>
      </c>
      <c r="C111" s="97"/>
      <c r="D111" s="78"/>
      <c r="E111" s="78"/>
      <c r="F111" s="78"/>
      <c r="G111" s="78"/>
      <c r="H111" s="78"/>
      <c r="I111" s="79">
        <f t="shared" si="4"/>
        <v>0</v>
      </c>
      <c r="J111" s="78" t="s">
        <v>292</v>
      </c>
      <c r="K111" s="79">
        <f t="shared" si="5"/>
        <v>0</v>
      </c>
      <c r="M111" s="78"/>
      <c r="N111" s="78"/>
    </row>
    <row r="112" spans="1:15" s="78" customFormat="1" x14ac:dyDescent="0.4">
      <c r="A112" s="106" t="s">
        <v>578</v>
      </c>
      <c r="B112" s="12" t="s">
        <v>230</v>
      </c>
      <c r="C112" s="97"/>
      <c r="I112" s="79">
        <f t="shared" si="4"/>
        <v>0</v>
      </c>
      <c r="J112" s="78" t="s">
        <v>292</v>
      </c>
      <c r="K112" s="79">
        <f t="shared" si="5"/>
        <v>0</v>
      </c>
      <c r="L112" s="10"/>
      <c r="O112" s="10"/>
    </row>
    <row r="113" spans="1:14" s="10" customFormat="1" x14ac:dyDescent="0.4">
      <c r="A113" s="106" t="s">
        <v>579</v>
      </c>
      <c r="B113" s="12" t="s">
        <v>231</v>
      </c>
      <c r="C113" s="97"/>
      <c r="D113" s="78"/>
      <c r="E113" s="78"/>
      <c r="F113" s="78"/>
      <c r="G113" s="78"/>
      <c r="H113" s="78"/>
      <c r="I113" s="79">
        <f t="shared" si="4"/>
        <v>0</v>
      </c>
      <c r="J113" s="78" t="s">
        <v>288</v>
      </c>
      <c r="K113" s="79">
        <f t="shared" si="5"/>
        <v>0</v>
      </c>
      <c r="M113" s="78"/>
      <c r="N113" s="78"/>
    </row>
    <row r="114" spans="1:14" s="10" customFormat="1" x14ac:dyDescent="0.4">
      <c r="A114" s="106" t="s">
        <v>580</v>
      </c>
      <c r="B114" s="12" t="s">
        <v>232</v>
      </c>
      <c r="C114" s="97"/>
      <c r="D114" s="78"/>
      <c r="E114" s="78"/>
      <c r="F114" s="78"/>
      <c r="G114" s="78"/>
      <c r="H114" s="78"/>
      <c r="I114" s="79">
        <f t="shared" si="4"/>
        <v>0</v>
      </c>
      <c r="J114" s="78" t="s">
        <v>292</v>
      </c>
      <c r="K114" s="79">
        <f t="shared" si="5"/>
        <v>0</v>
      </c>
      <c r="M114" s="78"/>
      <c r="N114" s="78"/>
    </row>
    <row r="115" spans="1:14" s="10" customFormat="1" x14ac:dyDescent="0.4">
      <c r="A115" s="106" t="s">
        <v>581</v>
      </c>
      <c r="B115" s="12" t="s">
        <v>233</v>
      </c>
      <c r="C115" s="97"/>
      <c r="D115" s="78"/>
      <c r="E115" s="78"/>
      <c r="F115" s="78"/>
      <c r="G115" s="78"/>
      <c r="H115" s="78"/>
      <c r="I115" s="79">
        <f t="shared" si="4"/>
        <v>0</v>
      </c>
      <c r="J115" s="78" t="s">
        <v>292</v>
      </c>
      <c r="K115" s="79">
        <f t="shared" si="5"/>
        <v>0</v>
      </c>
      <c r="M115" s="78"/>
      <c r="N115" s="78"/>
    </row>
    <row r="116" spans="1:14" s="10" customFormat="1" x14ac:dyDescent="0.4">
      <c r="A116" s="106" t="s">
        <v>582</v>
      </c>
      <c r="B116" s="12" t="s">
        <v>234</v>
      </c>
      <c r="C116" s="97"/>
      <c r="D116" s="78"/>
      <c r="E116" s="78"/>
      <c r="F116" s="78"/>
      <c r="G116" s="78"/>
      <c r="H116" s="78"/>
      <c r="I116" s="79">
        <f t="shared" si="4"/>
        <v>0</v>
      </c>
      <c r="J116" s="78" t="s">
        <v>288</v>
      </c>
      <c r="K116" s="79">
        <f t="shared" si="5"/>
        <v>0</v>
      </c>
      <c r="M116" s="78"/>
      <c r="N116" s="78"/>
    </row>
    <row r="117" spans="1:14" s="10" customFormat="1" x14ac:dyDescent="0.4">
      <c r="A117" s="100" t="s">
        <v>869</v>
      </c>
      <c r="B117" s="100" t="s">
        <v>870</v>
      </c>
      <c r="C117" s="97"/>
      <c r="D117" s="78"/>
      <c r="E117" s="78"/>
      <c r="F117" s="78"/>
      <c r="G117" s="78"/>
      <c r="H117" s="78"/>
      <c r="I117" s="79">
        <f t="shared" ref="I117" si="8">SUM(C117:H117)</f>
        <v>0</v>
      </c>
      <c r="J117" s="78" t="s">
        <v>292</v>
      </c>
      <c r="K117" s="79">
        <f t="shared" ref="K117" si="9">I117*1</f>
        <v>0</v>
      </c>
      <c r="M117" s="78"/>
      <c r="N117" s="78"/>
    </row>
    <row r="118" spans="1:14" s="10" customFormat="1" x14ac:dyDescent="0.4">
      <c r="A118" s="106" t="s">
        <v>583</v>
      </c>
      <c r="B118" s="12" t="s">
        <v>235</v>
      </c>
      <c r="C118" s="97"/>
      <c r="D118" s="78"/>
      <c r="E118" s="78"/>
      <c r="F118" s="78"/>
      <c r="G118" s="78"/>
      <c r="H118" s="78"/>
      <c r="I118" s="79">
        <f t="shared" si="4"/>
        <v>0</v>
      </c>
      <c r="J118" s="78" t="s">
        <v>292</v>
      </c>
      <c r="K118" s="79">
        <f t="shared" si="5"/>
        <v>0</v>
      </c>
      <c r="M118" s="78"/>
      <c r="N118" s="78"/>
    </row>
    <row r="119" spans="1:14" s="10" customFormat="1" x14ac:dyDescent="0.4">
      <c r="A119" s="100" t="s">
        <v>664</v>
      </c>
      <c r="B119" s="100" t="s">
        <v>665</v>
      </c>
      <c r="C119" s="97"/>
      <c r="D119" s="78"/>
      <c r="E119" s="78"/>
      <c r="F119" s="78"/>
      <c r="G119" s="78"/>
      <c r="H119" s="78"/>
      <c r="I119" s="79">
        <f t="shared" si="4"/>
        <v>0</v>
      </c>
      <c r="J119" s="78" t="s">
        <v>292</v>
      </c>
      <c r="K119" s="79">
        <f t="shared" si="5"/>
        <v>0</v>
      </c>
      <c r="M119" s="78"/>
      <c r="N119" s="78"/>
    </row>
    <row r="120" spans="1:14" s="10" customFormat="1" x14ac:dyDescent="0.4">
      <c r="A120" s="106" t="s">
        <v>584</v>
      </c>
      <c r="B120" s="12" t="s">
        <v>236</v>
      </c>
      <c r="C120" s="97"/>
      <c r="D120" s="78"/>
      <c r="E120" s="78"/>
      <c r="F120" s="78"/>
      <c r="G120" s="78"/>
      <c r="H120" s="78"/>
      <c r="I120" s="79">
        <f t="shared" si="4"/>
        <v>0</v>
      </c>
      <c r="J120" s="78" t="s">
        <v>292</v>
      </c>
      <c r="K120" s="79">
        <f t="shared" si="5"/>
        <v>0</v>
      </c>
      <c r="M120" s="78"/>
      <c r="N120" s="78"/>
    </row>
    <row r="121" spans="1:14" s="10" customFormat="1" x14ac:dyDescent="0.4">
      <c r="A121" s="106" t="s">
        <v>585</v>
      </c>
      <c r="B121" s="12" t="s">
        <v>237</v>
      </c>
      <c r="C121" s="97"/>
      <c r="D121" s="78"/>
      <c r="E121" s="78"/>
      <c r="F121" s="78"/>
      <c r="G121" s="78"/>
      <c r="H121" s="78"/>
      <c r="I121" s="79">
        <f t="shared" si="4"/>
        <v>0</v>
      </c>
      <c r="J121" s="78" t="s">
        <v>292</v>
      </c>
      <c r="K121" s="79">
        <f t="shared" si="5"/>
        <v>0</v>
      </c>
      <c r="M121" s="78"/>
      <c r="N121" s="78"/>
    </row>
    <row r="122" spans="1:14" s="10" customFormat="1" x14ac:dyDescent="0.4">
      <c r="A122" s="106" t="s">
        <v>626</v>
      </c>
      <c r="B122" s="12" t="s">
        <v>627</v>
      </c>
      <c r="C122" s="97"/>
      <c r="D122" s="78"/>
      <c r="E122" s="78"/>
      <c r="F122" s="78"/>
      <c r="G122" s="78"/>
      <c r="H122" s="78"/>
      <c r="I122" s="79">
        <f t="shared" si="4"/>
        <v>0</v>
      </c>
      <c r="J122" s="78" t="s">
        <v>292</v>
      </c>
      <c r="K122" s="79">
        <f t="shared" si="5"/>
        <v>0</v>
      </c>
      <c r="M122" s="78"/>
      <c r="N122" s="78"/>
    </row>
    <row r="123" spans="1:14" s="10" customFormat="1" x14ac:dyDescent="0.4">
      <c r="A123" s="106" t="s">
        <v>586</v>
      </c>
      <c r="B123" s="12" t="s">
        <v>238</v>
      </c>
      <c r="C123" s="97"/>
      <c r="D123" s="78"/>
      <c r="E123" s="78"/>
      <c r="F123" s="78"/>
      <c r="G123" s="78"/>
      <c r="H123" s="78"/>
      <c r="I123" s="79">
        <f t="shared" si="4"/>
        <v>0</v>
      </c>
      <c r="J123" s="78" t="s">
        <v>291</v>
      </c>
      <c r="K123" s="79">
        <f t="shared" si="5"/>
        <v>0</v>
      </c>
      <c r="M123" s="78"/>
      <c r="N123" s="78"/>
    </row>
    <row r="124" spans="1:14" s="10" customFormat="1" x14ac:dyDescent="0.4">
      <c r="A124" s="106" t="s">
        <v>587</v>
      </c>
      <c r="B124" s="12" t="s">
        <v>239</v>
      </c>
      <c r="C124" s="97"/>
      <c r="D124" s="78"/>
      <c r="E124" s="78"/>
      <c r="F124" s="78"/>
      <c r="G124" s="78"/>
      <c r="H124" s="78"/>
      <c r="I124" s="79">
        <f t="shared" si="4"/>
        <v>0</v>
      </c>
      <c r="J124" s="78" t="s">
        <v>292</v>
      </c>
      <c r="K124" s="79">
        <f t="shared" si="5"/>
        <v>0</v>
      </c>
      <c r="M124" s="78"/>
      <c r="N124" s="78"/>
    </row>
    <row r="125" spans="1:14" s="10" customFormat="1" x14ac:dyDescent="0.4">
      <c r="A125" s="106" t="s">
        <v>588</v>
      </c>
      <c r="B125" s="12" t="s">
        <v>240</v>
      </c>
      <c r="C125" s="97"/>
      <c r="D125" s="78"/>
      <c r="E125" s="78"/>
      <c r="F125" s="78"/>
      <c r="G125" s="78"/>
      <c r="H125" s="78"/>
      <c r="I125" s="79">
        <f t="shared" si="4"/>
        <v>0</v>
      </c>
      <c r="J125" s="78" t="s">
        <v>292</v>
      </c>
      <c r="K125" s="79">
        <f t="shared" si="5"/>
        <v>0</v>
      </c>
      <c r="M125" s="78"/>
      <c r="N125" s="78"/>
    </row>
    <row r="126" spans="1:14" s="10" customFormat="1" x14ac:dyDescent="0.4">
      <c r="A126" s="106" t="s">
        <v>589</v>
      </c>
      <c r="B126" s="12" t="s">
        <v>241</v>
      </c>
      <c r="C126" s="97"/>
      <c r="D126" s="78"/>
      <c r="E126" s="78"/>
      <c r="F126" s="78"/>
      <c r="G126" s="78"/>
      <c r="H126" s="78"/>
      <c r="I126" s="79">
        <f t="shared" si="4"/>
        <v>0</v>
      </c>
      <c r="J126" s="78" t="s">
        <v>288</v>
      </c>
      <c r="K126" s="79">
        <f t="shared" si="5"/>
        <v>0</v>
      </c>
      <c r="L126" s="78"/>
      <c r="M126" s="78"/>
      <c r="N126" s="78"/>
    </row>
    <row r="127" spans="1:14" s="10" customFormat="1" x14ac:dyDescent="0.4">
      <c r="A127" s="106" t="s">
        <v>590</v>
      </c>
      <c r="B127" s="12" t="s">
        <v>242</v>
      </c>
      <c r="C127" s="97"/>
      <c r="D127" s="78"/>
      <c r="E127" s="78"/>
      <c r="F127" s="78"/>
      <c r="G127" s="78"/>
      <c r="H127" s="78"/>
      <c r="I127" s="79">
        <f t="shared" si="4"/>
        <v>0</v>
      </c>
      <c r="J127" s="78" t="s">
        <v>292</v>
      </c>
      <c r="K127" s="79">
        <f t="shared" si="5"/>
        <v>0</v>
      </c>
      <c r="L127" s="78"/>
      <c r="M127" s="78"/>
      <c r="N127" s="78"/>
    </row>
    <row r="128" spans="1:14" s="10" customFormat="1" x14ac:dyDescent="0.4">
      <c r="A128" s="106" t="s">
        <v>591</v>
      </c>
      <c r="B128" s="12" t="s">
        <v>243</v>
      </c>
      <c r="C128" s="97"/>
      <c r="D128" s="78"/>
      <c r="E128" s="78"/>
      <c r="F128" s="78"/>
      <c r="G128" s="78"/>
      <c r="H128" s="78"/>
      <c r="I128" s="79">
        <f t="shared" si="4"/>
        <v>0</v>
      </c>
      <c r="J128" s="78" t="s">
        <v>288</v>
      </c>
      <c r="K128" s="79">
        <f t="shared" si="5"/>
        <v>0</v>
      </c>
      <c r="L128" s="78"/>
      <c r="M128" s="78"/>
      <c r="N128" s="78"/>
    </row>
    <row r="129" spans="1:14" s="10" customFormat="1" x14ac:dyDescent="0.4">
      <c r="A129" s="106" t="s">
        <v>592</v>
      </c>
      <c r="B129" s="12" t="s">
        <v>244</v>
      </c>
      <c r="C129" s="97"/>
      <c r="D129" s="78"/>
      <c r="E129" s="78"/>
      <c r="F129" s="78"/>
      <c r="G129" s="78"/>
      <c r="H129" s="78"/>
      <c r="I129" s="79">
        <f t="shared" si="4"/>
        <v>0</v>
      </c>
      <c r="J129" s="78" t="s">
        <v>292</v>
      </c>
      <c r="K129" s="79">
        <f t="shared" si="5"/>
        <v>0</v>
      </c>
      <c r="L129" s="78"/>
      <c r="M129" s="78"/>
      <c r="N129" s="78"/>
    </row>
    <row r="130" spans="1:14" x14ac:dyDescent="0.4">
      <c r="A130" s="100" t="s">
        <v>866</v>
      </c>
      <c r="B130" s="100" t="s">
        <v>867</v>
      </c>
      <c r="C130" s="97"/>
      <c r="D130" s="78"/>
      <c r="I130" s="79">
        <f t="shared" ref="I130" si="10">SUM(C130:H130)</f>
        <v>0</v>
      </c>
      <c r="J130" s="78" t="s">
        <v>292</v>
      </c>
      <c r="K130" s="79">
        <f t="shared" si="5"/>
        <v>0</v>
      </c>
      <c r="L130" s="78"/>
      <c r="M130" s="78"/>
      <c r="N130" s="78"/>
    </row>
    <row r="131" spans="1:14" x14ac:dyDescent="0.4">
      <c r="A131" s="106" t="s">
        <v>593</v>
      </c>
      <c r="B131" s="12" t="s">
        <v>245</v>
      </c>
      <c r="C131" s="97"/>
      <c r="D131" s="78"/>
      <c r="I131" s="79">
        <f t="shared" si="4"/>
        <v>0</v>
      </c>
      <c r="J131" s="78" t="s">
        <v>292</v>
      </c>
      <c r="K131" s="79">
        <f t="shared" si="5"/>
        <v>0</v>
      </c>
      <c r="L131" s="78"/>
      <c r="M131" s="78"/>
      <c r="N131" s="78"/>
    </row>
    <row r="132" spans="1:14" x14ac:dyDescent="0.4">
      <c r="A132" s="106" t="s">
        <v>594</v>
      </c>
      <c r="B132" s="12" t="s">
        <v>246</v>
      </c>
      <c r="C132" s="97"/>
      <c r="D132" s="78"/>
      <c r="I132" s="79">
        <f t="shared" si="4"/>
        <v>0</v>
      </c>
      <c r="J132" s="78" t="s">
        <v>292</v>
      </c>
      <c r="K132" s="79">
        <f t="shared" si="5"/>
        <v>0</v>
      </c>
      <c r="L132" s="10"/>
      <c r="M132" s="78"/>
      <c r="N132" s="78"/>
    </row>
    <row r="133" spans="1:14" x14ac:dyDescent="0.4">
      <c r="A133" s="100" t="s">
        <v>666</v>
      </c>
      <c r="B133" s="100" t="s">
        <v>667</v>
      </c>
      <c r="C133" s="97"/>
      <c r="D133" s="78"/>
      <c r="I133" s="79">
        <f t="shared" si="4"/>
        <v>0</v>
      </c>
      <c r="J133" s="78" t="s">
        <v>292</v>
      </c>
      <c r="K133" s="79">
        <f t="shared" si="5"/>
        <v>0</v>
      </c>
      <c r="L133" s="10"/>
      <c r="M133" s="78"/>
      <c r="N133" s="78"/>
    </row>
    <row r="134" spans="1:14" x14ac:dyDescent="0.4">
      <c r="A134" s="68" t="s">
        <v>595</v>
      </c>
      <c r="B134" s="12" t="s">
        <v>247</v>
      </c>
      <c r="C134" s="97"/>
      <c r="D134" s="78"/>
      <c r="F134" s="78">
        <f>-F140</f>
        <v>0</v>
      </c>
      <c r="G134" s="78">
        <v>0</v>
      </c>
      <c r="I134" s="79">
        <f t="shared" si="4"/>
        <v>0</v>
      </c>
      <c r="J134" s="78" t="s">
        <v>292</v>
      </c>
      <c r="K134" s="79">
        <f t="shared" si="5"/>
        <v>0</v>
      </c>
      <c r="L134" s="10"/>
      <c r="M134" s="78"/>
      <c r="N134" s="78"/>
    </row>
    <row r="135" spans="1:14" x14ac:dyDescent="0.4">
      <c r="A135" s="106" t="s">
        <v>596</v>
      </c>
      <c r="B135" s="12" t="s">
        <v>248</v>
      </c>
      <c r="C135" s="97"/>
      <c r="D135" s="78"/>
      <c r="F135" s="78" t="s">
        <v>261</v>
      </c>
      <c r="G135" s="78">
        <f>-C135</f>
        <v>0</v>
      </c>
      <c r="I135" s="79">
        <f t="shared" si="4"/>
        <v>0</v>
      </c>
      <c r="J135" s="78" t="s">
        <v>292</v>
      </c>
      <c r="K135" s="79">
        <f t="shared" si="5"/>
        <v>0</v>
      </c>
      <c r="L135" s="10"/>
      <c r="M135" s="78"/>
      <c r="N135" s="78"/>
    </row>
    <row r="136" spans="1:14" x14ac:dyDescent="0.4">
      <c r="A136" s="106" t="s">
        <v>597</v>
      </c>
      <c r="B136" s="12" t="s">
        <v>249</v>
      </c>
      <c r="C136" s="97"/>
      <c r="D136" s="78"/>
      <c r="F136" s="78" t="s">
        <v>261</v>
      </c>
      <c r="G136" s="78">
        <f>-C136</f>
        <v>0</v>
      </c>
      <c r="I136" s="79">
        <f t="shared" si="4"/>
        <v>0</v>
      </c>
      <c r="J136" s="78" t="s">
        <v>292</v>
      </c>
      <c r="K136" s="79">
        <f t="shared" si="5"/>
        <v>0</v>
      </c>
      <c r="L136" s="10"/>
      <c r="M136" s="78"/>
      <c r="N136" s="78"/>
    </row>
    <row r="137" spans="1:14" x14ac:dyDescent="0.4">
      <c r="A137" s="106" t="s">
        <v>754</v>
      </c>
      <c r="B137" s="12" t="s">
        <v>782</v>
      </c>
      <c r="C137" s="97"/>
      <c r="D137" s="78"/>
      <c r="F137" s="78" t="s">
        <v>261</v>
      </c>
      <c r="G137" s="78">
        <f>-E137-D137</f>
        <v>0</v>
      </c>
      <c r="I137" s="79">
        <f t="shared" si="4"/>
        <v>0</v>
      </c>
      <c r="J137" s="78" t="s">
        <v>292</v>
      </c>
      <c r="K137" s="79">
        <f t="shared" si="5"/>
        <v>0</v>
      </c>
      <c r="L137" s="10"/>
      <c r="M137" s="78"/>
      <c r="N137" s="78"/>
    </row>
    <row r="138" spans="1:14" x14ac:dyDescent="0.4">
      <c r="A138" s="69"/>
      <c r="B138" s="12" t="s">
        <v>755</v>
      </c>
      <c r="C138" s="97"/>
      <c r="D138" s="78"/>
      <c r="F138" s="78" t="s">
        <v>261</v>
      </c>
      <c r="G138" s="78">
        <f>-E138-D138</f>
        <v>0</v>
      </c>
      <c r="I138" s="79">
        <f t="shared" si="4"/>
        <v>0</v>
      </c>
      <c r="J138" s="78" t="s">
        <v>292</v>
      </c>
      <c r="K138" s="79">
        <f t="shared" si="5"/>
        <v>0</v>
      </c>
      <c r="L138" s="10"/>
      <c r="M138" s="78"/>
      <c r="N138" s="78"/>
    </row>
    <row r="139" spans="1:14" x14ac:dyDescent="0.4">
      <c r="A139" s="69"/>
      <c r="B139" s="12" t="s">
        <v>756</v>
      </c>
      <c r="C139" s="97"/>
      <c r="D139" s="78"/>
      <c r="F139" s="78" t="s">
        <v>261</v>
      </c>
      <c r="G139" s="78">
        <f>-E139-D139</f>
        <v>0</v>
      </c>
      <c r="I139" s="79">
        <f t="shared" si="4"/>
        <v>0</v>
      </c>
      <c r="J139" s="78" t="s">
        <v>292</v>
      </c>
      <c r="K139" s="79">
        <f t="shared" si="5"/>
        <v>0</v>
      </c>
      <c r="L139" s="10"/>
      <c r="M139" s="78"/>
      <c r="N139" s="78"/>
    </row>
    <row r="140" spans="1:14" x14ac:dyDescent="0.4">
      <c r="A140" s="106" t="s">
        <v>761</v>
      </c>
      <c r="B140" s="12" t="s">
        <v>760</v>
      </c>
      <c r="C140" s="97"/>
      <c r="D140" s="78"/>
      <c r="F140" s="78">
        <f>-E140-D140-C140</f>
        <v>0</v>
      </c>
      <c r="I140" s="79">
        <f t="shared" ref="I140:I147" si="11">SUM(C140:H140)</f>
        <v>0</v>
      </c>
      <c r="J140" s="78" t="s">
        <v>292</v>
      </c>
      <c r="K140" s="79">
        <f t="shared" si="5"/>
        <v>0</v>
      </c>
      <c r="L140" s="10"/>
      <c r="M140" s="78"/>
      <c r="N140" s="78"/>
    </row>
    <row r="141" spans="1:14" x14ac:dyDescent="0.4">
      <c r="A141" s="106" t="s">
        <v>598</v>
      </c>
      <c r="B141" s="12" t="s">
        <v>250</v>
      </c>
      <c r="C141" s="97"/>
      <c r="D141" s="78"/>
      <c r="I141" s="79">
        <f t="shared" si="11"/>
        <v>0</v>
      </c>
      <c r="J141" s="78" t="s">
        <v>292</v>
      </c>
      <c r="K141" s="79">
        <f t="shared" si="5"/>
        <v>0</v>
      </c>
      <c r="L141" s="10"/>
      <c r="M141" s="78"/>
      <c r="N141" s="78"/>
    </row>
    <row r="142" spans="1:14" x14ac:dyDescent="0.4">
      <c r="A142" s="69"/>
      <c r="B142" s="12" t="s">
        <v>260</v>
      </c>
      <c r="C142" s="97"/>
      <c r="D142" s="78"/>
      <c r="I142" s="79">
        <f t="shared" si="11"/>
        <v>0</v>
      </c>
      <c r="J142" s="78" t="s">
        <v>292</v>
      </c>
      <c r="K142" s="79">
        <f t="shared" si="5"/>
        <v>0</v>
      </c>
      <c r="L142" s="10"/>
      <c r="M142" s="78"/>
      <c r="N142" s="78"/>
    </row>
    <row r="143" spans="1:14" x14ac:dyDescent="0.4">
      <c r="A143" s="106" t="s">
        <v>599</v>
      </c>
      <c r="B143" s="12" t="s">
        <v>251</v>
      </c>
      <c r="C143" s="97"/>
      <c r="D143" s="78"/>
      <c r="I143" s="79">
        <f t="shared" si="11"/>
        <v>0</v>
      </c>
      <c r="J143" s="78" t="s">
        <v>292</v>
      </c>
      <c r="K143" s="79">
        <f t="shared" si="5"/>
        <v>0</v>
      </c>
      <c r="L143" s="10"/>
      <c r="M143" s="78"/>
      <c r="N143" s="78"/>
    </row>
    <row r="144" spans="1:14" x14ac:dyDescent="0.4">
      <c r="A144" s="106" t="s">
        <v>600</v>
      </c>
      <c r="B144" s="12" t="s">
        <v>252</v>
      </c>
      <c r="C144" s="97"/>
      <c r="D144" s="78"/>
      <c r="I144" s="79">
        <f t="shared" si="11"/>
        <v>0</v>
      </c>
      <c r="J144" s="78" t="s">
        <v>292</v>
      </c>
      <c r="K144" s="79">
        <f t="shared" ref="K144:K147" si="12">I144*1</f>
        <v>0</v>
      </c>
      <c r="L144" s="10"/>
      <c r="M144" s="78"/>
      <c r="N144" s="78"/>
    </row>
    <row r="145" spans="1:14" x14ac:dyDescent="0.4">
      <c r="A145" s="106" t="s">
        <v>601</v>
      </c>
      <c r="B145" s="12" t="s">
        <v>253</v>
      </c>
      <c r="C145" s="82"/>
      <c r="D145" s="78"/>
      <c r="I145" s="79">
        <f t="shared" si="11"/>
        <v>0</v>
      </c>
      <c r="J145" s="78" t="s">
        <v>292</v>
      </c>
      <c r="K145" s="79">
        <f t="shared" si="12"/>
        <v>0</v>
      </c>
      <c r="L145" s="10"/>
      <c r="M145" s="78"/>
      <c r="N145" s="78"/>
    </row>
    <row r="146" spans="1:14" x14ac:dyDescent="0.4">
      <c r="A146" s="106" t="s">
        <v>602</v>
      </c>
      <c r="B146" s="12" t="s">
        <v>258</v>
      </c>
      <c r="C146" s="72"/>
      <c r="D146" s="78"/>
      <c r="I146" s="79">
        <f t="shared" si="11"/>
        <v>0</v>
      </c>
      <c r="J146" s="78" t="s">
        <v>862</v>
      </c>
      <c r="K146" s="79">
        <f t="shared" si="12"/>
        <v>0</v>
      </c>
      <c r="L146" s="10"/>
      <c r="M146" s="78"/>
      <c r="N146" s="78"/>
    </row>
    <row r="147" spans="1:14" x14ac:dyDescent="0.4">
      <c r="A147" s="106" t="s">
        <v>615</v>
      </c>
      <c r="B147" s="12" t="s">
        <v>616</v>
      </c>
      <c r="C147" s="72"/>
      <c r="D147" s="78"/>
      <c r="I147" s="79">
        <f t="shared" si="11"/>
        <v>0</v>
      </c>
      <c r="J147" s="78" t="s">
        <v>292</v>
      </c>
      <c r="K147" s="79">
        <f t="shared" si="12"/>
        <v>0</v>
      </c>
      <c r="L147" s="10"/>
      <c r="M147" s="76"/>
      <c r="N147" s="78"/>
    </row>
    <row r="148" spans="1:14" x14ac:dyDescent="0.4">
      <c r="C148" s="109">
        <f t="shared" ref="C148:I148" si="13">SUM(C6:C147)</f>
        <v>0</v>
      </c>
      <c r="D148" s="109">
        <f t="shared" si="13"/>
        <v>0</v>
      </c>
      <c r="E148" s="110">
        <f t="shared" si="13"/>
        <v>0</v>
      </c>
      <c r="F148" s="109">
        <f t="shared" si="13"/>
        <v>0</v>
      </c>
      <c r="G148" s="109">
        <f t="shared" si="13"/>
        <v>0</v>
      </c>
      <c r="H148" s="109">
        <f t="shared" si="13"/>
        <v>0</v>
      </c>
      <c r="I148" s="109">
        <f t="shared" si="13"/>
        <v>0</v>
      </c>
      <c r="J148" s="111"/>
      <c r="K148" s="109">
        <f>SUM(K6:K147)</f>
        <v>0</v>
      </c>
      <c r="M148" s="76"/>
      <c r="N148" s="78"/>
    </row>
    <row r="149" spans="1:14" x14ac:dyDescent="0.4">
      <c r="C149" s="112"/>
      <c r="D149" s="113"/>
      <c r="M149" s="76"/>
      <c r="N149" s="78"/>
    </row>
    <row r="150" spans="1:14" x14ac:dyDescent="0.4">
      <c r="D150" s="113"/>
      <c r="M150" s="76"/>
      <c r="N150" s="78"/>
    </row>
    <row r="151" spans="1:14" x14ac:dyDescent="0.4">
      <c r="C151" s="112"/>
      <c r="D151" s="113"/>
      <c r="M151" s="76"/>
      <c r="N151" s="78"/>
    </row>
    <row r="152" spans="1:14" x14ac:dyDescent="0.4">
      <c r="C152" s="112"/>
      <c r="D152" s="113" t="s">
        <v>261</v>
      </c>
      <c r="M152" s="76"/>
      <c r="N152" s="78"/>
    </row>
    <row r="153" spans="1:14" x14ac:dyDescent="0.4">
      <c r="C153" s="112"/>
      <c r="D153" s="113" t="s">
        <v>261</v>
      </c>
      <c r="M153" s="76"/>
      <c r="N153" s="76"/>
    </row>
    <row r="154" spans="1:14" x14ac:dyDescent="0.4">
      <c r="C154" s="112"/>
      <c r="D154" s="113"/>
    </row>
    <row r="155" spans="1:14" x14ac:dyDescent="0.4">
      <c r="C155" s="112"/>
      <c r="D155" s="113"/>
    </row>
    <row r="156" spans="1:14" x14ac:dyDescent="0.4">
      <c r="C156" s="112"/>
      <c r="D156" s="113"/>
    </row>
    <row r="157" spans="1:14" x14ac:dyDescent="0.4">
      <c r="C157" s="112"/>
      <c r="D157" s="113"/>
    </row>
    <row r="158" spans="1:14" x14ac:dyDescent="0.4">
      <c r="C158" s="112"/>
      <c r="D158" s="113"/>
      <c r="F158" s="10"/>
      <c r="G158" s="10"/>
      <c r="H158" s="10"/>
    </row>
  </sheetData>
  <pageMargins left="0.7" right="0.7" top="0.75" bottom="0.75" header="0.3" footer="0.3"/>
  <pageSetup orientation="portrait"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42"/>
  <sheetViews>
    <sheetView workbookViewId="0">
      <pane xSplit="2" ySplit="5" topLeftCell="K6" activePane="bottomRight" state="frozen"/>
      <selection pane="topRight" activeCell="C1" sqref="C1"/>
      <selection pane="bottomLeft" activeCell="A9" sqref="A9"/>
      <selection pane="bottomRight" activeCell="Q22" sqref="Q22"/>
    </sheetView>
  </sheetViews>
  <sheetFormatPr defaultColWidth="9.05859375" defaultRowHeight="12.7" outlineLevelCol="1" x14ac:dyDescent="0.4"/>
  <cols>
    <col min="1" max="1" width="11.05859375" style="76" customWidth="1"/>
    <col min="2" max="2" width="30" style="76" bestFit="1" customWidth="1"/>
    <col min="3" max="4" width="13.52734375" style="78" hidden="1" customWidth="1" outlineLevel="1"/>
    <col min="5" max="5" width="13.05859375" style="78" hidden="1" customWidth="1" outlineLevel="1"/>
    <col min="6" max="6" width="11" style="78" hidden="1" customWidth="1" outlineLevel="1"/>
    <col min="7" max="7" width="13.52734375" style="78" hidden="1" customWidth="1" outlineLevel="1"/>
    <col min="8" max="8" width="11.64453125" style="78" hidden="1" customWidth="1" outlineLevel="1"/>
    <col min="9" max="9" width="14.87890625" style="79" hidden="1" customWidth="1" outlineLevel="1"/>
    <col min="10" max="10" width="20.64453125" style="78" hidden="1" customWidth="1" outlineLevel="1"/>
    <col min="11" max="11" width="13.52734375" style="79" customWidth="1" collapsed="1"/>
    <col min="12" max="12" width="9.05859375" style="78" customWidth="1"/>
    <col min="13" max="13" width="11" style="76" customWidth="1"/>
    <col min="14" max="14" width="17.8203125" style="76" customWidth="1"/>
    <col min="15" max="15" width="10.703125" style="78" customWidth="1"/>
    <col min="16" max="16384" width="9.05859375" style="76"/>
  </cols>
  <sheetData>
    <row r="1" spans="1:15" x14ac:dyDescent="0.4">
      <c r="A1" s="75" t="s">
        <v>0</v>
      </c>
    </row>
    <row r="2" spans="1:15" x14ac:dyDescent="0.4">
      <c r="A2" s="75" t="s">
        <v>482</v>
      </c>
    </row>
    <row r="3" spans="1:15" x14ac:dyDescent="0.4">
      <c r="A3" s="3">
        <v>43343</v>
      </c>
      <c r="F3" s="14" t="s">
        <v>261</v>
      </c>
      <c r="G3" s="14"/>
      <c r="H3" s="14"/>
      <c r="I3" s="19"/>
      <c r="J3" s="15"/>
    </row>
    <row r="4" spans="1:15" x14ac:dyDescent="0.4">
      <c r="B4" s="5" t="s">
        <v>261</v>
      </c>
    </row>
    <row r="5" spans="1:15" x14ac:dyDescent="0.4">
      <c r="A5" s="76" t="s">
        <v>484</v>
      </c>
      <c r="B5" s="68" t="s">
        <v>279</v>
      </c>
      <c r="C5" s="15" t="s">
        <v>0</v>
      </c>
      <c r="D5" s="15" t="s">
        <v>2</v>
      </c>
      <c r="E5" s="15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8" t="s">
        <v>280</v>
      </c>
      <c r="K5" s="19" t="s">
        <v>281</v>
      </c>
      <c r="N5" s="416" t="s">
        <v>282</v>
      </c>
      <c r="O5" s="416" t="s">
        <v>284</v>
      </c>
    </row>
    <row r="6" spans="1:15" ht="14.35" x14ac:dyDescent="0.5">
      <c r="A6" s="68" t="s">
        <v>305</v>
      </c>
      <c r="B6" s="68" t="s">
        <v>5</v>
      </c>
      <c r="C6" s="82"/>
      <c r="D6" s="80"/>
      <c r="E6" s="80"/>
      <c r="I6" s="79">
        <f>SUM(C6:H6)</f>
        <v>0</v>
      </c>
      <c r="J6" s="78" t="s">
        <v>264</v>
      </c>
      <c r="K6" s="79">
        <f>I6</f>
        <v>0</v>
      </c>
      <c r="N6" s="417" t="s">
        <v>264</v>
      </c>
      <c r="O6" s="418">
        <v>0</v>
      </c>
    </row>
    <row r="7" spans="1:15" ht="14.35" x14ac:dyDescent="0.5">
      <c r="A7" s="68" t="s">
        <v>306</v>
      </c>
      <c r="B7" s="68" t="s">
        <v>6</v>
      </c>
      <c r="C7" s="82"/>
      <c r="D7" s="80"/>
      <c r="E7" s="80"/>
      <c r="I7" s="79">
        <f t="shared" ref="I7:I72" si="0">SUM(C7:H7)</f>
        <v>0</v>
      </c>
      <c r="J7" s="78" t="s">
        <v>264</v>
      </c>
      <c r="K7" s="79">
        <f t="shared" ref="K7:K72" si="1">I7</f>
        <v>0</v>
      </c>
      <c r="N7" s="417" t="s">
        <v>265</v>
      </c>
      <c r="O7" s="418">
        <v>0</v>
      </c>
    </row>
    <row r="8" spans="1:15" ht="14.35" x14ac:dyDescent="0.5">
      <c r="A8" s="68" t="s">
        <v>668</v>
      </c>
      <c r="B8" s="68" t="s">
        <v>250</v>
      </c>
      <c r="C8" s="82"/>
      <c r="D8" s="80"/>
      <c r="E8" s="80"/>
      <c r="I8" s="79">
        <f t="shared" si="0"/>
        <v>0</v>
      </c>
      <c r="J8" s="78" t="s">
        <v>264</v>
      </c>
      <c r="K8" s="79">
        <f t="shared" si="1"/>
        <v>0</v>
      </c>
      <c r="N8" s="417" t="s">
        <v>268</v>
      </c>
      <c r="O8" s="418">
        <v>0</v>
      </c>
    </row>
    <row r="9" spans="1:15" ht="14.35" x14ac:dyDescent="0.5">
      <c r="A9" s="100" t="s">
        <v>786</v>
      </c>
      <c r="B9" s="100" t="s">
        <v>787</v>
      </c>
      <c r="C9" s="82"/>
      <c r="D9" s="80"/>
      <c r="E9" s="80"/>
      <c r="I9" s="79">
        <f t="shared" si="0"/>
        <v>0</v>
      </c>
      <c r="J9" s="78" t="s">
        <v>264</v>
      </c>
      <c r="K9" s="79">
        <f t="shared" si="1"/>
        <v>0</v>
      </c>
      <c r="N9" s="417" t="s">
        <v>271</v>
      </c>
      <c r="O9" s="418">
        <v>0</v>
      </c>
    </row>
    <row r="10" spans="1:15" ht="14.35" x14ac:dyDescent="0.5">
      <c r="A10" s="68" t="s">
        <v>307</v>
      </c>
      <c r="B10" s="68" t="s">
        <v>7</v>
      </c>
      <c r="C10" s="82"/>
      <c r="D10" s="80"/>
      <c r="E10" s="80"/>
      <c r="I10" s="79">
        <f t="shared" si="0"/>
        <v>0</v>
      </c>
      <c r="J10" s="78" t="s">
        <v>264</v>
      </c>
      <c r="K10" s="79">
        <f t="shared" si="1"/>
        <v>0</v>
      </c>
      <c r="N10" s="417" t="s">
        <v>266</v>
      </c>
      <c r="O10" s="418">
        <v>0</v>
      </c>
    </row>
    <row r="11" spans="1:15" ht="14.35" x14ac:dyDescent="0.5">
      <c r="A11" s="69"/>
      <c r="B11" s="68" t="s">
        <v>781</v>
      </c>
      <c r="C11" s="82"/>
      <c r="E11" s="80"/>
      <c r="I11" s="79">
        <f t="shared" si="0"/>
        <v>0</v>
      </c>
      <c r="J11" s="78" t="s">
        <v>264</v>
      </c>
      <c r="K11" s="79">
        <f t="shared" si="1"/>
        <v>0</v>
      </c>
      <c r="N11" s="417" t="s">
        <v>270</v>
      </c>
      <c r="O11" s="418">
        <v>0</v>
      </c>
    </row>
    <row r="12" spans="1:15" ht="14.35" x14ac:dyDescent="0.5">
      <c r="A12" s="68" t="s">
        <v>669</v>
      </c>
      <c r="B12" s="100" t="s">
        <v>670</v>
      </c>
      <c r="C12" s="82"/>
      <c r="D12" s="80"/>
      <c r="E12" s="80"/>
      <c r="I12" s="79">
        <f t="shared" si="0"/>
        <v>0</v>
      </c>
      <c r="J12" s="78" t="s">
        <v>264</v>
      </c>
      <c r="K12" s="79">
        <f t="shared" si="1"/>
        <v>0</v>
      </c>
      <c r="N12" s="417" t="s">
        <v>269</v>
      </c>
      <c r="O12" s="418">
        <v>0</v>
      </c>
    </row>
    <row r="13" spans="1:15" ht="14.35" x14ac:dyDescent="0.5">
      <c r="A13" s="68" t="s">
        <v>308</v>
      </c>
      <c r="B13" s="100" t="s">
        <v>671</v>
      </c>
      <c r="C13" s="82"/>
      <c r="D13" s="80"/>
      <c r="E13" s="80"/>
      <c r="I13" s="79">
        <f t="shared" si="0"/>
        <v>0</v>
      </c>
      <c r="J13" s="78" t="s">
        <v>264</v>
      </c>
      <c r="K13" s="79">
        <f t="shared" si="1"/>
        <v>0</v>
      </c>
      <c r="N13" s="417" t="s">
        <v>272</v>
      </c>
      <c r="O13" s="418">
        <v>0</v>
      </c>
    </row>
    <row r="14" spans="1:15" ht="14.35" x14ac:dyDescent="0.5">
      <c r="A14" s="68" t="s">
        <v>683</v>
      </c>
      <c r="B14" s="100" t="s">
        <v>682</v>
      </c>
      <c r="C14" s="82"/>
      <c r="D14" s="80"/>
      <c r="E14" s="80"/>
      <c r="I14" s="79">
        <f t="shared" si="0"/>
        <v>0</v>
      </c>
      <c r="J14" s="78" t="s">
        <v>264</v>
      </c>
      <c r="K14" s="79">
        <f t="shared" si="1"/>
        <v>0</v>
      </c>
      <c r="N14" s="417" t="s">
        <v>273</v>
      </c>
      <c r="O14" s="418">
        <v>0</v>
      </c>
    </row>
    <row r="15" spans="1:15" ht="14.35" x14ac:dyDescent="0.5">
      <c r="A15" s="68" t="s">
        <v>309</v>
      </c>
      <c r="B15" s="100" t="s">
        <v>672</v>
      </c>
      <c r="C15" s="82"/>
      <c r="D15" s="80"/>
      <c r="E15" s="80"/>
      <c r="I15" s="79">
        <f t="shared" si="0"/>
        <v>0</v>
      </c>
      <c r="J15" s="78" t="s">
        <v>264</v>
      </c>
      <c r="K15" s="79">
        <f t="shared" si="1"/>
        <v>0</v>
      </c>
      <c r="N15" s="417" t="s">
        <v>274</v>
      </c>
      <c r="O15" s="418">
        <v>0</v>
      </c>
    </row>
    <row r="16" spans="1:15" ht="14.35" x14ac:dyDescent="0.5">
      <c r="A16" s="68" t="s">
        <v>310</v>
      </c>
      <c r="B16" s="100" t="s">
        <v>673</v>
      </c>
      <c r="C16" s="82"/>
      <c r="E16" s="80"/>
      <c r="I16" s="79">
        <f t="shared" si="0"/>
        <v>0</v>
      </c>
      <c r="J16" s="78" t="s">
        <v>264</v>
      </c>
      <c r="K16" s="79">
        <f t="shared" si="1"/>
        <v>0</v>
      </c>
      <c r="N16" s="417" t="s">
        <v>275</v>
      </c>
      <c r="O16" s="418">
        <v>0</v>
      </c>
    </row>
    <row r="17" spans="1:15" ht="14.35" x14ac:dyDescent="0.5">
      <c r="A17" s="68" t="s">
        <v>684</v>
      </c>
      <c r="B17" s="100" t="s">
        <v>685</v>
      </c>
      <c r="C17" s="82"/>
      <c r="D17" s="80"/>
      <c r="E17" s="80"/>
      <c r="I17" s="79">
        <f t="shared" si="0"/>
        <v>0</v>
      </c>
      <c r="J17" s="78" t="s">
        <v>264</v>
      </c>
      <c r="K17" s="79">
        <f t="shared" si="1"/>
        <v>0</v>
      </c>
      <c r="N17" s="417" t="s">
        <v>276</v>
      </c>
      <c r="O17" s="418">
        <v>0</v>
      </c>
    </row>
    <row r="18" spans="1:15" ht="14.35" x14ac:dyDescent="0.5">
      <c r="A18" s="68" t="s">
        <v>311</v>
      </c>
      <c r="B18" s="68" t="s">
        <v>8</v>
      </c>
      <c r="C18" s="82"/>
      <c r="D18" s="80"/>
      <c r="E18" s="80"/>
      <c r="I18" s="79">
        <f t="shared" si="0"/>
        <v>0</v>
      </c>
      <c r="J18" s="78" t="s">
        <v>265</v>
      </c>
      <c r="K18" s="79">
        <f t="shared" si="1"/>
        <v>0</v>
      </c>
      <c r="N18" s="417" t="s">
        <v>277</v>
      </c>
      <c r="O18" s="418">
        <v>0</v>
      </c>
    </row>
    <row r="19" spans="1:15" ht="14.35" x14ac:dyDescent="0.5">
      <c r="A19" s="68" t="s">
        <v>312</v>
      </c>
      <c r="B19" s="68" t="s">
        <v>9</v>
      </c>
      <c r="C19" s="82"/>
      <c r="D19" s="80"/>
      <c r="E19" s="80"/>
      <c r="I19" s="79">
        <f t="shared" si="0"/>
        <v>0</v>
      </c>
      <c r="J19" s="78" t="s">
        <v>265</v>
      </c>
      <c r="K19" s="79">
        <f t="shared" si="1"/>
        <v>0</v>
      </c>
      <c r="N19" s="417" t="s">
        <v>278</v>
      </c>
      <c r="O19" s="418">
        <v>0</v>
      </c>
    </row>
    <row r="20" spans="1:15" ht="14.35" x14ac:dyDescent="0.5">
      <c r="A20" s="68" t="s">
        <v>313</v>
      </c>
      <c r="B20" s="68" t="s">
        <v>10</v>
      </c>
      <c r="C20" s="82"/>
      <c r="D20" s="80"/>
      <c r="E20" s="80"/>
      <c r="I20" s="79">
        <f t="shared" si="0"/>
        <v>0</v>
      </c>
      <c r="J20" s="78" t="s">
        <v>265</v>
      </c>
      <c r="K20" s="79">
        <f t="shared" si="1"/>
        <v>0</v>
      </c>
      <c r="N20" s="417" t="s">
        <v>267</v>
      </c>
      <c r="O20" s="418">
        <v>0</v>
      </c>
    </row>
    <row r="21" spans="1:15" ht="14.35" x14ac:dyDescent="0.5">
      <c r="A21" s="68" t="s">
        <v>314</v>
      </c>
      <c r="B21" s="68" t="s">
        <v>11</v>
      </c>
      <c r="C21" s="82"/>
      <c r="D21" s="80"/>
      <c r="E21" s="80"/>
      <c r="I21" s="79">
        <f t="shared" si="0"/>
        <v>0</v>
      </c>
      <c r="J21" s="78" t="s">
        <v>265</v>
      </c>
      <c r="K21" s="79">
        <f t="shared" si="1"/>
        <v>0</v>
      </c>
      <c r="N21" s="417" t="s">
        <v>861</v>
      </c>
      <c r="O21" s="418">
        <v>0</v>
      </c>
    </row>
    <row r="22" spans="1:15" ht="14.35" x14ac:dyDescent="0.5">
      <c r="A22" s="68" t="s">
        <v>315</v>
      </c>
      <c r="B22" s="68" t="s">
        <v>12</v>
      </c>
      <c r="C22" s="82"/>
      <c r="D22" s="80"/>
      <c r="E22" s="80"/>
      <c r="I22" s="79">
        <f t="shared" si="0"/>
        <v>0</v>
      </c>
      <c r="J22" s="78" t="s">
        <v>265</v>
      </c>
      <c r="K22" s="79">
        <f t="shared" si="1"/>
        <v>0</v>
      </c>
      <c r="N22" s="417" t="s">
        <v>650</v>
      </c>
      <c r="O22" s="418">
        <v>0</v>
      </c>
    </row>
    <row r="23" spans="1:15" ht="14.35" x14ac:dyDescent="0.5">
      <c r="A23" s="100" t="s">
        <v>696</v>
      </c>
      <c r="B23" s="100" t="s">
        <v>697</v>
      </c>
      <c r="C23" s="82"/>
      <c r="D23" s="80"/>
      <c r="E23" s="80"/>
      <c r="I23" s="79">
        <f t="shared" si="0"/>
        <v>0</v>
      </c>
      <c r="J23" s="78" t="s">
        <v>265</v>
      </c>
      <c r="K23" s="79">
        <f t="shared" si="1"/>
        <v>0</v>
      </c>
      <c r="N23" s="417" t="s">
        <v>858</v>
      </c>
      <c r="O23" s="418">
        <v>0</v>
      </c>
    </row>
    <row r="24" spans="1:15" ht="14.35" x14ac:dyDescent="0.5">
      <c r="A24" s="68" t="s">
        <v>316</v>
      </c>
      <c r="B24" s="68" t="s">
        <v>13</v>
      </c>
      <c r="C24" s="82"/>
      <c r="E24" s="80"/>
      <c r="I24" s="79">
        <f t="shared" si="0"/>
        <v>0</v>
      </c>
      <c r="J24" s="78" t="s">
        <v>265</v>
      </c>
      <c r="K24" s="79">
        <f t="shared" si="1"/>
        <v>0</v>
      </c>
      <c r="N24" s="417" t="s">
        <v>859</v>
      </c>
      <c r="O24" s="418">
        <v>0</v>
      </c>
    </row>
    <row r="25" spans="1:15" ht="14.35" x14ac:dyDescent="0.5">
      <c r="A25" s="68" t="s">
        <v>317</v>
      </c>
      <c r="B25" s="68" t="s">
        <v>14</v>
      </c>
      <c r="C25" s="82"/>
      <c r="D25" s="80"/>
      <c r="E25" s="80"/>
      <c r="I25" s="79">
        <f t="shared" si="0"/>
        <v>0</v>
      </c>
      <c r="J25" s="78" t="s">
        <v>265</v>
      </c>
      <c r="K25" s="79">
        <f t="shared" si="1"/>
        <v>0</v>
      </c>
      <c r="N25" s="417" t="s">
        <v>860</v>
      </c>
      <c r="O25" s="418">
        <v>0</v>
      </c>
    </row>
    <row r="26" spans="1:15" ht="14.35" x14ac:dyDescent="0.5">
      <c r="A26" s="68" t="s">
        <v>318</v>
      </c>
      <c r="B26" s="68" t="s">
        <v>15</v>
      </c>
      <c r="C26" s="82"/>
      <c r="D26" s="80"/>
      <c r="E26" s="80"/>
      <c r="I26" s="79">
        <f t="shared" si="0"/>
        <v>0</v>
      </c>
      <c r="J26" s="78" t="s">
        <v>271</v>
      </c>
      <c r="K26" s="79">
        <f t="shared" si="1"/>
        <v>0</v>
      </c>
      <c r="N26" s="417" t="s">
        <v>283</v>
      </c>
      <c r="O26" s="418">
        <v>0</v>
      </c>
    </row>
    <row r="27" spans="1:15" ht="14.35" x14ac:dyDescent="0.5">
      <c r="A27" s="68" t="s">
        <v>617</v>
      </c>
      <c r="B27" s="68" t="s">
        <v>618</v>
      </c>
      <c r="C27" s="82"/>
      <c r="D27" s="80"/>
      <c r="E27" s="80"/>
      <c r="I27" s="79">
        <f t="shared" si="0"/>
        <v>0</v>
      </c>
      <c r="J27" s="78" t="s">
        <v>858</v>
      </c>
      <c r="K27" s="79">
        <f t="shared" si="1"/>
        <v>0</v>
      </c>
      <c r="N27"/>
      <c r="O27"/>
    </row>
    <row r="28" spans="1:15" ht="14.35" x14ac:dyDescent="0.5">
      <c r="A28" s="69"/>
      <c r="B28" s="68" t="s">
        <v>614</v>
      </c>
      <c r="C28" s="82"/>
      <c r="E28" s="80"/>
      <c r="I28" s="79">
        <f t="shared" si="0"/>
        <v>0</v>
      </c>
      <c r="J28" s="78" t="s">
        <v>650</v>
      </c>
      <c r="K28" s="79">
        <f t="shared" si="1"/>
        <v>0</v>
      </c>
    </row>
    <row r="29" spans="1:15" ht="14.35" x14ac:dyDescent="0.5">
      <c r="A29" s="68" t="s">
        <v>319</v>
      </c>
      <c r="B29" s="68" t="s">
        <v>16</v>
      </c>
      <c r="C29" s="82"/>
      <c r="D29" s="80"/>
      <c r="E29" s="80"/>
      <c r="I29" s="79">
        <f t="shared" si="0"/>
        <v>0</v>
      </c>
      <c r="J29" s="78" t="s">
        <v>271</v>
      </c>
      <c r="K29" s="79">
        <f t="shared" si="1"/>
        <v>0</v>
      </c>
    </row>
    <row r="30" spans="1:15" ht="14.35" x14ac:dyDescent="0.5">
      <c r="A30" s="26" t="s">
        <v>652</v>
      </c>
      <c r="B30" s="26" t="s">
        <v>653</v>
      </c>
      <c r="C30" s="82"/>
      <c r="D30" s="80"/>
      <c r="E30" s="80"/>
      <c r="I30" s="79">
        <f t="shared" si="0"/>
        <v>0</v>
      </c>
      <c r="J30" s="78" t="s">
        <v>271</v>
      </c>
      <c r="K30" s="79">
        <f t="shared" si="1"/>
        <v>0</v>
      </c>
    </row>
    <row r="31" spans="1:15" ht="14.35" x14ac:dyDescent="0.5">
      <c r="A31" s="68" t="s">
        <v>320</v>
      </c>
      <c r="B31" s="68" t="s">
        <v>17</v>
      </c>
      <c r="C31" s="82"/>
      <c r="D31" s="80"/>
      <c r="E31" s="80"/>
      <c r="I31" s="79">
        <f t="shared" si="0"/>
        <v>0</v>
      </c>
      <c r="J31" s="78" t="s">
        <v>650</v>
      </c>
      <c r="K31" s="79">
        <f t="shared" si="1"/>
        <v>0</v>
      </c>
    </row>
    <row r="32" spans="1:15" ht="14.35" x14ac:dyDescent="0.5">
      <c r="A32" s="68" t="s">
        <v>321</v>
      </c>
      <c r="B32" s="68" t="s">
        <v>18</v>
      </c>
      <c r="C32" s="82"/>
      <c r="D32" s="80"/>
      <c r="E32" s="80"/>
      <c r="I32" s="79">
        <f t="shared" si="0"/>
        <v>0</v>
      </c>
      <c r="J32" s="78" t="s">
        <v>650</v>
      </c>
      <c r="K32" s="79">
        <f t="shared" si="1"/>
        <v>0</v>
      </c>
    </row>
    <row r="33" spans="1:13" ht="14.35" x14ac:dyDescent="0.5">
      <c r="A33" s="68" t="s">
        <v>322</v>
      </c>
      <c r="B33" s="68" t="s">
        <v>19</v>
      </c>
      <c r="C33" s="82"/>
      <c r="D33" s="80"/>
      <c r="E33" s="80"/>
      <c r="I33" s="79">
        <f t="shared" si="0"/>
        <v>0</v>
      </c>
      <c r="J33" s="78" t="s">
        <v>268</v>
      </c>
      <c r="K33" s="79">
        <f t="shared" si="1"/>
        <v>0</v>
      </c>
    </row>
    <row r="34" spans="1:13" ht="14.35" x14ac:dyDescent="0.5">
      <c r="A34" s="68" t="s">
        <v>323</v>
      </c>
      <c r="B34" s="68" t="s">
        <v>20</v>
      </c>
      <c r="C34" s="82"/>
      <c r="D34" s="80"/>
      <c r="E34" s="80"/>
      <c r="I34" s="79">
        <f t="shared" si="0"/>
        <v>0</v>
      </c>
      <c r="J34" s="78" t="s">
        <v>268</v>
      </c>
      <c r="K34" s="79">
        <f t="shared" si="1"/>
        <v>0</v>
      </c>
      <c r="M34" s="77"/>
    </row>
    <row r="35" spans="1:13" ht="14.35" x14ac:dyDescent="0.5">
      <c r="A35" s="100" t="s">
        <v>812</v>
      </c>
      <c r="B35" s="100" t="s">
        <v>813</v>
      </c>
      <c r="C35" s="82"/>
      <c r="D35" s="80"/>
      <c r="E35" s="80"/>
      <c r="I35" s="79">
        <f t="shared" si="0"/>
        <v>0</v>
      </c>
      <c r="J35" s="78" t="s">
        <v>268</v>
      </c>
      <c r="K35" s="79">
        <f t="shared" si="1"/>
        <v>0</v>
      </c>
    </row>
    <row r="36" spans="1:13" ht="14.35" x14ac:dyDescent="0.5">
      <c r="A36" s="68" t="s">
        <v>324</v>
      </c>
      <c r="B36" s="68" t="s">
        <v>21</v>
      </c>
      <c r="C36" s="82"/>
      <c r="D36" s="80"/>
      <c r="E36" s="80"/>
      <c r="I36" s="79">
        <f t="shared" si="0"/>
        <v>0</v>
      </c>
      <c r="J36" s="78" t="s">
        <v>266</v>
      </c>
      <c r="K36" s="79">
        <f t="shared" si="1"/>
        <v>0</v>
      </c>
    </row>
    <row r="37" spans="1:13" ht="14.35" x14ac:dyDescent="0.5">
      <c r="A37" s="100" t="s">
        <v>801</v>
      </c>
      <c r="B37" s="100" t="s">
        <v>802</v>
      </c>
      <c r="C37" s="82"/>
      <c r="D37" s="80"/>
      <c r="E37" s="80"/>
      <c r="I37" s="79">
        <f t="shared" si="0"/>
        <v>0</v>
      </c>
      <c r="J37" s="78" t="s">
        <v>650</v>
      </c>
      <c r="K37" s="79">
        <f t="shared" si="1"/>
        <v>0</v>
      </c>
    </row>
    <row r="38" spans="1:13" ht="14.35" x14ac:dyDescent="0.5">
      <c r="A38" s="68" t="s">
        <v>609</v>
      </c>
      <c r="B38" s="68" t="s">
        <v>608</v>
      </c>
      <c r="C38" s="82"/>
      <c r="D38" s="80"/>
      <c r="E38" s="80"/>
      <c r="I38" s="79">
        <f t="shared" si="0"/>
        <v>0</v>
      </c>
      <c r="J38" s="78" t="s">
        <v>266</v>
      </c>
      <c r="K38" s="79">
        <f t="shared" si="1"/>
        <v>0</v>
      </c>
    </row>
    <row r="39" spans="1:13" ht="14.35" x14ac:dyDescent="0.5">
      <c r="A39" s="69"/>
      <c r="B39" s="68" t="s">
        <v>604</v>
      </c>
      <c r="C39" s="82"/>
      <c r="D39" s="79"/>
      <c r="E39" s="104"/>
      <c r="F39" s="79"/>
      <c r="G39" s="79"/>
      <c r="H39" s="79">
        <f>-D39</f>
        <v>0</v>
      </c>
      <c r="I39" s="79">
        <f t="shared" si="0"/>
        <v>0</v>
      </c>
      <c r="J39" s="79" t="s">
        <v>266</v>
      </c>
      <c r="K39" s="79">
        <f t="shared" si="1"/>
        <v>0</v>
      </c>
    </row>
    <row r="40" spans="1:13" ht="14.35" x14ac:dyDescent="0.5">
      <c r="A40" s="68" t="s">
        <v>325</v>
      </c>
      <c r="B40" s="68" t="s">
        <v>23</v>
      </c>
      <c r="C40" s="82"/>
      <c r="E40" s="80"/>
      <c r="I40" s="79">
        <f t="shared" si="0"/>
        <v>0</v>
      </c>
      <c r="J40" s="78" t="s">
        <v>266</v>
      </c>
      <c r="K40" s="79">
        <f t="shared" si="1"/>
        <v>0</v>
      </c>
    </row>
    <row r="41" spans="1:13" ht="14.35" x14ac:dyDescent="0.5">
      <c r="A41" s="68" t="s">
        <v>326</v>
      </c>
      <c r="B41" s="68" t="s">
        <v>24</v>
      </c>
      <c r="C41" s="82"/>
      <c r="D41" s="80"/>
      <c r="E41" s="80"/>
      <c r="H41" s="78">
        <f>-H39</f>
        <v>0</v>
      </c>
      <c r="I41" s="79">
        <f t="shared" si="0"/>
        <v>0</v>
      </c>
      <c r="J41" s="78" t="s">
        <v>266</v>
      </c>
      <c r="K41" s="79">
        <f t="shared" si="1"/>
        <v>0</v>
      </c>
    </row>
    <row r="42" spans="1:13" ht="14.35" x14ac:dyDescent="0.5">
      <c r="A42" s="68" t="s">
        <v>327</v>
      </c>
      <c r="B42" s="68" t="s">
        <v>25</v>
      </c>
      <c r="C42" s="82"/>
      <c r="D42" s="80"/>
      <c r="E42" s="80"/>
      <c r="I42" s="79">
        <f t="shared" si="0"/>
        <v>0</v>
      </c>
      <c r="J42" s="78" t="s">
        <v>266</v>
      </c>
      <c r="K42" s="79">
        <f t="shared" si="1"/>
        <v>0</v>
      </c>
    </row>
    <row r="43" spans="1:13" ht="14.35" x14ac:dyDescent="0.5">
      <c r="A43" s="68" t="s">
        <v>328</v>
      </c>
      <c r="B43" s="68" t="s">
        <v>26</v>
      </c>
      <c r="C43" s="82"/>
      <c r="E43" s="80"/>
      <c r="I43" s="79">
        <f t="shared" si="0"/>
        <v>0</v>
      </c>
      <c r="J43" s="78" t="s">
        <v>266</v>
      </c>
      <c r="K43" s="79">
        <f t="shared" si="1"/>
        <v>0</v>
      </c>
    </row>
    <row r="44" spans="1:13" ht="14.35" x14ac:dyDescent="0.5">
      <c r="A44" s="68" t="s">
        <v>329</v>
      </c>
      <c r="B44" s="68" t="s">
        <v>27</v>
      </c>
      <c r="C44" s="82"/>
      <c r="E44" s="80"/>
      <c r="I44" s="79">
        <f t="shared" si="0"/>
        <v>0</v>
      </c>
      <c r="J44" s="78" t="s">
        <v>266</v>
      </c>
      <c r="K44" s="79">
        <f t="shared" si="1"/>
        <v>0</v>
      </c>
    </row>
    <row r="45" spans="1:13" ht="14.35" x14ac:dyDescent="0.5">
      <c r="A45" s="68" t="s">
        <v>330</v>
      </c>
      <c r="B45" s="68" t="s">
        <v>28</v>
      </c>
      <c r="C45" s="82"/>
      <c r="E45" s="80"/>
      <c r="I45" s="79">
        <f t="shared" si="0"/>
        <v>0</v>
      </c>
      <c r="J45" s="78" t="s">
        <v>266</v>
      </c>
      <c r="K45" s="79">
        <f t="shared" si="1"/>
        <v>0</v>
      </c>
    </row>
    <row r="46" spans="1:13" ht="14.35" x14ac:dyDescent="0.5">
      <c r="A46" s="68" t="s">
        <v>331</v>
      </c>
      <c r="B46" s="68" t="s">
        <v>29</v>
      </c>
      <c r="C46" s="82"/>
      <c r="E46" s="80"/>
      <c r="I46" s="79">
        <f t="shared" si="0"/>
        <v>0</v>
      </c>
      <c r="J46" s="78" t="s">
        <v>266</v>
      </c>
      <c r="K46" s="79">
        <f t="shared" si="1"/>
        <v>0</v>
      </c>
    </row>
    <row r="47" spans="1:13" ht="14.35" x14ac:dyDescent="0.5">
      <c r="A47" s="68" t="s">
        <v>332</v>
      </c>
      <c r="B47" s="68" t="s">
        <v>30</v>
      </c>
      <c r="C47" s="82"/>
      <c r="D47" s="80"/>
      <c r="E47" s="80"/>
      <c r="I47" s="79">
        <f t="shared" si="0"/>
        <v>0</v>
      </c>
      <c r="J47" s="78" t="s">
        <v>266</v>
      </c>
      <c r="K47" s="79">
        <f t="shared" si="1"/>
        <v>0</v>
      </c>
    </row>
    <row r="48" spans="1:13" ht="14.35" x14ac:dyDescent="0.5">
      <c r="A48" s="68" t="s">
        <v>333</v>
      </c>
      <c r="B48" s="68" t="s">
        <v>31</v>
      </c>
      <c r="C48" s="82"/>
      <c r="D48" s="80"/>
      <c r="E48" s="80"/>
      <c r="I48" s="79">
        <f t="shared" si="0"/>
        <v>0</v>
      </c>
      <c r="J48" s="78" t="s">
        <v>266</v>
      </c>
      <c r="K48" s="79">
        <f t="shared" si="1"/>
        <v>0</v>
      </c>
    </row>
    <row r="49" spans="1:11" ht="14.35" x14ac:dyDescent="0.5">
      <c r="A49" s="68" t="s">
        <v>334</v>
      </c>
      <c r="B49" s="68" t="s">
        <v>32</v>
      </c>
      <c r="C49" s="82"/>
      <c r="D49" s="80"/>
      <c r="E49" s="80"/>
      <c r="I49" s="79">
        <f t="shared" si="0"/>
        <v>0</v>
      </c>
      <c r="J49" s="78" t="s">
        <v>266</v>
      </c>
      <c r="K49" s="79">
        <f t="shared" si="1"/>
        <v>0</v>
      </c>
    </row>
    <row r="50" spans="1:11" ht="14.35" x14ac:dyDescent="0.5">
      <c r="A50" s="68" t="s">
        <v>335</v>
      </c>
      <c r="B50" s="68" t="s">
        <v>33</v>
      </c>
      <c r="C50" s="82"/>
      <c r="E50" s="80"/>
      <c r="I50" s="79">
        <f t="shared" si="0"/>
        <v>0</v>
      </c>
      <c r="J50" s="78" t="s">
        <v>266</v>
      </c>
      <c r="K50" s="79">
        <f t="shared" si="1"/>
        <v>0</v>
      </c>
    </row>
    <row r="51" spans="1:11" ht="14.35" x14ac:dyDescent="0.5">
      <c r="A51" s="68" t="s">
        <v>336</v>
      </c>
      <c r="B51" s="68" t="s">
        <v>34</v>
      </c>
      <c r="C51" s="82"/>
      <c r="E51" s="80"/>
      <c r="I51" s="79">
        <f t="shared" si="0"/>
        <v>0</v>
      </c>
      <c r="J51" s="78" t="s">
        <v>269</v>
      </c>
      <c r="K51" s="79">
        <f t="shared" si="1"/>
        <v>0</v>
      </c>
    </row>
    <row r="52" spans="1:11" ht="14.35" x14ac:dyDescent="0.5">
      <c r="A52" s="68" t="s">
        <v>337</v>
      </c>
      <c r="B52" s="68" t="s">
        <v>35</v>
      </c>
      <c r="C52" s="82"/>
      <c r="D52" s="80"/>
      <c r="E52" s="80"/>
      <c r="I52" s="79">
        <f t="shared" si="0"/>
        <v>0</v>
      </c>
      <c r="J52" s="78" t="s">
        <v>266</v>
      </c>
      <c r="K52" s="79">
        <f t="shared" si="1"/>
        <v>0</v>
      </c>
    </row>
    <row r="53" spans="1:11" ht="14.35" x14ac:dyDescent="0.5">
      <c r="A53" s="69" t="s">
        <v>768</v>
      </c>
      <c r="B53" s="68" t="s">
        <v>36</v>
      </c>
      <c r="C53" s="82"/>
      <c r="D53" s="80"/>
      <c r="I53" s="79">
        <f t="shared" si="0"/>
        <v>0</v>
      </c>
      <c r="J53" s="78" t="s">
        <v>266</v>
      </c>
      <c r="K53" s="79">
        <f t="shared" si="1"/>
        <v>0</v>
      </c>
    </row>
    <row r="54" spans="1:11" ht="14.35" x14ac:dyDescent="0.5">
      <c r="A54" s="68" t="s">
        <v>354</v>
      </c>
      <c r="B54" s="68" t="s">
        <v>55</v>
      </c>
      <c r="C54" s="82"/>
      <c r="E54" s="80"/>
      <c r="I54" s="79">
        <f t="shared" si="0"/>
        <v>0</v>
      </c>
      <c r="J54" s="78" t="s">
        <v>266</v>
      </c>
      <c r="K54" s="79">
        <f t="shared" si="1"/>
        <v>0</v>
      </c>
    </row>
    <row r="55" spans="1:11" ht="14.35" x14ac:dyDescent="0.5">
      <c r="A55" s="68" t="s">
        <v>338</v>
      </c>
      <c r="B55" s="68" t="s">
        <v>37</v>
      </c>
      <c r="C55" s="82"/>
      <c r="D55" s="80"/>
      <c r="E55" s="80"/>
      <c r="I55" s="79">
        <f t="shared" si="0"/>
        <v>0</v>
      </c>
      <c r="J55" s="78" t="s">
        <v>266</v>
      </c>
      <c r="K55" s="79">
        <f t="shared" si="1"/>
        <v>0</v>
      </c>
    </row>
    <row r="56" spans="1:11" ht="14.35" x14ac:dyDescent="0.5">
      <c r="A56" s="68" t="s">
        <v>339</v>
      </c>
      <c r="B56" s="68" t="s">
        <v>38</v>
      </c>
      <c r="C56" s="82"/>
      <c r="E56" s="80"/>
      <c r="I56" s="79">
        <f t="shared" si="0"/>
        <v>0</v>
      </c>
      <c r="J56" s="78" t="s">
        <v>266</v>
      </c>
      <c r="K56" s="79">
        <f t="shared" si="1"/>
        <v>0</v>
      </c>
    </row>
    <row r="57" spans="1:11" ht="14.35" x14ac:dyDescent="0.5">
      <c r="A57" s="68" t="s">
        <v>340</v>
      </c>
      <c r="B57" s="68" t="s">
        <v>39</v>
      </c>
      <c r="C57" s="82"/>
      <c r="D57" s="80"/>
      <c r="E57" s="80"/>
      <c r="I57" s="79">
        <f t="shared" si="0"/>
        <v>0</v>
      </c>
      <c r="J57" s="78" t="s">
        <v>266</v>
      </c>
      <c r="K57" s="79">
        <f t="shared" si="1"/>
        <v>0</v>
      </c>
    </row>
    <row r="58" spans="1:11" ht="14.35" x14ac:dyDescent="0.5">
      <c r="A58" s="68" t="s">
        <v>341</v>
      </c>
      <c r="B58" s="68" t="s">
        <v>40</v>
      </c>
      <c r="C58" s="82"/>
      <c r="D58" s="80"/>
      <c r="E58" s="80"/>
      <c r="I58" s="79">
        <f t="shared" si="0"/>
        <v>0</v>
      </c>
      <c r="J58" s="78" t="s">
        <v>266</v>
      </c>
      <c r="K58" s="79">
        <f t="shared" si="1"/>
        <v>0</v>
      </c>
    </row>
    <row r="59" spans="1:11" ht="14.35" x14ac:dyDescent="0.5">
      <c r="A59" s="69"/>
      <c r="B59" s="68" t="s">
        <v>41</v>
      </c>
      <c r="C59" s="82"/>
      <c r="D59" s="80"/>
      <c r="I59" s="79">
        <f t="shared" si="0"/>
        <v>0</v>
      </c>
      <c r="J59" s="78" t="s">
        <v>266</v>
      </c>
      <c r="K59" s="79">
        <f t="shared" si="1"/>
        <v>0</v>
      </c>
    </row>
    <row r="60" spans="1:11" ht="14.35" x14ac:dyDescent="0.5">
      <c r="A60" s="68" t="s">
        <v>342</v>
      </c>
      <c r="B60" s="68" t="s">
        <v>42</v>
      </c>
      <c r="C60" s="82"/>
      <c r="D60" s="80"/>
      <c r="E60" s="80"/>
      <c r="I60" s="79">
        <f t="shared" si="0"/>
        <v>0</v>
      </c>
      <c r="J60" s="78" t="s">
        <v>266</v>
      </c>
      <c r="K60" s="79">
        <f t="shared" si="1"/>
        <v>0</v>
      </c>
    </row>
    <row r="61" spans="1:11" ht="14.35" x14ac:dyDescent="0.5">
      <c r="A61" s="68" t="s">
        <v>343</v>
      </c>
      <c r="B61" s="68" t="s">
        <v>43</v>
      </c>
      <c r="C61" s="82"/>
      <c r="D61" s="80"/>
      <c r="E61" s="80"/>
      <c r="I61" s="79">
        <f t="shared" si="0"/>
        <v>0</v>
      </c>
      <c r="J61" s="78" t="s">
        <v>266</v>
      </c>
      <c r="K61" s="79">
        <f t="shared" si="1"/>
        <v>0</v>
      </c>
    </row>
    <row r="62" spans="1:11" ht="14.35" x14ac:dyDescent="0.5">
      <c r="A62" s="68" t="s">
        <v>344</v>
      </c>
      <c r="B62" s="68" t="s">
        <v>44</v>
      </c>
      <c r="C62" s="82"/>
      <c r="E62" s="80"/>
      <c r="I62" s="79">
        <f t="shared" si="0"/>
        <v>0</v>
      </c>
      <c r="J62" s="78" t="s">
        <v>266</v>
      </c>
      <c r="K62" s="79">
        <f t="shared" si="1"/>
        <v>0</v>
      </c>
    </row>
    <row r="63" spans="1:11" ht="14.35" x14ac:dyDescent="0.5">
      <c r="A63" s="68" t="s">
        <v>345</v>
      </c>
      <c r="B63" s="68" t="s">
        <v>45</v>
      </c>
      <c r="C63" s="82"/>
      <c r="E63" s="80"/>
      <c r="I63" s="79">
        <f t="shared" si="0"/>
        <v>0</v>
      </c>
      <c r="J63" s="78" t="s">
        <v>266</v>
      </c>
      <c r="K63" s="79">
        <f t="shared" si="1"/>
        <v>0</v>
      </c>
    </row>
    <row r="64" spans="1:11" ht="14.35" x14ac:dyDescent="0.5">
      <c r="A64" s="68" t="s">
        <v>346</v>
      </c>
      <c r="B64" s="68" t="s">
        <v>46</v>
      </c>
      <c r="C64" s="82"/>
      <c r="E64" s="80"/>
      <c r="I64" s="79">
        <f t="shared" si="0"/>
        <v>0</v>
      </c>
      <c r="J64" s="78" t="s">
        <v>266</v>
      </c>
      <c r="K64" s="79">
        <f t="shared" si="1"/>
        <v>0</v>
      </c>
    </row>
    <row r="65" spans="1:11" ht="14.35" x14ac:dyDescent="0.5">
      <c r="A65" s="68" t="s">
        <v>347</v>
      </c>
      <c r="B65" s="68" t="s">
        <v>47</v>
      </c>
      <c r="C65" s="82"/>
      <c r="E65" s="80"/>
      <c r="I65" s="79">
        <f t="shared" si="0"/>
        <v>0</v>
      </c>
      <c r="J65" s="78" t="s">
        <v>266</v>
      </c>
      <c r="K65" s="79">
        <f t="shared" si="1"/>
        <v>0</v>
      </c>
    </row>
    <row r="66" spans="1:11" ht="14.35" x14ac:dyDescent="0.5">
      <c r="A66" s="68" t="s">
        <v>348</v>
      </c>
      <c r="B66" s="68" t="s">
        <v>48</v>
      </c>
      <c r="C66" s="82"/>
      <c r="D66" s="80"/>
      <c r="E66" s="80"/>
      <c r="I66" s="79">
        <f t="shared" si="0"/>
        <v>0</v>
      </c>
      <c r="J66" s="78" t="s">
        <v>266</v>
      </c>
      <c r="K66" s="79">
        <f t="shared" si="1"/>
        <v>0</v>
      </c>
    </row>
    <row r="67" spans="1:11" ht="14.35" x14ac:dyDescent="0.5">
      <c r="A67" s="68" t="s">
        <v>349</v>
      </c>
      <c r="B67" s="68" t="s">
        <v>49</v>
      </c>
      <c r="C67" s="82"/>
      <c r="D67" s="79"/>
      <c r="E67" s="80"/>
      <c r="I67" s="79">
        <f t="shared" si="0"/>
        <v>0</v>
      </c>
      <c r="J67" s="78" t="s">
        <v>266</v>
      </c>
      <c r="K67" s="79">
        <f t="shared" si="1"/>
        <v>0</v>
      </c>
    </row>
    <row r="68" spans="1:11" ht="14.35" x14ac:dyDescent="0.5">
      <c r="A68" s="68" t="s">
        <v>350</v>
      </c>
      <c r="B68" s="68" t="s">
        <v>50</v>
      </c>
      <c r="C68" s="82"/>
      <c r="E68" s="80"/>
      <c r="I68" s="79">
        <f t="shared" si="0"/>
        <v>0</v>
      </c>
      <c r="J68" s="78" t="s">
        <v>269</v>
      </c>
      <c r="K68" s="79">
        <f t="shared" si="1"/>
        <v>0</v>
      </c>
    </row>
    <row r="69" spans="1:11" ht="14.35" x14ac:dyDescent="0.5">
      <c r="A69" s="68" t="s">
        <v>612</v>
      </c>
      <c r="B69" s="68" t="s">
        <v>613</v>
      </c>
      <c r="C69" s="82"/>
      <c r="D69" s="79"/>
      <c r="E69" s="80"/>
      <c r="I69" s="79">
        <f t="shared" si="0"/>
        <v>0</v>
      </c>
      <c r="J69" s="78" t="s">
        <v>266</v>
      </c>
      <c r="K69" s="79">
        <f t="shared" si="1"/>
        <v>0</v>
      </c>
    </row>
    <row r="70" spans="1:11" ht="14.35" x14ac:dyDescent="0.5">
      <c r="A70" s="68" t="s">
        <v>351</v>
      </c>
      <c r="B70" s="68" t="s">
        <v>51</v>
      </c>
      <c r="C70" s="82"/>
      <c r="D70" s="80"/>
      <c r="E70" s="80"/>
      <c r="I70" s="79">
        <f t="shared" si="0"/>
        <v>0</v>
      </c>
      <c r="J70" s="78" t="s">
        <v>266</v>
      </c>
      <c r="K70" s="79">
        <f t="shared" si="1"/>
        <v>0</v>
      </c>
    </row>
    <row r="71" spans="1:11" ht="14.35" x14ac:dyDescent="0.5">
      <c r="A71" s="68" t="s">
        <v>352</v>
      </c>
      <c r="B71" s="68" t="s">
        <v>53</v>
      </c>
      <c r="C71" s="82"/>
      <c r="D71" s="80"/>
      <c r="E71" s="80"/>
      <c r="G71" s="78">
        <f>-C71</f>
        <v>0</v>
      </c>
      <c r="I71" s="79">
        <f t="shared" si="0"/>
        <v>0</v>
      </c>
      <c r="J71" s="78" t="s">
        <v>267</v>
      </c>
      <c r="K71" s="79">
        <f t="shared" si="1"/>
        <v>0</v>
      </c>
    </row>
    <row r="72" spans="1:11" ht="14.35" x14ac:dyDescent="0.5">
      <c r="A72" s="68" t="s">
        <v>353</v>
      </c>
      <c r="B72" s="68" t="s">
        <v>54</v>
      </c>
      <c r="C72" s="82"/>
      <c r="D72" s="80"/>
      <c r="E72" s="80"/>
      <c r="G72" s="78">
        <f>-C72</f>
        <v>0</v>
      </c>
      <c r="I72" s="79">
        <f t="shared" si="0"/>
        <v>0</v>
      </c>
      <c r="J72" s="78" t="s">
        <v>267</v>
      </c>
      <c r="K72" s="79">
        <f t="shared" si="1"/>
        <v>0</v>
      </c>
    </row>
    <row r="73" spans="1:11" ht="14.35" x14ac:dyDescent="0.5">
      <c r="A73" s="68" t="s">
        <v>355</v>
      </c>
      <c r="B73" s="68" t="s">
        <v>56</v>
      </c>
      <c r="C73" s="82"/>
      <c r="D73" s="80"/>
      <c r="E73" s="80"/>
      <c r="I73" s="79">
        <f t="shared" ref="I73:I117" si="2">SUM(C73:H73)</f>
        <v>0</v>
      </c>
      <c r="J73" s="78" t="s">
        <v>271</v>
      </c>
      <c r="K73" s="79">
        <f t="shared" ref="K73:K117" si="3">I73</f>
        <v>0</v>
      </c>
    </row>
    <row r="74" spans="1:11" ht="14.35" x14ac:dyDescent="0.5">
      <c r="A74" s="68" t="s">
        <v>356</v>
      </c>
      <c r="B74" s="68" t="s">
        <v>57</v>
      </c>
      <c r="C74" s="82"/>
      <c r="D74" s="80"/>
      <c r="E74" s="80"/>
      <c r="I74" s="79">
        <f t="shared" si="2"/>
        <v>0</v>
      </c>
      <c r="J74" s="78" t="s">
        <v>268</v>
      </c>
      <c r="K74" s="79">
        <f t="shared" si="3"/>
        <v>0</v>
      </c>
    </row>
    <row r="75" spans="1:11" ht="14.35" x14ac:dyDescent="0.5">
      <c r="A75" s="68" t="s">
        <v>357</v>
      </c>
      <c r="B75" s="68" t="s">
        <v>58</v>
      </c>
      <c r="C75" s="82"/>
      <c r="E75" s="80"/>
      <c r="I75" s="79">
        <f t="shared" si="2"/>
        <v>0</v>
      </c>
      <c r="J75" s="78" t="s">
        <v>270</v>
      </c>
      <c r="K75" s="79">
        <f t="shared" si="3"/>
        <v>0</v>
      </c>
    </row>
    <row r="76" spans="1:11" ht="14.35" x14ac:dyDescent="0.5">
      <c r="A76" s="68" t="s">
        <v>358</v>
      </c>
      <c r="B76" s="68" t="s">
        <v>59</v>
      </c>
      <c r="C76" s="82"/>
      <c r="D76" s="80"/>
      <c r="E76" s="80"/>
      <c r="I76" s="79">
        <f t="shared" si="2"/>
        <v>0</v>
      </c>
      <c r="J76" s="78" t="s">
        <v>270</v>
      </c>
      <c r="K76" s="79">
        <f t="shared" si="3"/>
        <v>0</v>
      </c>
    </row>
    <row r="77" spans="1:11" ht="14.35" x14ac:dyDescent="0.5">
      <c r="A77" s="68" t="s">
        <v>359</v>
      </c>
      <c r="B77" s="68" t="s">
        <v>60</v>
      </c>
      <c r="C77" s="82"/>
      <c r="D77" s="80"/>
      <c r="E77" s="80"/>
      <c r="I77" s="79">
        <f t="shared" si="2"/>
        <v>0</v>
      </c>
      <c r="J77" s="78" t="s">
        <v>274</v>
      </c>
      <c r="K77" s="79">
        <f t="shared" si="3"/>
        <v>0</v>
      </c>
    </row>
    <row r="78" spans="1:11" ht="14.35" x14ac:dyDescent="0.5">
      <c r="A78" s="68" t="s">
        <v>360</v>
      </c>
      <c r="B78" s="68" t="s">
        <v>61</v>
      </c>
      <c r="C78" s="82"/>
      <c r="D78" s="80"/>
      <c r="E78" s="80"/>
      <c r="I78" s="79">
        <f t="shared" si="2"/>
        <v>0</v>
      </c>
      <c r="J78" s="78" t="s">
        <v>274</v>
      </c>
      <c r="K78" s="79">
        <f t="shared" si="3"/>
        <v>0</v>
      </c>
    </row>
    <row r="79" spans="1:11" ht="14.35" x14ac:dyDescent="0.5">
      <c r="A79" s="68" t="s">
        <v>361</v>
      </c>
      <c r="B79" s="68" t="s">
        <v>62</v>
      </c>
      <c r="C79" s="82"/>
      <c r="D79" s="80"/>
      <c r="E79" s="80"/>
      <c r="F79" s="78">
        <f>-C79</f>
        <v>0</v>
      </c>
      <c r="I79" s="79">
        <f t="shared" si="2"/>
        <v>0</v>
      </c>
      <c r="J79" s="78" t="s">
        <v>267</v>
      </c>
      <c r="K79" s="79">
        <f t="shared" si="3"/>
        <v>0</v>
      </c>
    </row>
    <row r="80" spans="1:11" ht="14.35" x14ac:dyDescent="0.5">
      <c r="A80" s="68" t="s">
        <v>362</v>
      </c>
      <c r="B80" s="68" t="s">
        <v>63</v>
      </c>
      <c r="C80" s="82"/>
      <c r="D80" s="80"/>
      <c r="E80" s="80"/>
      <c r="F80" s="78">
        <f>-C80</f>
        <v>0</v>
      </c>
      <c r="I80" s="79">
        <f t="shared" si="2"/>
        <v>0</v>
      </c>
      <c r="J80" s="78" t="s">
        <v>267</v>
      </c>
      <c r="K80" s="79">
        <f t="shared" si="3"/>
        <v>0</v>
      </c>
    </row>
    <row r="81" spans="1:11" ht="14.35" x14ac:dyDescent="0.5">
      <c r="A81" s="68" t="s">
        <v>363</v>
      </c>
      <c r="B81" s="68" t="s">
        <v>64</v>
      </c>
      <c r="C81" s="77"/>
      <c r="E81" s="80"/>
      <c r="I81" s="79">
        <f t="shared" si="2"/>
        <v>0</v>
      </c>
      <c r="J81" s="78" t="s">
        <v>859</v>
      </c>
      <c r="K81" s="79">
        <f t="shared" si="3"/>
        <v>0</v>
      </c>
    </row>
    <row r="82" spans="1:11" x14ac:dyDescent="0.4">
      <c r="A82" s="68" t="s">
        <v>364</v>
      </c>
      <c r="B82" s="68" t="s">
        <v>65</v>
      </c>
      <c r="C82" s="77"/>
      <c r="F82" s="76"/>
      <c r="I82" s="79">
        <f t="shared" si="2"/>
        <v>0</v>
      </c>
      <c r="J82" s="78" t="s">
        <v>860</v>
      </c>
      <c r="K82" s="79">
        <f t="shared" si="3"/>
        <v>0</v>
      </c>
    </row>
    <row r="83" spans="1:11" ht="14.35" x14ac:dyDescent="0.5">
      <c r="A83" s="68" t="s">
        <v>365</v>
      </c>
      <c r="B83" s="68" t="s">
        <v>262</v>
      </c>
      <c r="C83" s="77"/>
      <c r="D83" s="80"/>
      <c r="E83" s="80"/>
      <c r="I83" s="79">
        <f t="shared" si="2"/>
        <v>0</v>
      </c>
      <c r="J83" s="78" t="s">
        <v>860</v>
      </c>
      <c r="K83" s="79">
        <f t="shared" si="3"/>
        <v>0</v>
      </c>
    </row>
    <row r="84" spans="1:11" ht="14.35" x14ac:dyDescent="0.5">
      <c r="A84" s="68" t="s">
        <v>366</v>
      </c>
      <c r="B84" s="68" t="s">
        <v>66</v>
      </c>
      <c r="C84" s="77"/>
      <c r="D84" s="80"/>
      <c r="E84" s="80"/>
      <c r="I84" s="79">
        <f t="shared" si="2"/>
        <v>0</v>
      </c>
      <c r="J84" s="78" t="s">
        <v>860</v>
      </c>
      <c r="K84" s="79">
        <f t="shared" si="3"/>
        <v>0</v>
      </c>
    </row>
    <row r="85" spans="1:11" ht="14.35" x14ac:dyDescent="0.5">
      <c r="A85" s="68" t="s">
        <v>367</v>
      </c>
      <c r="B85" s="68" t="s">
        <v>67</v>
      </c>
      <c r="C85" s="77"/>
      <c r="D85" s="80"/>
      <c r="E85" s="80"/>
      <c r="I85" s="79">
        <f t="shared" si="2"/>
        <v>0</v>
      </c>
      <c r="J85" s="78" t="s">
        <v>860</v>
      </c>
      <c r="K85" s="79">
        <f t="shared" si="3"/>
        <v>0</v>
      </c>
    </row>
    <row r="86" spans="1:11" ht="14.35" x14ac:dyDescent="0.5">
      <c r="A86" s="68" t="s">
        <v>368</v>
      </c>
      <c r="B86" s="68" t="s">
        <v>68</v>
      </c>
      <c r="C86" s="77"/>
      <c r="D86" s="80"/>
      <c r="E86" s="80"/>
      <c r="I86" s="79">
        <f t="shared" si="2"/>
        <v>0</v>
      </c>
      <c r="J86" s="78" t="s">
        <v>860</v>
      </c>
      <c r="K86" s="79">
        <f t="shared" si="3"/>
        <v>0</v>
      </c>
    </row>
    <row r="87" spans="1:11" ht="14.35" x14ac:dyDescent="0.5">
      <c r="A87" s="69" t="s">
        <v>369</v>
      </c>
      <c r="B87" s="68" t="s">
        <v>69</v>
      </c>
      <c r="C87" s="77"/>
      <c r="E87" s="80"/>
      <c r="I87" s="79">
        <f t="shared" si="2"/>
        <v>0</v>
      </c>
      <c r="J87" s="78" t="s">
        <v>860</v>
      </c>
      <c r="K87" s="79">
        <f t="shared" si="3"/>
        <v>0</v>
      </c>
    </row>
    <row r="88" spans="1:11" ht="14.35" x14ac:dyDescent="0.5">
      <c r="A88" s="68" t="s">
        <v>370</v>
      </c>
      <c r="B88" s="68" t="s">
        <v>70</v>
      </c>
      <c r="C88" s="77"/>
      <c r="D88" s="80"/>
      <c r="E88" s="80"/>
      <c r="I88" s="79">
        <f t="shared" si="2"/>
        <v>0</v>
      </c>
      <c r="J88" s="78" t="s">
        <v>273</v>
      </c>
      <c r="K88" s="79">
        <f t="shared" si="3"/>
        <v>0</v>
      </c>
    </row>
    <row r="89" spans="1:11" ht="14.35" x14ac:dyDescent="0.5">
      <c r="A89" s="68" t="s">
        <v>371</v>
      </c>
      <c r="B89" s="68" t="s">
        <v>71</v>
      </c>
      <c r="C89" s="77"/>
      <c r="D89" s="80"/>
      <c r="E89" s="80"/>
      <c r="I89" s="79">
        <f t="shared" si="2"/>
        <v>0</v>
      </c>
      <c r="J89" s="78" t="s">
        <v>273</v>
      </c>
      <c r="K89" s="79">
        <f t="shared" si="3"/>
        <v>0</v>
      </c>
    </row>
    <row r="90" spans="1:11" ht="14.35" x14ac:dyDescent="0.5">
      <c r="A90" s="68" t="s">
        <v>372</v>
      </c>
      <c r="B90" s="68" t="s">
        <v>72</v>
      </c>
      <c r="C90" s="77"/>
      <c r="D90" s="80"/>
      <c r="E90" s="80"/>
      <c r="I90" s="79">
        <f t="shared" si="2"/>
        <v>0</v>
      </c>
      <c r="J90" s="78" t="s">
        <v>273</v>
      </c>
      <c r="K90" s="79">
        <f t="shared" si="3"/>
        <v>0</v>
      </c>
    </row>
    <row r="91" spans="1:11" ht="14.35" x14ac:dyDescent="0.5">
      <c r="A91" s="68" t="s">
        <v>373</v>
      </c>
      <c r="B91" s="68" t="s">
        <v>73</v>
      </c>
      <c r="C91" s="77"/>
      <c r="D91" s="80"/>
      <c r="E91" s="80"/>
      <c r="I91" s="79">
        <f t="shared" si="2"/>
        <v>0</v>
      </c>
      <c r="J91" s="78" t="s">
        <v>273</v>
      </c>
      <c r="K91" s="79">
        <f t="shared" si="3"/>
        <v>0</v>
      </c>
    </row>
    <row r="92" spans="1:11" ht="14.35" x14ac:dyDescent="0.5">
      <c r="A92" s="68" t="s">
        <v>374</v>
      </c>
      <c r="B92" s="68" t="s">
        <v>74</v>
      </c>
      <c r="C92" s="77"/>
      <c r="D92" s="80"/>
      <c r="E92" s="80"/>
      <c r="I92" s="79">
        <f t="shared" si="2"/>
        <v>0</v>
      </c>
      <c r="J92" s="78" t="s">
        <v>273</v>
      </c>
      <c r="K92" s="79">
        <f t="shared" si="3"/>
        <v>0</v>
      </c>
    </row>
    <row r="93" spans="1:11" ht="14.35" x14ac:dyDescent="0.5">
      <c r="A93" s="68" t="s">
        <v>375</v>
      </c>
      <c r="B93" s="68" t="s">
        <v>75</v>
      </c>
      <c r="C93" s="77"/>
      <c r="D93" s="80"/>
      <c r="E93" s="80"/>
      <c r="I93" s="79">
        <f t="shared" si="2"/>
        <v>0</v>
      </c>
      <c r="J93" s="78" t="s">
        <v>273</v>
      </c>
      <c r="K93" s="79">
        <f t="shared" si="3"/>
        <v>0</v>
      </c>
    </row>
    <row r="94" spans="1:11" ht="14.35" x14ac:dyDescent="0.5">
      <c r="A94" s="68" t="s">
        <v>376</v>
      </c>
      <c r="B94" s="68" t="s">
        <v>76</v>
      </c>
      <c r="C94" s="77"/>
      <c r="D94" s="80"/>
      <c r="E94" s="80"/>
      <c r="I94" s="79">
        <f t="shared" si="2"/>
        <v>0</v>
      </c>
      <c r="J94" s="78" t="s">
        <v>273</v>
      </c>
      <c r="K94" s="79">
        <f t="shared" si="3"/>
        <v>0</v>
      </c>
    </row>
    <row r="95" spans="1:11" ht="14.35" x14ac:dyDescent="0.5">
      <c r="A95" s="68" t="s">
        <v>378</v>
      </c>
      <c r="B95" s="68" t="s">
        <v>78</v>
      </c>
      <c r="C95" s="77"/>
      <c r="D95" s="80"/>
      <c r="E95" s="80"/>
      <c r="I95" s="79">
        <f t="shared" si="2"/>
        <v>0</v>
      </c>
      <c r="J95" s="78" t="s">
        <v>273</v>
      </c>
      <c r="K95" s="79">
        <f t="shared" si="3"/>
        <v>0</v>
      </c>
    </row>
    <row r="96" spans="1:11" ht="14.35" x14ac:dyDescent="0.5">
      <c r="A96" s="68" t="s">
        <v>379</v>
      </c>
      <c r="B96" s="68" t="s">
        <v>79</v>
      </c>
      <c r="C96" s="77"/>
      <c r="D96" s="80"/>
      <c r="E96" s="80"/>
      <c r="I96" s="79">
        <f t="shared" si="2"/>
        <v>0</v>
      </c>
      <c r="J96" s="78" t="s">
        <v>273</v>
      </c>
      <c r="K96" s="79">
        <f t="shared" si="3"/>
        <v>0</v>
      </c>
    </row>
    <row r="97" spans="1:11" ht="14.35" x14ac:dyDescent="0.5">
      <c r="A97" s="68" t="s">
        <v>380</v>
      </c>
      <c r="B97" s="68" t="s">
        <v>80</v>
      </c>
      <c r="C97" s="77"/>
      <c r="D97" s="80"/>
      <c r="E97" s="80"/>
      <c r="I97" s="79">
        <f t="shared" si="2"/>
        <v>0</v>
      </c>
      <c r="J97" s="78" t="s">
        <v>273</v>
      </c>
      <c r="K97" s="79">
        <f t="shared" si="3"/>
        <v>0</v>
      </c>
    </row>
    <row r="98" spans="1:11" ht="14.35" x14ac:dyDescent="0.5">
      <c r="A98" s="68" t="s">
        <v>383</v>
      </c>
      <c r="B98" s="68" t="s">
        <v>83</v>
      </c>
      <c r="C98" s="77"/>
      <c r="D98" s="80"/>
      <c r="E98" s="80"/>
      <c r="I98" s="79">
        <f t="shared" si="2"/>
        <v>0</v>
      </c>
      <c r="J98" s="78" t="s">
        <v>273</v>
      </c>
      <c r="K98" s="79">
        <f t="shared" si="3"/>
        <v>0</v>
      </c>
    </row>
    <row r="99" spans="1:11" ht="14.35" x14ac:dyDescent="0.5">
      <c r="A99" s="68" t="s">
        <v>385</v>
      </c>
      <c r="B99" s="68" t="s">
        <v>85</v>
      </c>
      <c r="C99" s="77"/>
      <c r="D99" s="80"/>
      <c r="E99" s="80"/>
      <c r="I99" s="79">
        <f t="shared" si="2"/>
        <v>0</v>
      </c>
      <c r="J99" s="78" t="s">
        <v>273</v>
      </c>
      <c r="K99" s="79">
        <f t="shared" si="3"/>
        <v>0</v>
      </c>
    </row>
    <row r="100" spans="1:11" ht="14.35" x14ac:dyDescent="0.5">
      <c r="A100" s="68" t="s">
        <v>387</v>
      </c>
      <c r="B100" s="68" t="s">
        <v>87</v>
      </c>
      <c r="C100" s="77"/>
      <c r="D100" s="80"/>
      <c r="E100" s="80"/>
      <c r="I100" s="79">
        <f t="shared" si="2"/>
        <v>0</v>
      </c>
      <c r="J100" s="78" t="s">
        <v>273</v>
      </c>
      <c r="K100" s="79">
        <f t="shared" si="3"/>
        <v>0</v>
      </c>
    </row>
    <row r="101" spans="1:11" ht="14.35" x14ac:dyDescent="0.5">
      <c r="A101" s="68" t="s">
        <v>390</v>
      </c>
      <c r="B101" s="68" t="s">
        <v>90</v>
      </c>
      <c r="C101" s="77"/>
      <c r="D101" s="80"/>
      <c r="E101" s="80"/>
      <c r="I101" s="79">
        <f t="shared" si="2"/>
        <v>0</v>
      </c>
      <c r="J101" s="78" t="s">
        <v>273</v>
      </c>
      <c r="K101" s="79">
        <f t="shared" si="3"/>
        <v>0</v>
      </c>
    </row>
    <row r="102" spans="1:11" ht="14.35" x14ac:dyDescent="0.5">
      <c r="A102" s="68" t="s">
        <v>392</v>
      </c>
      <c r="B102" s="68" t="s">
        <v>92</v>
      </c>
      <c r="C102" s="77"/>
      <c r="D102" s="80"/>
      <c r="E102" s="80"/>
      <c r="I102" s="79">
        <f t="shared" si="2"/>
        <v>0</v>
      </c>
      <c r="J102" s="78" t="s">
        <v>273</v>
      </c>
      <c r="K102" s="79">
        <f t="shared" si="3"/>
        <v>0</v>
      </c>
    </row>
    <row r="103" spans="1:11" ht="14.35" x14ac:dyDescent="0.5">
      <c r="A103" s="68" t="s">
        <v>393</v>
      </c>
      <c r="B103" s="68" t="s">
        <v>93</v>
      </c>
      <c r="C103" s="77"/>
      <c r="D103" s="80"/>
      <c r="E103" s="80"/>
      <c r="I103" s="79">
        <f t="shared" si="2"/>
        <v>0</v>
      </c>
      <c r="J103" s="78" t="s">
        <v>273</v>
      </c>
      <c r="K103" s="79">
        <f t="shared" si="3"/>
        <v>0</v>
      </c>
    </row>
    <row r="104" spans="1:11" ht="14.35" x14ac:dyDescent="0.5">
      <c r="A104" s="68" t="s">
        <v>395</v>
      </c>
      <c r="B104" s="68" t="s">
        <v>95</v>
      </c>
      <c r="C104" s="77"/>
      <c r="D104" s="80"/>
      <c r="E104" s="80"/>
      <c r="I104" s="79">
        <f t="shared" si="2"/>
        <v>0</v>
      </c>
      <c r="J104" s="78" t="s">
        <v>859</v>
      </c>
      <c r="K104" s="79">
        <f t="shared" si="3"/>
        <v>0</v>
      </c>
    </row>
    <row r="105" spans="1:11" ht="14.35" x14ac:dyDescent="0.5">
      <c r="A105" s="68" t="s">
        <v>396</v>
      </c>
      <c r="B105" s="68" t="s">
        <v>96</v>
      </c>
      <c r="C105" s="77"/>
      <c r="D105" s="81"/>
      <c r="E105" s="80"/>
      <c r="I105" s="79">
        <f t="shared" si="2"/>
        <v>0</v>
      </c>
      <c r="J105" s="78" t="s">
        <v>859</v>
      </c>
      <c r="K105" s="79">
        <f t="shared" si="3"/>
        <v>0</v>
      </c>
    </row>
    <row r="106" spans="1:11" ht="14.35" x14ac:dyDescent="0.5">
      <c r="A106" s="68" t="s">
        <v>397</v>
      </c>
      <c r="B106" s="68" t="s">
        <v>97</v>
      </c>
      <c r="C106" s="77"/>
      <c r="D106" s="80"/>
      <c r="E106" s="80"/>
      <c r="I106" s="79">
        <f t="shared" si="2"/>
        <v>0</v>
      </c>
      <c r="J106" s="78" t="s">
        <v>859</v>
      </c>
      <c r="K106" s="79">
        <f t="shared" si="3"/>
        <v>0</v>
      </c>
    </row>
    <row r="107" spans="1:11" ht="14.35" x14ac:dyDescent="0.5">
      <c r="A107" s="27" t="s">
        <v>629</v>
      </c>
      <c r="B107" s="100" t="s">
        <v>630</v>
      </c>
      <c r="C107" s="77"/>
      <c r="D107" s="80"/>
      <c r="E107" s="80"/>
      <c r="I107" s="79">
        <f t="shared" si="2"/>
        <v>0</v>
      </c>
      <c r="J107" s="78" t="s">
        <v>859</v>
      </c>
      <c r="K107" s="79">
        <f t="shared" si="3"/>
        <v>0</v>
      </c>
    </row>
    <row r="108" spans="1:11" ht="14.35" x14ac:dyDescent="0.5">
      <c r="A108" s="68" t="s">
        <v>398</v>
      </c>
      <c r="B108" s="68" t="s">
        <v>98</v>
      </c>
      <c r="C108" s="77"/>
      <c r="D108" s="80"/>
      <c r="E108" s="80"/>
      <c r="I108" s="79">
        <f t="shared" si="2"/>
        <v>0</v>
      </c>
      <c r="J108" s="78" t="s">
        <v>859</v>
      </c>
      <c r="K108" s="79">
        <f t="shared" si="3"/>
        <v>0</v>
      </c>
    </row>
    <row r="109" spans="1:11" ht="14.35" x14ac:dyDescent="0.5">
      <c r="A109" s="68" t="s">
        <v>399</v>
      </c>
      <c r="B109" s="68" t="s">
        <v>99</v>
      </c>
      <c r="C109" s="77"/>
      <c r="D109" s="80"/>
      <c r="E109" s="80"/>
      <c r="I109" s="79">
        <f t="shared" si="2"/>
        <v>0</v>
      </c>
      <c r="J109" s="78" t="s">
        <v>859</v>
      </c>
      <c r="K109" s="79">
        <f t="shared" si="3"/>
        <v>0</v>
      </c>
    </row>
    <row r="110" spans="1:11" ht="14.35" x14ac:dyDescent="0.5">
      <c r="A110" s="68" t="s">
        <v>400</v>
      </c>
      <c r="B110" s="68" t="s">
        <v>100</v>
      </c>
      <c r="C110" s="77"/>
      <c r="D110" s="80"/>
      <c r="E110" s="80"/>
      <c r="I110" s="79">
        <f t="shared" si="2"/>
        <v>0</v>
      </c>
      <c r="J110" s="78" t="s">
        <v>859</v>
      </c>
      <c r="K110" s="79">
        <f t="shared" si="3"/>
        <v>0</v>
      </c>
    </row>
    <row r="111" spans="1:11" ht="14.35" x14ac:dyDescent="0.5">
      <c r="A111" s="68" t="s">
        <v>401</v>
      </c>
      <c r="B111" s="68" t="s">
        <v>101</v>
      </c>
      <c r="C111" s="77"/>
      <c r="E111" s="80"/>
      <c r="I111" s="79">
        <f t="shared" si="2"/>
        <v>0</v>
      </c>
      <c r="J111" s="78" t="s">
        <v>859</v>
      </c>
      <c r="K111" s="79">
        <f t="shared" si="3"/>
        <v>0</v>
      </c>
    </row>
    <row r="112" spans="1:11" ht="14.35" x14ac:dyDescent="0.5">
      <c r="A112" s="68" t="s">
        <v>402</v>
      </c>
      <c r="B112" s="68" t="s">
        <v>102</v>
      </c>
      <c r="C112" s="77"/>
      <c r="D112" s="81"/>
      <c r="E112" s="80"/>
      <c r="I112" s="79">
        <f t="shared" si="2"/>
        <v>0</v>
      </c>
      <c r="J112" s="78" t="s">
        <v>859</v>
      </c>
      <c r="K112" s="79">
        <f t="shared" si="3"/>
        <v>0</v>
      </c>
    </row>
    <row r="113" spans="1:11" ht="14.35" x14ac:dyDescent="0.5">
      <c r="A113" s="68" t="s">
        <v>403</v>
      </c>
      <c r="B113" s="68" t="s">
        <v>103</v>
      </c>
      <c r="C113" s="77"/>
      <c r="E113" s="80"/>
      <c r="I113" s="79">
        <f t="shared" si="2"/>
        <v>0</v>
      </c>
      <c r="J113" s="78" t="s">
        <v>859</v>
      </c>
      <c r="K113" s="79">
        <f t="shared" si="3"/>
        <v>0</v>
      </c>
    </row>
    <row r="114" spans="1:11" ht="14.35" x14ac:dyDescent="0.5">
      <c r="A114" s="68" t="s">
        <v>406</v>
      </c>
      <c r="B114" s="68" t="s">
        <v>106</v>
      </c>
      <c r="C114" s="77"/>
      <c r="D114" s="80"/>
      <c r="E114" s="80"/>
      <c r="I114" s="79">
        <f t="shared" si="2"/>
        <v>0</v>
      </c>
      <c r="J114" s="78" t="s">
        <v>273</v>
      </c>
      <c r="K114" s="79">
        <f t="shared" si="3"/>
        <v>0</v>
      </c>
    </row>
    <row r="115" spans="1:11" ht="14.35" x14ac:dyDescent="0.5">
      <c r="A115" s="68" t="s">
        <v>409</v>
      </c>
      <c r="B115" s="68" t="s">
        <v>109</v>
      </c>
      <c r="C115" s="77"/>
      <c r="D115" s="80"/>
      <c r="E115" s="80"/>
      <c r="I115" s="79">
        <f t="shared" si="2"/>
        <v>0</v>
      </c>
      <c r="J115" s="78" t="s">
        <v>273</v>
      </c>
      <c r="K115" s="79">
        <f t="shared" si="3"/>
        <v>0</v>
      </c>
    </row>
    <row r="116" spans="1:11" ht="14.35" x14ac:dyDescent="0.5">
      <c r="A116" s="68" t="s">
        <v>410</v>
      </c>
      <c r="B116" s="68" t="s">
        <v>110</v>
      </c>
      <c r="C116" s="77"/>
      <c r="D116" s="80"/>
      <c r="E116" s="80"/>
      <c r="I116" s="79">
        <f t="shared" si="2"/>
        <v>0</v>
      </c>
      <c r="J116" s="78" t="s">
        <v>273</v>
      </c>
      <c r="K116" s="79">
        <f t="shared" si="3"/>
        <v>0</v>
      </c>
    </row>
    <row r="117" spans="1:11" ht="14.35" x14ac:dyDescent="0.5">
      <c r="A117" s="68" t="s">
        <v>411</v>
      </c>
      <c r="B117" s="68" t="s">
        <v>111</v>
      </c>
      <c r="C117" s="77"/>
      <c r="D117" s="80"/>
      <c r="E117" s="80"/>
      <c r="I117" s="79">
        <f t="shared" si="2"/>
        <v>0</v>
      </c>
      <c r="J117" s="78" t="s">
        <v>273</v>
      </c>
      <c r="K117" s="79">
        <f t="shared" si="3"/>
        <v>0</v>
      </c>
    </row>
    <row r="118" spans="1:11" ht="14.35" x14ac:dyDescent="0.5">
      <c r="A118" s="68" t="s">
        <v>419</v>
      </c>
      <c r="B118" s="68" t="s">
        <v>119</v>
      </c>
      <c r="C118" s="77"/>
      <c r="D118" s="80"/>
      <c r="E118" s="80"/>
      <c r="I118" s="79">
        <f t="shared" ref="I118:I167" si="4">SUM(C118:H118)</f>
        <v>0</v>
      </c>
      <c r="J118" s="78" t="s">
        <v>273</v>
      </c>
      <c r="K118" s="79">
        <f t="shared" ref="K118:K167" si="5">I118</f>
        <v>0</v>
      </c>
    </row>
    <row r="119" spans="1:11" ht="14.35" x14ac:dyDescent="0.5">
      <c r="A119" s="68" t="s">
        <v>421</v>
      </c>
      <c r="B119" s="68" t="s">
        <v>121</v>
      </c>
      <c r="C119" s="77"/>
      <c r="D119" s="80"/>
      <c r="E119" s="80"/>
      <c r="I119" s="79">
        <f t="shared" si="4"/>
        <v>0</v>
      </c>
      <c r="J119" s="78" t="s">
        <v>273</v>
      </c>
      <c r="K119" s="79">
        <f t="shared" si="5"/>
        <v>0</v>
      </c>
    </row>
    <row r="120" spans="1:11" ht="14.35" x14ac:dyDescent="0.5">
      <c r="A120" s="68" t="s">
        <v>423</v>
      </c>
      <c r="B120" s="68" t="s">
        <v>123</v>
      </c>
      <c r="C120" s="77"/>
      <c r="D120" s="80"/>
      <c r="E120" s="80"/>
      <c r="I120" s="79">
        <f t="shared" si="4"/>
        <v>0</v>
      </c>
      <c r="J120" s="78" t="s">
        <v>273</v>
      </c>
      <c r="K120" s="79">
        <f t="shared" si="5"/>
        <v>0</v>
      </c>
    </row>
    <row r="121" spans="1:11" ht="14.35" x14ac:dyDescent="0.5">
      <c r="A121" s="68" t="s">
        <v>424</v>
      </c>
      <c r="B121" s="68" t="s">
        <v>124</v>
      </c>
      <c r="C121" s="77"/>
      <c r="D121" s="80"/>
      <c r="E121" s="80"/>
      <c r="I121" s="79">
        <f t="shared" si="4"/>
        <v>0</v>
      </c>
      <c r="J121" s="78" t="s">
        <v>273</v>
      </c>
      <c r="K121" s="79">
        <f t="shared" si="5"/>
        <v>0</v>
      </c>
    </row>
    <row r="122" spans="1:11" ht="14.35" x14ac:dyDescent="0.5">
      <c r="A122" s="68" t="s">
        <v>425</v>
      </c>
      <c r="B122" s="68" t="s">
        <v>259</v>
      </c>
      <c r="C122" s="77"/>
      <c r="D122" s="80"/>
      <c r="E122" s="80"/>
      <c r="I122" s="79">
        <f t="shared" si="4"/>
        <v>0</v>
      </c>
      <c r="J122" s="78" t="s">
        <v>273</v>
      </c>
      <c r="K122" s="79">
        <f t="shared" si="5"/>
        <v>0</v>
      </c>
    </row>
    <row r="123" spans="1:11" ht="14.35" x14ac:dyDescent="0.5">
      <c r="A123" s="68" t="s">
        <v>628</v>
      </c>
      <c r="B123" s="68" t="s">
        <v>620</v>
      </c>
      <c r="C123" s="77"/>
      <c r="D123" s="80"/>
      <c r="E123" s="80"/>
      <c r="I123" s="79">
        <f t="shared" si="4"/>
        <v>0</v>
      </c>
      <c r="J123" s="78" t="s">
        <v>273</v>
      </c>
      <c r="K123" s="79">
        <f t="shared" si="5"/>
        <v>0</v>
      </c>
    </row>
    <row r="124" spans="1:11" ht="14.35" x14ac:dyDescent="0.5">
      <c r="A124" s="68" t="s">
        <v>623</v>
      </c>
      <c r="B124" s="68" t="s">
        <v>631</v>
      </c>
      <c r="C124" s="77"/>
      <c r="D124" s="80"/>
      <c r="E124" s="80"/>
      <c r="I124" s="79">
        <f t="shared" si="4"/>
        <v>0</v>
      </c>
      <c r="J124" s="78" t="s">
        <v>273</v>
      </c>
      <c r="K124" s="79">
        <f t="shared" si="5"/>
        <v>0</v>
      </c>
    </row>
    <row r="125" spans="1:11" ht="14.35" x14ac:dyDescent="0.5">
      <c r="A125" s="68" t="s">
        <v>635</v>
      </c>
      <c r="B125" s="68" t="s">
        <v>634</v>
      </c>
      <c r="C125" s="77"/>
      <c r="D125" s="80"/>
      <c r="E125" s="80"/>
      <c r="I125" s="79">
        <f t="shared" si="4"/>
        <v>0</v>
      </c>
      <c r="J125" s="78" t="s">
        <v>273</v>
      </c>
      <c r="K125" s="79">
        <f t="shared" si="5"/>
        <v>0</v>
      </c>
    </row>
    <row r="126" spans="1:11" ht="14.35" x14ac:dyDescent="0.5">
      <c r="A126" s="68" t="s">
        <v>645</v>
      </c>
      <c r="B126" s="68" t="s">
        <v>643</v>
      </c>
      <c r="C126" s="77"/>
      <c r="D126" s="80"/>
      <c r="E126" s="80"/>
      <c r="I126" s="79">
        <f t="shared" si="4"/>
        <v>0</v>
      </c>
      <c r="J126" s="78" t="s">
        <v>273</v>
      </c>
      <c r="K126" s="79">
        <f t="shared" si="5"/>
        <v>0</v>
      </c>
    </row>
    <row r="127" spans="1:11" ht="14.35" x14ac:dyDescent="0.5">
      <c r="A127" s="68" t="s">
        <v>646</v>
      </c>
      <c r="B127" s="68" t="s">
        <v>647</v>
      </c>
      <c r="C127" s="77"/>
      <c r="D127" s="80"/>
      <c r="E127" s="80"/>
      <c r="I127" s="79">
        <f t="shared" si="4"/>
        <v>0</v>
      </c>
      <c r="J127" s="78" t="s">
        <v>273</v>
      </c>
      <c r="K127" s="79">
        <f t="shared" si="5"/>
        <v>0</v>
      </c>
    </row>
    <row r="128" spans="1:11" ht="14.35" x14ac:dyDescent="0.5">
      <c r="A128" s="68" t="s">
        <v>658</v>
      </c>
      <c r="B128" s="68" t="s">
        <v>657</v>
      </c>
      <c r="C128" s="77"/>
      <c r="D128" s="80"/>
      <c r="E128" s="80"/>
      <c r="I128" s="79">
        <f t="shared" si="4"/>
        <v>0</v>
      </c>
      <c r="J128" s="78" t="s">
        <v>273</v>
      </c>
      <c r="K128" s="79">
        <f t="shared" si="5"/>
        <v>0</v>
      </c>
    </row>
    <row r="129" spans="1:11" ht="14.35" x14ac:dyDescent="0.5">
      <c r="A129" s="68" t="s">
        <v>661</v>
      </c>
      <c r="B129" s="68" t="s">
        <v>660</v>
      </c>
      <c r="C129" s="77"/>
      <c r="D129" s="80"/>
      <c r="E129" s="80"/>
      <c r="I129" s="79">
        <f t="shared" si="4"/>
        <v>0</v>
      </c>
      <c r="J129" s="78" t="s">
        <v>273</v>
      </c>
      <c r="K129" s="79">
        <f t="shared" si="5"/>
        <v>0</v>
      </c>
    </row>
    <row r="130" spans="1:11" ht="14.35" x14ac:dyDescent="0.5">
      <c r="A130" s="100" t="s">
        <v>674</v>
      </c>
      <c r="B130" s="100" t="s">
        <v>675</v>
      </c>
      <c r="C130" s="77"/>
      <c r="D130" s="80"/>
      <c r="E130" s="80"/>
      <c r="I130" s="79">
        <f t="shared" si="4"/>
        <v>0</v>
      </c>
      <c r="J130" s="78" t="s">
        <v>273</v>
      </c>
      <c r="K130" s="79">
        <f t="shared" si="5"/>
        <v>0</v>
      </c>
    </row>
    <row r="131" spans="1:11" ht="14.35" x14ac:dyDescent="0.5">
      <c r="A131" s="100" t="s">
        <v>692</v>
      </c>
      <c r="B131" s="100" t="s">
        <v>689</v>
      </c>
      <c r="C131" s="77"/>
      <c r="D131" s="80"/>
      <c r="E131" s="80"/>
      <c r="I131" s="79">
        <f t="shared" si="4"/>
        <v>0</v>
      </c>
      <c r="J131" s="78" t="s">
        <v>273</v>
      </c>
      <c r="K131" s="79">
        <f t="shared" si="5"/>
        <v>0</v>
      </c>
    </row>
    <row r="132" spans="1:11" ht="14.35" x14ac:dyDescent="0.5">
      <c r="A132" s="100" t="s">
        <v>693</v>
      </c>
      <c r="B132" s="100" t="s">
        <v>691</v>
      </c>
      <c r="C132" s="77"/>
      <c r="D132" s="80"/>
      <c r="E132" s="80"/>
      <c r="I132" s="79">
        <f t="shared" si="4"/>
        <v>0</v>
      </c>
      <c r="J132" s="78" t="s">
        <v>273</v>
      </c>
      <c r="K132" s="79">
        <f t="shared" si="5"/>
        <v>0</v>
      </c>
    </row>
    <row r="133" spans="1:11" ht="14.35" x14ac:dyDescent="0.5">
      <c r="A133" s="100" t="s">
        <v>676</v>
      </c>
      <c r="B133" s="100" t="s">
        <v>677</v>
      </c>
      <c r="C133" s="77"/>
      <c r="D133" s="80"/>
      <c r="E133" s="80"/>
      <c r="I133" s="79">
        <f t="shared" si="4"/>
        <v>0</v>
      </c>
      <c r="J133" s="78" t="s">
        <v>273</v>
      </c>
      <c r="K133" s="79">
        <f t="shared" si="5"/>
        <v>0</v>
      </c>
    </row>
    <row r="134" spans="1:11" ht="14.35" x14ac:dyDescent="0.5">
      <c r="A134" s="71" t="s">
        <v>762</v>
      </c>
      <c r="B134" s="71" t="s">
        <v>763</v>
      </c>
      <c r="C134" s="77"/>
      <c r="D134" s="80"/>
      <c r="E134" s="80"/>
      <c r="I134" s="79">
        <f t="shared" si="4"/>
        <v>0</v>
      </c>
      <c r="J134" s="78" t="s">
        <v>273</v>
      </c>
      <c r="K134" s="79">
        <f t="shared" si="5"/>
        <v>0</v>
      </c>
    </row>
    <row r="135" spans="1:11" ht="14.35" x14ac:dyDescent="0.5">
      <c r="A135" s="71" t="s">
        <v>764</v>
      </c>
      <c r="B135" s="71" t="s">
        <v>765</v>
      </c>
      <c r="C135" s="77"/>
      <c r="D135" s="80"/>
      <c r="E135" s="80"/>
      <c r="I135" s="79">
        <f t="shared" si="4"/>
        <v>0</v>
      </c>
      <c r="J135" s="78" t="s">
        <v>273</v>
      </c>
      <c r="K135" s="79">
        <f t="shared" si="5"/>
        <v>0</v>
      </c>
    </row>
    <row r="136" spans="1:11" ht="14.35" x14ac:dyDescent="0.5">
      <c r="A136" s="71" t="s">
        <v>775</v>
      </c>
      <c r="B136" s="100" t="s">
        <v>776</v>
      </c>
      <c r="C136" s="77"/>
      <c r="D136" s="80"/>
      <c r="E136" s="80"/>
      <c r="I136" s="79">
        <f t="shared" si="4"/>
        <v>0</v>
      </c>
      <c r="J136" s="78" t="s">
        <v>273</v>
      </c>
      <c r="K136" s="79">
        <f t="shared" si="5"/>
        <v>0</v>
      </c>
    </row>
    <row r="137" spans="1:11" ht="14.35" x14ac:dyDescent="0.5">
      <c r="A137" s="71" t="s">
        <v>777</v>
      </c>
      <c r="B137" s="100" t="s">
        <v>778</v>
      </c>
      <c r="C137" s="77"/>
      <c r="D137" s="80"/>
      <c r="E137" s="80"/>
      <c r="I137" s="79">
        <f t="shared" si="4"/>
        <v>0</v>
      </c>
      <c r="J137" s="78" t="s">
        <v>273</v>
      </c>
      <c r="K137" s="79">
        <f t="shared" si="5"/>
        <v>0</v>
      </c>
    </row>
    <row r="138" spans="1:11" ht="14.35" x14ac:dyDescent="0.5">
      <c r="A138" s="100" t="s">
        <v>788</v>
      </c>
      <c r="B138" s="100" t="s">
        <v>789</v>
      </c>
      <c r="C138" s="77"/>
      <c r="D138" s="80"/>
      <c r="E138" s="80"/>
      <c r="I138" s="79">
        <f t="shared" si="4"/>
        <v>0</v>
      </c>
      <c r="J138" s="78" t="s">
        <v>273</v>
      </c>
      <c r="K138" s="79">
        <f t="shared" si="5"/>
        <v>0</v>
      </c>
    </row>
    <row r="139" spans="1:11" ht="14.35" x14ac:dyDescent="0.5">
      <c r="A139" s="100" t="s">
        <v>790</v>
      </c>
      <c r="B139" s="100" t="s">
        <v>791</v>
      </c>
      <c r="C139" s="77"/>
      <c r="D139" s="80"/>
      <c r="E139" s="80"/>
      <c r="I139" s="79">
        <f t="shared" si="4"/>
        <v>0</v>
      </c>
      <c r="J139" s="78" t="s">
        <v>273</v>
      </c>
      <c r="K139" s="79">
        <f t="shared" si="5"/>
        <v>0</v>
      </c>
    </row>
    <row r="140" spans="1:11" ht="14.35" x14ac:dyDescent="0.5">
      <c r="A140" s="100" t="s">
        <v>803</v>
      </c>
      <c r="B140" s="100" t="s">
        <v>804</v>
      </c>
      <c r="C140" s="77"/>
      <c r="D140" s="80"/>
      <c r="E140" s="80"/>
      <c r="I140" s="79">
        <f t="shared" si="4"/>
        <v>0</v>
      </c>
      <c r="J140" s="78" t="s">
        <v>273</v>
      </c>
      <c r="K140" s="79">
        <f t="shared" si="5"/>
        <v>0</v>
      </c>
    </row>
    <row r="141" spans="1:11" ht="14.35" x14ac:dyDescent="0.5">
      <c r="A141" s="100" t="s">
        <v>814</v>
      </c>
      <c r="B141" s="100" t="s">
        <v>815</v>
      </c>
      <c r="C141" s="77"/>
      <c r="D141" s="80"/>
      <c r="E141" s="80"/>
      <c r="I141" s="79">
        <f t="shared" si="4"/>
        <v>0</v>
      </c>
      <c r="J141" s="78" t="s">
        <v>273</v>
      </c>
      <c r="K141" s="79">
        <f t="shared" si="5"/>
        <v>0</v>
      </c>
    </row>
    <row r="142" spans="1:11" ht="14.35" x14ac:dyDescent="0.5">
      <c r="A142" s="100" t="s">
        <v>863</v>
      </c>
      <c r="B142" s="100" t="s">
        <v>864</v>
      </c>
      <c r="C142" s="77"/>
      <c r="D142" s="80"/>
      <c r="E142" s="80"/>
      <c r="I142" s="79">
        <f t="shared" ref="I142" si="6">SUM(C142:H142)</f>
        <v>0</v>
      </c>
      <c r="J142" s="78" t="s">
        <v>273</v>
      </c>
      <c r="K142" s="79">
        <f t="shared" si="5"/>
        <v>0</v>
      </c>
    </row>
    <row r="143" spans="1:11" ht="14.35" x14ac:dyDescent="0.5">
      <c r="A143" s="100" t="s">
        <v>871</v>
      </c>
      <c r="B143" s="100" t="s">
        <v>872</v>
      </c>
      <c r="C143" s="77"/>
      <c r="D143" s="80"/>
      <c r="E143" s="80"/>
      <c r="I143" s="79">
        <f t="shared" ref="I143" si="7">SUM(C143:H143)</f>
        <v>0</v>
      </c>
      <c r="J143" s="78" t="s">
        <v>273</v>
      </c>
      <c r="K143" s="79">
        <f t="shared" ref="K143" si="8">I143</f>
        <v>0</v>
      </c>
    </row>
    <row r="144" spans="1:11" ht="14.35" x14ac:dyDescent="0.5">
      <c r="A144" s="68" t="s">
        <v>426</v>
      </c>
      <c r="B144" s="68" t="s">
        <v>125</v>
      </c>
      <c r="C144" s="77"/>
      <c r="D144" s="80"/>
      <c r="E144" s="80"/>
      <c r="I144" s="79">
        <f t="shared" si="4"/>
        <v>0</v>
      </c>
      <c r="J144" s="78" t="s">
        <v>272</v>
      </c>
      <c r="K144" s="79">
        <f t="shared" si="5"/>
        <v>0</v>
      </c>
    </row>
    <row r="145" spans="1:11" ht="14.35" x14ac:dyDescent="0.5">
      <c r="A145" s="100" t="s">
        <v>805</v>
      </c>
      <c r="B145" s="100" t="s">
        <v>806</v>
      </c>
      <c r="C145" s="77"/>
      <c r="D145" s="80"/>
      <c r="E145" s="80"/>
      <c r="I145" s="79">
        <f t="shared" si="4"/>
        <v>0</v>
      </c>
      <c r="J145" s="78" t="s">
        <v>272</v>
      </c>
      <c r="K145" s="79">
        <f t="shared" si="5"/>
        <v>0</v>
      </c>
    </row>
    <row r="146" spans="1:11" ht="14.35" x14ac:dyDescent="0.5">
      <c r="A146" s="68" t="s">
        <v>427</v>
      </c>
      <c r="B146" s="68" t="s">
        <v>126</v>
      </c>
      <c r="C146" s="77"/>
      <c r="D146" s="80"/>
      <c r="E146" s="80"/>
      <c r="I146" s="79">
        <f t="shared" si="4"/>
        <v>0</v>
      </c>
      <c r="J146" s="78" t="s">
        <v>272</v>
      </c>
      <c r="K146" s="79">
        <f t="shared" si="5"/>
        <v>0</v>
      </c>
    </row>
    <row r="147" spans="1:11" ht="14.35" x14ac:dyDescent="0.5">
      <c r="A147" s="68" t="s">
        <v>428</v>
      </c>
      <c r="B147" s="68" t="s">
        <v>127</v>
      </c>
      <c r="C147" s="77"/>
      <c r="D147" s="80"/>
      <c r="E147" s="80"/>
      <c r="I147" s="79">
        <f t="shared" si="4"/>
        <v>0</v>
      </c>
      <c r="J147" s="78" t="s">
        <v>272</v>
      </c>
      <c r="K147" s="79">
        <f t="shared" si="5"/>
        <v>0</v>
      </c>
    </row>
    <row r="148" spans="1:11" ht="14.35" x14ac:dyDescent="0.5">
      <c r="A148" s="68" t="s">
        <v>429</v>
      </c>
      <c r="B148" s="68" t="s">
        <v>128</v>
      </c>
      <c r="C148" s="77"/>
      <c r="D148" s="80"/>
      <c r="E148" s="80"/>
      <c r="I148" s="79">
        <f t="shared" si="4"/>
        <v>0</v>
      </c>
      <c r="J148" s="78" t="s">
        <v>272</v>
      </c>
      <c r="K148" s="79">
        <f t="shared" si="5"/>
        <v>0</v>
      </c>
    </row>
    <row r="149" spans="1:11" ht="14.35" x14ac:dyDescent="0.5">
      <c r="A149" s="68" t="s">
        <v>430</v>
      </c>
      <c r="B149" s="68" t="s">
        <v>129</v>
      </c>
      <c r="C149" s="77"/>
      <c r="D149" s="80"/>
      <c r="E149" s="80"/>
      <c r="I149" s="79">
        <f t="shared" si="4"/>
        <v>0</v>
      </c>
      <c r="J149" s="78" t="s">
        <v>272</v>
      </c>
      <c r="K149" s="79">
        <f t="shared" si="5"/>
        <v>0</v>
      </c>
    </row>
    <row r="150" spans="1:11" ht="14.35" x14ac:dyDescent="0.5">
      <c r="A150" s="68" t="s">
        <v>431</v>
      </c>
      <c r="B150" s="68" t="s">
        <v>70</v>
      </c>
      <c r="C150" s="77"/>
      <c r="D150" s="80"/>
      <c r="E150" s="80"/>
      <c r="I150" s="79">
        <f t="shared" si="4"/>
        <v>0</v>
      </c>
      <c r="J150" s="78" t="s">
        <v>274</v>
      </c>
      <c r="K150" s="79">
        <f t="shared" si="5"/>
        <v>0</v>
      </c>
    </row>
    <row r="151" spans="1:11" ht="14.35" x14ac:dyDescent="0.5">
      <c r="A151" s="68" t="s">
        <v>434</v>
      </c>
      <c r="B151" s="68" t="s">
        <v>74</v>
      </c>
      <c r="C151" s="77"/>
      <c r="D151" s="80"/>
      <c r="E151" s="80"/>
      <c r="I151" s="79">
        <f t="shared" si="4"/>
        <v>0</v>
      </c>
      <c r="J151" s="78" t="s">
        <v>274</v>
      </c>
      <c r="K151" s="79">
        <f t="shared" si="5"/>
        <v>0</v>
      </c>
    </row>
    <row r="152" spans="1:11" ht="14.35" x14ac:dyDescent="0.5">
      <c r="A152" s="68" t="s">
        <v>435</v>
      </c>
      <c r="B152" s="68" t="s">
        <v>132</v>
      </c>
      <c r="C152" s="77"/>
      <c r="D152" s="80"/>
      <c r="E152" s="80"/>
      <c r="I152" s="79">
        <f t="shared" si="4"/>
        <v>0</v>
      </c>
      <c r="J152" s="78" t="s">
        <v>274</v>
      </c>
      <c r="K152" s="79">
        <f t="shared" si="5"/>
        <v>0</v>
      </c>
    </row>
    <row r="153" spans="1:11" ht="14.35" x14ac:dyDescent="0.5">
      <c r="A153" s="68" t="s">
        <v>436</v>
      </c>
      <c r="B153" s="68" t="s">
        <v>76</v>
      </c>
      <c r="C153" s="77"/>
      <c r="D153" s="80"/>
      <c r="E153" s="80"/>
      <c r="I153" s="79">
        <f t="shared" si="4"/>
        <v>0</v>
      </c>
      <c r="J153" s="78" t="s">
        <v>274</v>
      </c>
      <c r="K153" s="79">
        <f t="shared" si="5"/>
        <v>0</v>
      </c>
    </row>
    <row r="154" spans="1:11" ht="14.35" x14ac:dyDescent="0.5">
      <c r="A154" s="68" t="s">
        <v>438</v>
      </c>
      <c r="B154" s="68" t="s">
        <v>78</v>
      </c>
      <c r="C154" s="77"/>
      <c r="D154" s="80"/>
      <c r="E154" s="80"/>
      <c r="I154" s="79">
        <f t="shared" si="4"/>
        <v>0</v>
      </c>
      <c r="J154" s="78" t="s">
        <v>274</v>
      </c>
      <c r="K154" s="79">
        <f t="shared" si="5"/>
        <v>0</v>
      </c>
    </row>
    <row r="155" spans="1:11" ht="14.35" x14ac:dyDescent="0.5">
      <c r="A155" s="68" t="s">
        <v>439</v>
      </c>
      <c r="B155" s="68" t="s">
        <v>79</v>
      </c>
      <c r="C155" s="77"/>
      <c r="D155" s="80"/>
      <c r="E155" s="80"/>
      <c r="I155" s="79">
        <f t="shared" si="4"/>
        <v>0</v>
      </c>
      <c r="J155" s="78" t="s">
        <v>274</v>
      </c>
      <c r="K155" s="79">
        <f t="shared" si="5"/>
        <v>0</v>
      </c>
    </row>
    <row r="156" spans="1:11" ht="14.35" x14ac:dyDescent="0.5">
      <c r="A156" s="68" t="s">
        <v>440</v>
      </c>
      <c r="B156" s="68" t="s">
        <v>80</v>
      </c>
      <c r="C156" s="77"/>
      <c r="D156" s="80"/>
      <c r="E156" s="80"/>
      <c r="I156" s="79">
        <f t="shared" si="4"/>
        <v>0</v>
      </c>
      <c r="J156" s="78" t="s">
        <v>274</v>
      </c>
      <c r="K156" s="79">
        <f t="shared" si="5"/>
        <v>0</v>
      </c>
    </row>
    <row r="157" spans="1:11" ht="14.35" x14ac:dyDescent="0.5">
      <c r="A157" s="68" t="s">
        <v>443</v>
      </c>
      <c r="B157" s="68" t="s">
        <v>83</v>
      </c>
      <c r="C157" s="77"/>
      <c r="D157" s="80"/>
      <c r="E157" s="80"/>
      <c r="I157" s="79">
        <f t="shared" si="4"/>
        <v>0</v>
      </c>
      <c r="J157" s="78" t="s">
        <v>274</v>
      </c>
      <c r="K157" s="79">
        <f t="shared" si="5"/>
        <v>0</v>
      </c>
    </row>
    <row r="158" spans="1:11" ht="14.35" x14ac:dyDescent="0.5">
      <c r="A158" s="68" t="s">
        <v>445</v>
      </c>
      <c r="B158" s="68" t="s">
        <v>85</v>
      </c>
      <c r="C158" s="77"/>
      <c r="D158" s="80"/>
      <c r="E158" s="80"/>
      <c r="I158" s="79">
        <f t="shared" si="4"/>
        <v>0</v>
      </c>
      <c r="J158" s="78" t="s">
        <v>274</v>
      </c>
      <c r="K158" s="79">
        <f t="shared" si="5"/>
        <v>0</v>
      </c>
    </row>
    <row r="159" spans="1:11" ht="14.35" x14ac:dyDescent="0.5">
      <c r="A159" s="68" t="s">
        <v>447</v>
      </c>
      <c r="B159" s="68" t="s">
        <v>87</v>
      </c>
      <c r="C159" s="77"/>
      <c r="D159" s="80"/>
      <c r="E159" s="80"/>
      <c r="I159" s="79">
        <f t="shared" si="4"/>
        <v>0</v>
      </c>
      <c r="J159" s="78" t="s">
        <v>274</v>
      </c>
      <c r="K159" s="79">
        <f t="shared" si="5"/>
        <v>0</v>
      </c>
    </row>
    <row r="160" spans="1:11" ht="14.35" x14ac:dyDescent="0.5">
      <c r="A160" s="68" t="s">
        <v>450</v>
      </c>
      <c r="B160" s="68" t="s">
        <v>90</v>
      </c>
      <c r="C160" s="77"/>
      <c r="D160" s="80"/>
      <c r="E160" s="80"/>
      <c r="I160" s="79">
        <f t="shared" si="4"/>
        <v>0</v>
      </c>
      <c r="J160" s="78" t="s">
        <v>274</v>
      </c>
      <c r="K160" s="79">
        <f t="shared" si="5"/>
        <v>0</v>
      </c>
    </row>
    <row r="161" spans="1:11" ht="14.35" x14ac:dyDescent="0.5">
      <c r="A161" s="68" t="s">
        <v>452</v>
      </c>
      <c r="B161" s="68" t="s">
        <v>92</v>
      </c>
      <c r="C161" s="77"/>
      <c r="D161" s="80"/>
      <c r="E161" s="80"/>
      <c r="I161" s="79">
        <f t="shared" si="4"/>
        <v>0</v>
      </c>
      <c r="J161" s="78" t="s">
        <v>274</v>
      </c>
      <c r="K161" s="79">
        <f t="shared" si="5"/>
        <v>0</v>
      </c>
    </row>
    <row r="162" spans="1:11" ht="14.35" x14ac:dyDescent="0.5">
      <c r="A162" s="68" t="s">
        <v>453</v>
      </c>
      <c r="B162" s="68" t="s">
        <v>93</v>
      </c>
      <c r="C162" s="77"/>
      <c r="D162" s="80"/>
      <c r="E162" s="80"/>
      <c r="I162" s="79">
        <f t="shared" si="4"/>
        <v>0</v>
      </c>
      <c r="J162" s="78" t="s">
        <v>274</v>
      </c>
      <c r="K162" s="79">
        <f t="shared" si="5"/>
        <v>0</v>
      </c>
    </row>
    <row r="163" spans="1:11" ht="14.35" x14ac:dyDescent="0.5">
      <c r="A163" s="68" t="s">
        <v>454</v>
      </c>
      <c r="B163" s="68" t="s">
        <v>94</v>
      </c>
      <c r="C163" s="77"/>
      <c r="D163" s="80"/>
      <c r="E163" s="80"/>
      <c r="I163" s="79">
        <f t="shared" si="4"/>
        <v>0</v>
      </c>
      <c r="J163" s="78" t="s">
        <v>274</v>
      </c>
      <c r="K163" s="79">
        <f t="shared" si="5"/>
        <v>0</v>
      </c>
    </row>
    <row r="164" spans="1:11" ht="14.35" x14ac:dyDescent="0.5">
      <c r="A164" s="68" t="s">
        <v>457</v>
      </c>
      <c r="B164" s="68" t="s">
        <v>106</v>
      </c>
      <c r="C164" s="77"/>
      <c r="D164" s="80"/>
      <c r="E164" s="80"/>
      <c r="I164" s="79">
        <f t="shared" si="4"/>
        <v>0</v>
      </c>
      <c r="J164" s="78" t="s">
        <v>274</v>
      </c>
      <c r="K164" s="79">
        <f t="shared" si="5"/>
        <v>0</v>
      </c>
    </row>
    <row r="165" spans="1:11" ht="14.35" x14ac:dyDescent="0.5">
      <c r="A165" s="68" t="s">
        <v>460</v>
      </c>
      <c r="B165" s="68" t="s">
        <v>109</v>
      </c>
      <c r="C165" s="77"/>
      <c r="D165" s="80"/>
      <c r="E165" s="80"/>
      <c r="I165" s="79">
        <f t="shared" si="4"/>
        <v>0</v>
      </c>
      <c r="J165" s="78" t="s">
        <v>274</v>
      </c>
      <c r="K165" s="79">
        <f t="shared" si="5"/>
        <v>0</v>
      </c>
    </row>
    <row r="166" spans="1:11" ht="14.35" x14ac:dyDescent="0.5">
      <c r="A166" s="68" t="s">
        <v>461</v>
      </c>
      <c r="B166" s="68" t="s">
        <v>110</v>
      </c>
      <c r="C166" s="77"/>
      <c r="D166" s="80"/>
      <c r="E166" s="80"/>
      <c r="I166" s="79">
        <f t="shared" si="4"/>
        <v>0</v>
      </c>
      <c r="J166" s="78" t="s">
        <v>274</v>
      </c>
      <c r="K166" s="79">
        <f t="shared" si="5"/>
        <v>0</v>
      </c>
    </row>
    <row r="167" spans="1:11" ht="14.35" x14ac:dyDescent="0.5">
      <c r="A167" s="68" t="s">
        <v>462</v>
      </c>
      <c r="B167" s="68" t="s">
        <v>136</v>
      </c>
      <c r="C167" s="77"/>
      <c r="D167" s="80"/>
      <c r="E167" s="80"/>
      <c r="I167" s="79">
        <f t="shared" si="4"/>
        <v>0</v>
      </c>
      <c r="J167" s="78" t="s">
        <v>274</v>
      </c>
      <c r="K167" s="79">
        <f t="shared" si="5"/>
        <v>0</v>
      </c>
    </row>
    <row r="168" spans="1:11" ht="14.35" x14ac:dyDescent="0.5">
      <c r="A168" s="68" t="s">
        <v>470</v>
      </c>
      <c r="B168" s="68" t="s">
        <v>119</v>
      </c>
      <c r="C168" s="77"/>
      <c r="D168" s="80"/>
      <c r="E168" s="80"/>
      <c r="I168" s="79">
        <f t="shared" ref="I168:I203" si="9">SUM(C168:H168)</f>
        <v>0</v>
      </c>
      <c r="J168" s="78" t="s">
        <v>274</v>
      </c>
      <c r="K168" s="79">
        <f t="shared" ref="K168:K203" si="10">I168</f>
        <v>0</v>
      </c>
    </row>
    <row r="169" spans="1:11" ht="14.35" x14ac:dyDescent="0.5">
      <c r="A169" s="68" t="s">
        <v>472</v>
      </c>
      <c r="B169" s="68" t="s">
        <v>121</v>
      </c>
      <c r="C169" s="77"/>
      <c r="D169" s="80"/>
      <c r="E169" s="80"/>
      <c r="I169" s="79">
        <f t="shared" si="9"/>
        <v>0</v>
      </c>
      <c r="J169" s="78" t="s">
        <v>274</v>
      </c>
      <c r="K169" s="79">
        <f t="shared" si="10"/>
        <v>0</v>
      </c>
    </row>
    <row r="170" spans="1:11" ht="14.35" x14ac:dyDescent="0.5">
      <c r="A170" s="68" t="s">
        <v>474</v>
      </c>
      <c r="B170" s="68" t="s">
        <v>123</v>
      </c>
      <c r="C170" s="77"/>
      <c r="D170" s="80"/>
      <c r="E170" s="80"/>
      <c r="I170" s="79">
        <f t="shared" si="9"/>
        <v>0</v>
      </c>
      <c r="J170" s="78" t="s">
        <v>274</v>
      </c>
      <c r="K170" s="79">
        <f t="shared" si="10"/>
        <v>0</v>
      </c>
    </row>
    <row r="171" spans="1:11" ht="14.35" x14ac:dyDescent="0.5">
      <c r="A171" s="68" t="s">
        <v>475</v>
      </c>
      <c r="B171" s="68" t="s">
        <v>124</v>
      </c>
      <c r="C171" s="77"/>
      <c r="D171" s="80"/>
      <c r="E171" s="80"/>
      <c r="I171" s="79">
        <f t="shared" si="9"/>
        <v>0</v>
      </c>
      <c r="J171" s="78" t="s">
        <v>274</v>
      </c>
      <c r="K171" s="79">
        <f t="shared" si="10"/>
        <v>0</v>
      </c>
    </row>
    <row r="172" spans="1:11" ht="14.35" x14ac:dyDescent="0.5">
      <c r="A172" s="68" t="s">
        <v>476</v>
      </c>
      <c r="B172" s="68" t="s">
        <v>259</v>
      </c>
      <c r="C172" s="77"/>
      <c r="D172" s="80"/>
      <c r="E172" s="80"/>
      <c r="I172" s="79">
        <f t="shared" si="9"/>
        <v>0</v>
      </c>
      <c r="J172" s="78" t="s">
        <v>274</v>
      </c>
      <c r="K172" s="79">
        <f t="shared" si="10"/>
        <v>0</v>
      </c>
    </row>
    <row r="173" spans="1:11" ht="14.35" x14ac:dyDescent="0.5">
      <c r="A173" s="68" t="s">
        <v>619</v>
      </c>
      <c r="B173" s="68" t="s">
        <v>620</v>
      </c>
      <c r="C173" s="77"/>
      <c r="D173" s="80"/>
      <c r="E173" s="80"/>
      <c r="I173" s="79">
        <f t="shared" si="9"/>
        <v>0</v>
      </c>
      <c r="J173" s="78" t="s">
        <v>274</v>
      </c>
      <c r="K173" s="79">
        <f t="shared" si="10"/>
        <v>0</v>
      </c>
    </row>
    <row r="174" spans="1:11" ht="14.35" x14ac:dyDescent="0.5">
      <c r="A174" s="68" t="s">
        <v>621</v>
      </c>
      <c r="B174" s="68" t="s">
        <v>622</v>
      </c>
      <c r="C174" s="77"/>
      <c r="D174" s="80"/>
      <c r="E174" s="80"/>
      <c r="I174" s="79">
        <f t="shared" si="9"/>
        <v>0</v>
      </c>
      <c r="J174" s="78" t="s">
        <v>274</v>
      </c>
      <c r="K174" s="79">
        <f t="shared" si="10"/>
        <v>0</v>
      </c>
    </row>
    <row r="175" spans="1:11" ht="14.35" x14ac:dyDescent="0.5">
      <c r="A175" s="68" t="s">
        <v>636</v>
      </c>
      <c r="B175" s="68" t="s">
        <v>634</v>
      </c>
      <c r="C175" s="77"/>
      <c r="D175" s="80"/>
      <c r="E175" s="80"/>
      <c r="I175" s="79">
        <f t="shared" si="9"/>
        <v>0</v>
      </c>
      <c r="J175" s="78" t="s">
        <v>274</v>
      </c>
      <c r="K175" s="79">
        <f t="shared" si="10"/>
        <v>0</v>
      </c>
    </row>
    <row r="176" spans="1:11" ht="14.35" x14ac:dyDescent="0.5">
      <c r="A176" s="68" t="s">
        <v>644</v>
      </c>
      <c r="B176" s="68" t="s">
        <v>643</v>
      </c>
      <c r="C176" s="77"/>
      <c r="D176" s="80"/>
      <c r="E176" s="80"/>
      <c r="I176" s="79">
        <f t="shared" si="9"/>
        <v>0</v>
      </c>
      <c r="J176" s="78" t="s">
        <v>274</v>
      </c>
      <c r="K176" s="79">
        <f t="shared" si="10"/>
        <v>0</v>
      </c>
    </row>
    <row r="177" spans="1:11" ht="14.35" x14ac:dyDescent="0.5">
      <c r="A177" s="68" t="s">
        <v>648</v>
      </c>
      <c r="B177" s="68" t="s">
        <v>647</v>
      </c>
      <c r="C177" s="77"/>
      <c r="D177" s="80"/>
      <c r="E177" s="80"/>
      <c r="I177" s="79">
        <f t="shared" si="9"/>
        <v>0</v>
      </c>
      <c r="J177" s="78" t="s">
        <v>274</v>
      </c>
      <c r="K177" s="79">
        <f t="shared" si="10"/>
        <v>0</v>
      </c>
    </row>
    <row r="178" spans="1:11" ht="14.35" x14ac:dyDescent="0.5">
      <c r="A178" s="27" t="s">
        <v>656</v>
      </c>
      <c r="B178" s="27" t="s">
        <v>657</v>
      </c>
      <c r="C178" s="77"/>
      <c r="D178" s="80"/>
      <c r="E178" s="80"/>
      <c r="F178" s="80"/>
      <c r="G178" s="80"/>
      <c r="H178" s="80"/>
      <c r="I178" s="79">
        <f t="shared" si="9"/>
        <v>0</v>
      </c>
      <c r="J178" s="78" t="s">
        <v>274</v>
      </c>
      <c r="K178" s="79">
        <f t="shared" si="10"/>
        <v>0</v>
      </c>
    </row>
    <row r="179" spans="1:11" ht="14.35" x14ac:dyDescent="0.5">
      <c r="A179" s="27" t="s">
        <v>659</v>
      </c>
      <c r="B179" s="27" t="s">
        <v>660</v>
      </c>
      <c r="C179" s="77"/>
      <c r="D179" s="80"/>
      <c r="E179" s="80"/>
      <c r="F179" s="80"/>
      <c r="G179" s="80"/>
      <c r="H179" s="80"/>
      <c r="I179" s="79">
        <f t="shared" si="9"/>
        <v>0</v>
      </c>
      <c r="J179" s="78" t="s">
        <v>274</v>
      </c>
      <c r="K179" s="79">
        <f t="shared" si="10"/>
        <v>0</v>
      </c>
    </row>
    <row r="180" spans="1:11" ht="14.35" x14ac:dyDescent="0.5">
      <c r="A180" s="100" t="s">
        <v>678</v>
      </c>
      <c r="B180" s="100" t="s">
        <v>675</v>
      </c>
      <c r="C180" s="77"/>
      <c r="D180" s="80"/>
      <c r="E180" s="80"/>
      <c r="F180" s="80"/>
      <c r="G180" s="80"/>
      <c r="H180" s="80"/>
      <c r="I180" s="79">
        <f t="shared" si="9"/>
        <v>0</v>
      </c>
      <c r="J180" s="78" t="s">
        <v>274</v>
      </c>
      <c r="K180" s="79">
        <f t="shared" si="10"/>
        <v>0</v>
      </c>
    </row>
    <row r="181" spans="1:11" ht="14.35" x14ac:dyDescent="0.5">
      <c r="A181" s="100" t="s">
        <v>688</v>
      </c>
      <c r="B181" s="100" t="s">
        <v>689</v>
      </c>
      <c r="C181" s="77"/>
      <c r="D181" s="80"/>
      <c r="E181" s="80"/>
      <c r="F181" s="80"/>
      <c r="G181" s="80"/>
      <c r="H181" s="80"/>
      <c r="I181" s="79">
        <f t="shared" si="9"/>
        <v>0</v>
      </c>
      <c r="J181" s="78" t="s">
        <v>274</v>
      </c>
      <c r="K181" s="79">
        <f t="shared" si="10"/>
        <v>0</v>
      </c>
    </row>
    <row r="182" spans="1:11" ht="14.35" x14ac:dyDescent="0.5">
      <c r="A182" s="100" t="s">
        <v>690</v>
      </c>
      <c r="B182" s="100" t="s">
        <v>691</v>
      </c>
      <c r="C182" s="77"/>
      <c r="D182" s="80"/>
      <c r="E182" s="80"/>
      <c r="F182" s="80"/>
      <c r="G182" s="80"/>
      <c r="H182" s="80"/>
      <c r="I182" s="79">
        <f t="shared" si="9"/>
        <v>0</v>
      </c>
      <c r="J182" s="78" t="s">
        <v>274</v>
      </c>
      <c r="K182" s="79">
        <f t="shared" si="10"/>
        <v>0</v>
      </c>
    </row>
    <row r="183" spans="1:11" ht="14.35" x14ac:dyDescent="0.5">
      <c r="A183" s="100" t="s">
        <v>679</v>
      </c>
      <c r="B183" s="100" t="s">
        <v>677</v>
      </c>
      <c r="C183" s="77"/>
      <c r="D183" s="80"/>
      <c r="E183" s="80"/>
      <c r="F183" s="80"/>
      <c r="G183" s="80"/>
      <c r="H183" s="80"/>
      <c r="I183" s="79">
        <f t="shared" si="9"/>
        <v>0</v>
      </c>
      <c r="J183" s="78" t="s">
        <v>274</v>
      </c>
      <c r="K183" s="79">
        <f t="shared" si="10"/>
        <v>0</v>
      </c>
    </row>
    <row r="184" spans="1:11" ht="14.35" x14ac:dyDescent="0.5">
      <c r="A184" s="71" t="s">
        <v>766</v>
      </c>
      <c r="B184" s="71" t="s">
        <v>763</v>
      </c>
      <c r="C184" s="77"/>
      <c r="D184" s="80"/>
      <c r="E184" s="80"/>
      <c r="F184" s="80"/>
      <c r="G184" s="80"/>
      <c r="H184" s="80"/>
      <c r="I184" s="79">
        <f t="shared" si="9"/>
        <v>0</v>
      </c>
      <c r="J184" s="78" t="s">
        <v>274</v>
      </c>
      <c r="K184" s="79">
        <f t="shared" si="10"/>
        <v>0</v>
      </c>
    </row>
    <row r="185" spans="1:11" ht="14.35" x14ac:dyDescent="0.5">
      <c r="A185" s="71" t="s">
        <v>767</v>
      </c>
      <c r="B185" s="71" t="s">
        <v>765</v>
      </c>
      <c r="C185" s="77"/>
      <c r="D185" s="80"/>
      <c r="E185" s="80"/>
      <c r="F185" s="80"/>
      <c r="G185" s="80"/>
      <c r="H185" s="80"/>
      <c r="I185" s="79">
        <f t="shared" si="9"/>
        <v>0</v>
      </c>
      <c r="J185" s="78" t="s">
        <v>274</v>
      </c>
      <c r="K185" s="79">
        <f t="shared" si="10"/>
        <v>0</v>
      </c>
    </row>
    <row r="186" spans="1:11" ht="14.35" x14ac:dyDescent="0.5">
      <c r="A186" s="71" t="s">
        <v>779</v>
      </c>
      <c r="B186" s="100" t="s">
        <v>776</v>
      </c>
      <c r="C186" s="77"/>
      <c r="D186" s="80"/>
      <c r="E186" s="80"/>
      <c r="F186" s="80"/>
      <c r="G186" s="80"/>
      <c r="H186" s="80"/>
      <c r="I186" s="79">
        <f t="shared" si="9"/>
        <v>0</v>
      </c>
      <c r="J186" s="78" t="s">
        <v>274</v>
      </c>
      <c r="K186" s="79">
        <f t="shared" si="10"/>
        <v>0</v>
      </c>
    </row>
    <row r="187" spans="1:11" ht="14.35" x14ac:dyDescent="0.5">
      <c r="A187" s="71" t="s">
        <v>780</v>
      </c>
      <c r="B187" s="100" t="s">
        <v>778</v>
      </c>
      <c r="C187" s="77"/>
      <c r="D187" s="80"/>
      <c r="E187" s="80"/>
      <c r="F187" s="80"/>
      <c r="G187" s="80"/>
      <c r="H187" s="80"/>
      <c r="I187" s="79">
        <f t="shared" si="9"/>
        <v>0</v>
      </c>
      <c r="J187" s="78" t="s">
        <v>274</v>
      </c>
      <c r="K187" s="79">
        <f t="shared" si="10"/>
        <v>0</v>
      </c>
    </row>
    <row r="188" spans="1:11" ht="14.35" x14ac:dyDescent="0.5">
      <c r="A188" s="100" t="s">
        <v>792</v>
      </c>
      <c r="B188" s="100" t="s">
        <v>789</v>
      </c>
      <c r="C188" s="77"/>
      <c r="D188" s="80"/>
      <c r="E188" s="80"/>
      <c r="F188" s="80"/>
      <c r="G188" s="80"/>
      <c r="H188" s="80"/>
      <c r="I188" s="79">
        <f t="shared" si="9"/>
        <v>0</v>
      </c>
      <c r="J188" s="78" t="s">
        <v>274</v>
      </c>
      <c r="K188" s="79">
        <f t="shared" si="10"/>
        <v>0</v>
      </c>
    </row>
    <row r="189" spans="1:11" ht="14.35" x14ac:dyDescent="0.5">
      <c r="A189" s="100" t="s">
        <v>793</v>
      </c>
      <c r="B189" s="100" t="s">
        <v>791</v>
      </c>
      <c r="C189" s="77"/>
      <c r="D189" s="80"/>
      <c r="E189" s="80"/>
      <c r="F189" s="80"/>
      <c r="G189" s="80"/>
      <c r="H189" s="80"/>
      <c r="I189" s="79">
        <f t="shared" si="9"/>
        <v>0</v>
      </c>
      <c r="J189" s="78" t="s">
        <v>274</v>
      </c>
      <c r="K189" s="79">
        <f t="shared" si="10"/>
        <v>0</v>
      </c>
    </row>
    <row r="190" spans="1:11" ht="14.35" x14ac:dyDescent="0.5">
      <c r="A190" s="100" t="s">
        <v>807</v>
      </c>
      <c r="B190" s="100" t="s">
        <v>804</v>
      </c>
      <c r="C190" s="77"/>
      <c r="D190" s="80"/>
      <c r="E190" s="80"/>
      <c r="F190" s="80"/>
      <c r="G190" s="80"/>
      <c r="H190" s="80"/>
      <c r="I190" s="79">
        <f t="shared" si="9"/>
        <v>0</v>
      </c>
      <c r="J190" s="78" t="s">
        <v>274</v>
      </c>
      <c r="K190" s="79">
        <f t="shared" si="10"/>
        <v>0</v>
      </c>
    </row>
    <row r="191" spans="1:11" ht="14.35" x14ac:dyDescent="0.5">
      <c r="A191" s="100" t="s">
        <v>816</v>
      </c>
      <c r="B191" s="100" t="s">
        <v>815</v>
      </c>
      <c r="C191" s="77"/>
      <c r="D191" s="80"/>
      <c r="E191" s="80"/>
      <c r="F191" s="80"/>
      <c r="G191" s="80"/>
      <c r="H191" s="80"/>
      <c r="I191" s="79">
        <f t="shared" si="9"/>
        <v>0</v>
      </c>
      <c r="J191" s="78" t="s">
        <v>274</v>
      </c>
      <c r="K191" s="79">
        <f t="shared" si="10"/>
        <v>0</v>
      </c>
    </row>
    <row r="192" spans="1:11" ht="14.35" x14ac:dyDescent="0.5">
      <c r="A192" s="100" t="s">
        <v>865</v>
      </c>
      <c r="B192" s="100" t="s">
        <v>864</v>
      </c>
      <c r="C192" s="77"/>
      <c r="D192" s="80"/>
      <c r="E192" s="80"/>
      <c r="F192" s="80"/>
      <c r="G192" s="80"/>
      <c r="H192" s="80"/>
      <c r="I192" s="79">
        <f t="shared" si="9"/>
        <v>0</v>
      </c>
      <c r="J192" s="78" t="s">
        <v>274</v>
      </c>
      <c r="K192" s="79">
        <f t="shared" si="10"/>
        <v>0</v>
      </c>
    </row>
    <row r="193" spans="1:11" ht="14.35" x14ac:dyDescent="0.5">
      <c r="A193" s="100" t="s">
        <v>873</v>
      </c>
      <c r="B193" s="100" t="s">
        <v>872</v>
      </c>
      <c r="C193" s="77"/>
      <c r="D193" s="80"/>
      <c r="E193" s="80"/>
      <c r="F193" s="80"/>
      <c r="G193" s="80"/>
      <c r="H193" s="80"/>
      <c r="I193" s="79">
        <f t="shared" ref="I193" si="11">SUM(C193:H193)</f>
        <v>0</v>
      </c>
      <c r="J193" s="78" t="s">
        <v>274</v>
      </c>
      <c r="K193" s="79">
        <f t="shared" ref="K193" si="12">I193</f>
        <v>0</v>
      </c>
    </row>
    <row r="194" spans="1:11" ht="14.35" x14ac:dyDescent="0.5">
      <c r="A194" s="91">
        <v>27250</v>
      </c>
      <c r="B194" s="68" t="s">
        <v>772</v>
      </c>
      <c r="C194" s="77"/>
      <c r="E194" s="80"/>
      <c r="G194" s="78">
        <f>-D194</f>
        <v>0</v>
      </c>
      <c r="I194" s="79">
        <f t="shared" si="9"/>
        <v>0</v>
      </c>
      <c r="J194" s="78" t="s">
        <v>267</v>
      </c>
      <c r="K194" s="79">
        <f t="shared" si="10"/>
        <v>0</v>
      </c>
    </row>
    <row r="195" spans="1:11" ht="14.35" x14ac:dyDescent="0.5">
      <c r="A195" s="69" t="s">
        <v>770</v>
      </c>
      <c r="B195" s="68" t="s">
        <v>771</v>
      </c>
      <c r="C195" s="77"/>
      <c r="D195" s="80"/>
      <c r="G195" s="78">
        <f>-E195</f>
        <v>0</v>
      </c>
      <c r="I195" s="79">
        <f t="shared" si="9"/>
        <v>0</v>
      </c>
      <c r="J195" s="78" t="s">
        <v>267</v>
      </c>
      <c r="K195" s="79">
        <f t="shared" si="10"/>
        <v>0</v>
      </c>
    </row>
    <row r="196" spans="1:11" ht="14.35" x14ac:dyDescent="0.5">
      <c r="A196" s="68" t="s">
        <v>477</v>
      </c>
      <c r="B196" s="68" t="s">
        <v>137</v>
      </c>
      <c r="C196" s="77"/>
      <c r="D196" s="80"/>
      <c r="E196" s="80"/>
      <c r="I196" s="79">
        <f t="shared" si="9"/>
        <v>0</v>
      </c>
      <c r="J196" s="78" t="s">
        <v>861</v>
      </c>
      <c r="K196" s="79">
        <f t="shared" si="10"/>
        <v>0</v>
      </c>
    </row>
    <row r="197" spans="1:11" ht="14.35" x14ac:dyDescent="0.5">
      <c r="A197" s="69" t="s">
        <v>773</v>
      </c>
      <c r="B197" s="68" t="s">
        <v>605</v>
      </c>
      <c r="C197" s="77"/>
      <c r="E197" s="80"/>
      <c r="I197" s="79">
        <f t="shared" si="9"/>
        <v>0</v>
      </c>
      <c r="J197" s="78" t="s">
        <v>278</v>
      </c>
      <c r="K197" s="79">
        <f t="shared" si="10"/>
        <v>0</v>
      </c>
    </row>
    <row r="198" spans="1:11" ht="14.35" x14ac:dyDescent="0.5">
      <c r="A198" s="69" t="s">
        <v>774</v>
      </c>
      <c r="B198" s="68" t="s">
        <v>606</v>
      </c>
      <c r="C198" s="77"/>
      <c r="E198" s="80"/>
      <c r="H198" s="78">
        <f>'P&amp;L-Detail 8.18'!I148</f>
        <v>0</v>
      </c>
      <c r="I198" s="79">
        <f>SUM(C198:H198)</f>
        <v>0</v>
      </c>
      <c r="J198" s="78" t="s">
        <v>278</v>
      </c>
      <c r="K198" s="79">
        <f t="shared" si="10"/>
        <v>0</v>
      </c>
    </row>
    <row r="199" spans="1:11" x14ac:dyDescent="0.4">
      <c r="A199" s="68" t="s">
        <v>478</v>
      </c>
      <c r="B199" s="68" t="s">
        <v>138</v>
      </c>
      <c r="C199" s="77"/>
      <c r="I199" s="79">
        <f t="shared" si="9"/>
        <v>0</v>
      </c>
      <c r="J199" s="78" t="s">
        <v>278</v>
      </c>
      <c r="K199" s="79">
        <f t="shared" si="10"/>
        <v>0</v>
      </c>
    </row>
    <row r="200" spans="1:11" x14ac:dyDescent="0.4">
      <c r="A200" s="68" t="s">
        <v>479</v>
      </c>
      <c r="B200" s="68" t="s">
        <v>139</v>
      </c>
      <c r="C200" s="77"/>
      <c r="F200" s="78">
        <f>-E200-D200</f>
        <v>0</v>
      </c>
      <c r="I200" s="79">
        <f t="shared" si="9"/>
        <v>0</v>
      </c>
      <c r="J200" s="78" t="s">
        <v>276</v>
      </c>
      <c r="K200" s="79">
        <f t="shared" si="10"/>
        <v>0</v>
      </c>
    </row>
    <row r="201" spans="1:11" ht="14.35" x14ac:dyDescent="0.5">
      <c r="A201" s="68" t="s">
        <v>480</v>
      </c>
      <c r="B201" s="68" t="s">
        <v>140</v>
      </c>
      <c r="C201" s="77"/>
      <c r="D201" s="80"/>
      <c r="E201" s="80"/>
      <c r="I201" s="79">
        <f t="shared" si="9"/>
        <v>0</v>
      </c>
      <c r="J201" s="78" t="s">
        <v>275</v>
      </c>
      <c r="K201" s="79">
        <f t="shared" si="10"/>
        <v>0</v>
      </c>
    </row>
    <row r="202" spans="1:11" ht="14.35" x14ac:dyDescent="0.5">
      <c r="A202" s="68" t="s">
        <v>481</v>
      </c>
      <c r="B202" s="68" t="s">
        <v>141</v>
      </c>
      <c r="C202" s="77"/>
      <c r="D202" s="80"/>
      <c r="E202" s="80"/>
      <c r="I202" s="79">
        <f t="shared" si="9"/>
        <v>0</v>
      </c>
      <c r="J202" s="78" t="s">
        <v>277</v>
      </c>
      <c r="K202" s="79">
        <f t="shared" si="10"/>
        <v>0</v>
      </c>
    </row>
    <row r="203" spans="1:11" x14ac:dyDescent="0.4">
      <c r="A203" s="68" t="s">
        <v>304</v>
      </c>
      <c r="B203" s="68" t="s">
        <v>142</v>
      </c>
      <c r="C203" s="77"/>
      <c r="I203" s="79">
        <f t="shared" si="9"/>
        <v>0</v>
      </c>
      <c r="J203" s="78" t="s">
        <v>278</v>
      </c>
      <c r="K203" s="79">
        <f t="shared" si="10"/>
        <v>0</v>
      </c>
    </row>
    <row r="204" spans="1:11" x14ac:dyDescent="0.4">
      <c r="A204" s="76" t="s">
        <v>483</v>
      </c>
      <c r="B204" s="8"/>
      <c r="C204" s="20">
        <f>SUM(C6:C80)+SUM(C81:C203)</f>
        <v>0</v>
      </c>
      <c r="D204" s="20">
        <f t="shared" ref="D204:K204" si="13">SUM(D6:D80)+SUM(D81:D203)</f>
        <v>0</v>
      </c>
      <c r="E204" s="20">
        <f t="shared" si="13"/>
        <v>0</v>
      </c>
      <c r="F204" s="20">
        <f t="shared" si="13"/>
        <v>0</v>
      </c>
      <c r="G204" s="20">
        <f t="shared" si="13"/>
        <v>0</v>
      </c>
      <c r="H204" s="20">
        <f t="shared" si="13"/>
        <v>0</v>
      </c>
      <c r="I204" s="20">
        <f t="shared" si="13"/>
        <v>0</v>
      </c>
      <c r="J204" s="20">
        <f t="shared" si="13"/>
        <v>0</v>
      </c>
      <c r="K204" s="20">
        <f t="shared" si="13"/>
        <v>0</v>
      </c>
    </row>
    <row r="205" spans="1:11" x14ac:dyDescent="0.4">
      <c r="B205" s="8"/>
    </row>
    <row r="206" spans="1:11" x14ac:dyDescent="0.4">
      <c r="B206" s="8" t="s">
        <v>261</v>
      </c>
    </row>
    <row r="207" spans="1:11" x14ac:dyDescent="0.4">
      <c r="B207" s="76" t="s">
        <v>285</v>
      </c>
      <c r="C207" s="78">
        <f>SUM(C6:C80)</f>
        <v>0</v>
      </c>
      <c r="D207" s="78">
        <f>SUM(D6:D80)</f>
        <v>0</v>
      </c>
      <c r="E207" s="78">
        <f>SUM(E6:E80)</f>
        <v>0</v>
      </c>
      <c r="K207" s="78">
        <f>SUM(K6:K80)</f>
        <v>0</v>
      </c>
    </row>
    <row r="208" spans="1:11" x14ac:dyDescent="0.4">
      <c r="B208" s="76" t="s">
        <v>286</v>
      </c>
      <c r="C208" s="78">
        <f>SUM(C81:C196)</f>
        <v>0</v>
      </c>
      <c r="D208" s="78">
        <f>SUM(D81:D196)</f>
        <v>0</v>
      </c>
      <c r="E208" s="78">
        <f>SUM(E81:E196)</f>
        <v>0</v>
      </c>
      <c r="H208" s="78">
        <f>374064.27+C203</f>
        <v>374064.27</v>
      </c>
      <c r="K208" s="78">
        <f>SUM(K81:K196)</f>
        <v>0</v>
      </c>
    </row>
    <row r="209" spans="2:11" x14ac:dyDescent="0.4">
      <c r="B209" s="76" t="s">
        <v>607</v>
      </c>
      <c r="C209" s="78">
        <f>SUM(C197:C203)</f>
        <v>0</v>
      </c>
      <c r="D209" s="78">
        <f>SUM(D197:D203)</f>
        <v>0</v>
      </c>
      <c r="E209" s="78">
        <f>SUM(E197:E203)</f>
        <v>0</v>
      </c>
      <c r="K209" s="78">
        <f>SUM(K197:K203)</f>
        <v>0</v>
      </c>
    </row>
    <row r="210" spans="2:11" x14ac:dyDescent="0.4">
      <c r="B210" s="76" t="s">
        <v>483</v>
      </c>
      <c r="C210" s="78">
        <f>SUM(C207:C209)</f>
        <v>0</v>
      </c>
      <c r="D210" s="78">
        <f>SUM(D207:D209)</f>
        <v>0</v>
      </c>
      <c r="E210" s="78">
        <f>SUM(E207:E209)</f>
        <v>0</v>
      </c>
      <c r="K210" s="78">
        <f>SUM(K207:K209)</f>
        <v>0</v>
      </c>
    </row>
    <row r="411" spans="3:4" x14ac:dyDescent="0.4">
      <c r="C411" s="14"/>
      <c r="D411" s="7"/>
    </row>
    <row r="412" spans="3:4" x14ac:dyDescent="0.4">
      <c r="C412" s="14"/>
      <c r="D412" s="7"/>
    </row>
    <row r="413" spans="3:4" x14ac:dyDescent="0.4">
      <c r="C413" s="14"/>
      <c r="D413" s="7"/>
    </row>
    <row r="414" spans="3:4" x14ac:dyDescent="0.4">
      <c r="C414" s="14"/>
      <c r="D414" s="7"/>
    </row>
    <row r="415" spans="3:4" x14ac:dyDescent="0.4">
      <c r="C415" s="14"/>
      <c r="D415" s="7"/>
    </row>
    <row r="416" spans="3:4" x14ac:dyDescent="0.4">
      <c r="C416" s="14"/>
      <c r="D416" s="7"/>
    </row>
    <row r="417" spans="3:4" x14ac:dyDescent="0.4">
      <c r="C417" s="14"/>
      <c r="D417" s="7"/>
    </row>
    <row r="418" spans="3:4" x14ac:dyDescent="0.4">
      <c r="C418" s="14"/>
      <c r="D418" s="7"/>
    </row>
    <row r="419" spans="3:4" x14ac:dyDescent="0.4">
      <c r="C419" s="14"/>
      <c r="D419" s="7"/>
    </row>
    <row r="420" spans="3:4" x14ac:dyDescent="0.4">
      <c r="C420" s="14"/>
      <c r="D420" s="7"/>
    </row>
    <row r="421" spans="3:4" x14ac:dyDescent="0.4">
      <c r="C421" s="14"/>
      <c r="D421" s="7"/>
    </row>
    <row r="422" spans="3:4" x14ac:dyDescent="0.4">
      <c r="C422" s="14"/>
      <c r="D422" s="7"/>
    </row>
    <row r="423" spans="3:4" x14ac:dyDescent="0.4">
      <c r="C423" s="14"/>
      <c r="D423" s="7"/>
    </row>
    <row r="424" spans="3:4" x14ac:dyDescent="0.4">
      <c r="C424" s="14"/>
      <c r="D424" s="7"/>
    </row>
    <row r="425" spans="3:4" x14ac:dyDescent="0.4">
      <c r="C425" s="14"/>
      <c r="D425" s="7"/>
    </row>
    <row r="426" spans="3:4" x14ac:dyDescent="0.4">
      <c r="C426" s="14"/>
      <c r="D426" s="7"/>
    </row>
    <row r="427" spans="3:4" x14ac:dyDescent="0.4">
      <c r="C427" s="14"/>
      <c r="D427" s="7"/>
    </row>
    <row r="428" spans="3:4" x14ac:dyDescent="0.4">
      <c r="C428" s="14"/>
      <c r="D428" s="7"/>
    </row>
    <row r="429" spans="3:4" x14ac:dyDescent="0.4">
      <c r="C429" s="14"/>
      <c r="D429" s="7"/>
    </row>
    <row r="430" spans="3:4" x14ac:dyDescent="0.4">
      <c r="C430" s="14"/>
      <c r="D430" s="7"/>
    </row>
    <row r="431" spans="3:4" x14ac:dyDescent="0.4">
      <c r="C431" s="14"/>
      <c r="D431" s="7"/>
    </row>
    <row r="432" spans="3:4" x14ac:dyDescent="0.4">
      <c r="C432" s="14"/>
      <c r="D432" s="7"/>
    </row>
    <row r="433" spans="3:4" x14ac:dyDescent="0.4">
      <c r="C433" s="14"/>
      <c r="D433" s="7"/>
    </row>
    <row r="434" spans="3:4" x14ac:dyDescent="0.4">
      <c r="C434" s="14"/>
      <c r="D434" s="7"/>
    </row>
    <row r="435" spans="3:4" x14ac:dyDescent="0.4">
      <c r="C435" s="14"/>
      <c r="D435" s="7"/>
    </row>
    <row r="436" spans="3:4" x14ac:dyDescent="0.4">
      <c r="C436" s="14"/>
      <c r="D436" s="7"/>
    </row>
    <row r="437" spans="3:4" x14ac:dyDescent="0.4">
      <c r="C437" s="14"/>
      <c r="D437" s="7"/>
    </row>
    <row r="438" spans="3:4" x14ac:dyDescent="0.4">
      <c r="C438" s="14"/>
      <c r="D438" s="7"/>
    </row>
    <row r="439" spans="3:4" x14ac:dyDescent="0.4">
      <c r="C439" s="14"/>
      <c r="D439" s="7"/>
    </row>
    <row r="440" spans="3:4" x14ac:dyDescent="0.4">
      <c r="C440" s="14"/>
      <c r="D440" s="7"/>
    </row>
    <row r="441" spans="3:4" x14ac:dyDescent="0.4">
      <c r="C441" s="14"/>
      <c r="D441" s="7"/>
    </row>
    <row r="442" spans="3:4" x14ac:dyDescent="0.4">
      <c r="C442" s="14"/>
      <c r="D442" s="7"/>
    </row>
  </sheetData>
  <pageMargins left="0.7" right="0.7" top="0.75" bottom="0.75" header="0.3" footer="0.3"/>
  <pageSetup orientation="portrait"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160"/>
  <sheetViews>
    <sheetView workbookViewId="0">
      <selection activeCell="M23" sqref="M23"/>
    </sheetView>
  </sheetViews>
  <sheetFormatPr defaultColWidth="9.05859375" defaultRowHeight="12.7" outlineLevelCol="1" x14ac:dyDescent="0.4"/>
  <cols>
    <col min="1" max="1" width="13.52734375" style="21" bestFit="1" customWidth="1"/>
    <col min="2" max="2" width="43.64453125" style="9" bestFit="1" customWidth="1"/>
    <col min="3" max="3" width="13.64453125" style="78" hidden="1" customWidth="1" outlineLevel="1"/>
    <col min="4" max="4" width="11.64453125" style="78" hidden="1" customWidth="1" outlineLevel="1"/>
    <col min="5" max="5" width="17.64453125" style="78" hidden="1" customWidth="1" outlineLevel="1"/>
    <col min="6" max="7" width="11" style="78" hidden="1" customWidth="1" outlineLevel="1"/>
    <col min="8" max="8" width="12.3515625" style="78" hidden="1" customWidth="1" outlineLevel="1"/>
    <col min="9" max="9" width="15.64453125" style="79" hidden="1" customWidth="1" outlineLevel="1"/>
    <col min="10" max="10" width="15.46875" style="76" hidden="1" customWidth="1" outlineLevel="1"/>
    <col min="11" max="11" width="12" style="79" customWidth="1" collapsed="1"/>
    <col min="12" max="12" width="13.46875" style="76" customWidth="1"/>
    <col min="13" max="13" width="11.64453125" style="76" customWidth="1"/>
    <col min="14" max="14" width="13.17578125" style="76" customWidth="1"/>
    <col min="15" max="15" width="10.703125" style="76" customWidth="1"/>
    <col min="16" max="16384" width="9.05859375" style="21"/>
  </cols>
  <sheetData>
    <row r="1" spans="1:15" x14ac:dyDescent="0.4">
      <c r="A1" s="22" t="s">
        <v>0</v>
      </c>
      <c r="B1" s="75"/>
      <c r="D1" s="78" t="s">
        <v>868</v>
      </c>
    </row>
    <row r="2" spans="1:15" x14ac:dyDescent="0.4">
      <c r="A2" s="22" t="s">
        <v>603</v>
      </c>
      <c r="B2" s="75"/>
    </row>
    <row r="3" spans="1:15" x14ac:dyDescent="0.4">
      <c r="A3" s="3">
        <v>43312</v>
      </c>
      <c r="B3" s="3"/>
      <c r="D3" s="78" t="s">
        <v>261</v>
      </c>
      <c r="E3" s="78" t="s">
        <v>261</v>
      </c>
      <c r="H3" s="78" t="s">
        <v>261</v>
      </c>
      <c r="I3" s="79" t="s">
        <v>261</v>
      </c>
      <c r="J3" s="4"/>
    </row>
    <row r="5" spans="1:15" s="10" customFormat="1" x14ac:dyDescent="0.4">
      <c r="A5" s="21" t="s">
        <v>484</v>
      </c>
      <c r="B5" s="9" t="s">
        <v>279</v>
      </c>
      <c r="C5" s="15" t="s">
        <v>0</v>
      </c>
      <c r="D5" s="15" t="s">
        <v>2</v>
      </c>
      <c r="E5" s="78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6" t="s">
        <v>280</v>
      </c>
      <c r="K5" s="19" t="s">
        <v>281</v>
      </c>
      <c r="L5" s="78"/>
      <c r="M5" s="78"/>
      <c r="N5" s="416" t="s">
        <v>282</v>
      </c>
      <c r="O5" s="416" t="s">
        <v>284</v>
      </c>
    </row>
    <row r="6" spans="1:15" s="10" customFormat="1" x14ac:dyDescent="0.4">
      <c r="A6" s="11" t="s">
        <v>488</v>
      </c>
      <c r="B6" s="12" t="s">
        <v>143</v>
      </c>
      <c r="C6" s="13"/>
      <c r="D6" s="78"/>
      <c r="E6" s="78"/>
      <c r="F6" s="78"/>
      <c r="G6" s="78"/>
      <c r="H6" s="78"/>
      <c r="I6" s="79">
        <f t="shared" ref="I6:I73" si="0">SUM(C6:H6)</f>
        <v>0</v>
      </c>
      <c r="J6" s="78" t="s">
        <v>287</v>
      </c>
      <c r="K6" s="79">
        <f>I6*1</f>
        <v>0</v>
      </c>
      <c r="L6" s="78"/>
      <c r="M6" s="78"/>
      <c r="N6" s="417" t="s">
        <v>287</v>
      </c>
      <c r="O6" s="418">
        <v>0</v>
      </c>
    </row>
    <row r="7" spans="1:15" s="10" customFormat="1" x14ac:dyDescent="0.4">
      <c r="A7" s="11" t="s">
        <v>489</v>
      </c>
      <c r="B7" s="12" t="s">
        <v>144</v>
      </c>
      <c r="C7" s="13"/>
      <c r="D7" s="78"/>
      <c r="E7" s="78"/>
      <c r="F7" s="78"/>
      <c r="G7" s="78"/>
      <c r="H7" s="78"/>
      <c r="I7" s="79">
        <f t="shared" si="0"/>
        <v>0</v>
      </c>
      <c r="J7" s="78" t="s">
        <v>287</v>
      </c>
      <c r="K7" s="79">
        <f t="shared" ref="K7:K73" si="1">I7*1</f>
        <v>0</v>
      </c>
      <c r="L7" s="78"/>
      <c r="M7" s="78"/>
      <c r="N7" s="417" t="s">
        <v>288</v>
      </c>
      <c r="O7" s="418">
        <v>0</v>
      </c>
    </row>
    <row r="8" spans="1:15" s="10" customFormat="1" x14ac:dyDescent="0.4">
      <c r="A8" s="11" t="s">
        <v>490</v>
      </c>
      <c r="B8" s="12" t="s">
        <v>145</v>
      </c>
      <c r="C8" s="13"/>
      <c r="D8" s="78"/>
      <c r="E8" s="78"/>
      <c r="F8" s="78"/>
      <c r="G8" s="78"/>
      <c r="H8" s="78"/>
      <c r="I8" s="79">
        <f t="shared" si="0"/>
        <v>0</v>
      </c>
      <c r="J8" s="78" t="s">
        <v>287</v>
      </c>
      <c r="K8" s="79">
        <f t="shared" si="1"/>
        <v>0</v>
      </c>
      <c r="L8" s="78"/>
      <c r="M8" s="78"/>
      <c r="N8" s="417" t="s">
        <v>292</v>
      </c>
      <c r="O8" s="418">
        <v>0</v>
      </c>
    </row>
    <row r="9" spans="1:15" s="10" customFormat="1" x14ac:dyDescent="0.4">
      <c r="A9" s="11" t="s">
        <v>491</v>
      </c>
      <c r="B9" s="12" t="s">
        <v>146</v>
      </c>
      <c r="C9" s="13"/>
      <c r="D9" s="78"/>
      <c r="E9" s="78"/>
      <c r="F9" s="78"/>
      <c r="G9" s="78"/>
      <c r="H9" s="78"/>
      <c r="I9" s="79">
        <f t="shared" si="0"/>
        <v>0</v>
      </c>
      <c r="J9" s="78" t="s">
        <v>287</v>
      </c>
      <c r="K9" s="79">
        <f t="shared" si="1"/>
        <v>0</v>
      </c>
      <c r="L9" s="78"/>
      <c r="M9" s="78"/>
      <c r="N9" s="417" t="s">
        <v>291</v>
      </c>
      <c r="O9" s="418">
        <v>0</v>
      </c>
    </row>
    <row r="10" spans="1:15" s="10" customFormat="1" x14ac:dyDescent="0.4">
      <c r="A10" s="11" t="s">
        <v>492</v>
      </c>
      <c r="B10" s="12" t="s">
        <v>147</v>
      </c>
      <c r="C10" s="13"/>
      <c r="D10" s="78"/>
      <c r="E10" s="78"/>
      <c r="F10" s="78"/>
      <c r="G10" s="78"/>
      <c r="H10" s="78"/>
      <c r="I10" s="79">
        <f t="shared" si="0"/>
        <v>0</v>
      </c>
      <c r="J10" s="78" t="s">
        <v>287</v>
      </c>
      <c r="K10" s="79">
        <f t="shared" si="1"/>
        <v>0</v>
      </c>
      <c r="L10" s="78"/>
      <c r="M10" s="78"/>
      <c r="N10" s="417" t="s">
        <v>289</v>
      </c>
      <c r="O10" s="418">
        <v>0</v>
      </c>
    </row>
    <row r="11" spans="1:15" s="10" customFormat="1" x14ac:dyDescent="0.4">
      <c r="A11" s="69" t="s">
        <v>757</v>
      </c>
      <c r="B11" s="12" t="s">
        <v>758</v>
      </c>
      <c r="C11" s="13"/>
      <c r="D11" s="78"/>
      <c r="E11" s="78"/>
      <c r="F11" s="78"/>
      <c r="G11" s="78"/>
      <c r="H11" s="78">
        <f>-D11</f>
        <v>0</v>
      </c>
      <c r="I11" s="79">
        <f t="shared" si="0"/>
        <v>0</v>
      </c>
      <c r="J11" s="78" t="s">
        <v>287</v>
      </c>
      <c r="K11" s="79">
        <f t="shared" si="1"/>
        <v>0</v>
      </c>
      <c r="L11" s="78"/>
      <c r="M11" s="78"/>
      <c r="N11" s="417" t="s">
        <v>290</v>
      </c>
      <c r="O11" s="418">
        <v>0</v>
      </c>
    </row>
    <row r="12" spans="1:15" s="78" customFormat="1" x14ac:dyDescent="0.4">
      <c r="A12" s="11" t="s">
        <v>493</v>
      </c>
      <c r="B12" s="100" t="s">
        <v>148</v>
      </c>
      <c r="C12" s="13"/>
      <c r="I12" s="79">
        <f t="shared" si="0"/>
        <v>0</v>
      </c>
      <c r="J12" s="78" t="s">
        <v>287</v>
      </c>
      <c r="K12" s="79">
        <f t="shared" si="1"/>
        <v>0</v>
      </c>
      <c r="N12" s="417" t="s">
        <v>299</v>
      </c>
      <c r="O12" s="418">
        <v>0</v>
      </c>
    </row>
    <row r="13" spans="1:15" s="78" customFormat="1" x14ac:dyDescent="0.4">
      <c r="A13" s="11" t="s">
        <v>494</v>
      </c>
      <c r="B13" s="12" t="s">
        <v>149</v>
      </c>
      <c r="C13" s="13"/>
      <c r="I13" s="79">
        <f t="shared" si="0"/>
        <v>0</v>
      </c>
      <c r="J13" s="78" t="s">
        <v>287</v>
      </c>
      <c r="K13" s="79">
        <f t="shared" si="1"/>
        <v>0</v>
      </c>
      <c r="N13" s="417" t="s">
        <v>862</v>
      </c>
      <c r="O13" s="418">
        <v>0</v>
      </c>
    </row>
    <row r="14" spans="1:15" s="78" customFormat="1" x14ac:dyDescent="0.4">
      <c r="A14" s="11" t="s">
        <v>495</v>
      </c>
      <c r="B14" s="12" t="s">
        <v>150</v>
      </c>
      <c r="C14" s="13"/>
      <c r="I14" s="79">
        <f t="shared" si="0"/>
        <v>0</v>
      </c>
      <c r="J14" s="78" t="s">
        <v>287</v>
      </c>
      <c r="K14" s="79">
        <f t="shared" si="1"/>
        <v>0</v>
      </c>
      <c r="N14" s="417" t="s">
        <v>283</v>
      </c>
      <c r="O14" s="418">
        <v>0</v>
      </c>
    </row>
    <row r="15" spans="1:15" s="10" customFormat="1" x14ac:dyDescent="0.4">
      <c r="A15" s="11" t="s">
        <v>496</v>
      </c>
      <c r="B15" s="12" t="s">
        <v>151</v>
      </c>
      <c r="C15" s="13"/>
      <c r="D15" s="78"/>
      <c r="E15" s="78"/>
      <c r="F15" s="78"/>
      <c r="G15" s="78"/>
      <c r="H15" s="78"/>
      <c r="I15" s="79">
        <f t="shared" si="0"/>
        <v>0</v>
      </c>
      <c r="J15" s="78" t="s">
        <v>287</v>
      </c>
      <c r="K15" s="79">
        <f t="shared" si="1"/>
        <v>0</v>
      </c>
      <c r="L15" s="78"/>
      <c r="M15" s="78"/>
      <c r="N15" s="76"/>
      <c r="O15" s="76"/>
    </row>
    <row r="16" spans="1:15" s="10" customFormat="1" x14ac:dyDescent="0.4">
      <c r="A16" s="11" t="s">
        <v>497</v>
      </c>
      <c r="B16" s="12" t="s">
        <v>152</v>
      </c>
      <c r="C16" s="13"/>
      <c r="D16" s="78"/>
      <c r="E16" s="78"/>
      <c r="F16" s="78"/>
      <c r="G16" s="78"/>
      <c r="H16" s="78"/>
      <c r="I16" s="79">
        <f t="shared" si="0"/>
        <v>0</v>
      </c>
      <c r="J16" s="78" t="s">
        <v>287</v>
      </c>
      <c r="K16" s="79">
        <f t="shared" si="1"/>
        <v>0</v>
      </c>
      <c r="L16" s="78"/>
      <c r="M16" s="78"/>
      <c r="N16" s="76"/>
      <c r="O16" s="76"/>
    </row>
    <row r="17" spans="1:15" s="10" customFormat="1" x14ac:dyDescent="0.4">
      <c r="A17" s="11" t="s">
        <v>498</v>
      </c>
      <c r="B17" s="12" t="s">
        <v>153</v>
      </c>
      <c r="C17" s="13"/>
      <c r="D17" s="78"/>
      <c r="E17" s="78"/>
      <c r="F17" s="78"/>
      <c r="G17" s="78"/>
      <c r="H17" s="78"/>
      <c r="I17" s="79">
        <f t="shared" si="0"/>
        <v>0</v>
      </c>
      <c r="J17" s="78" t="s">
        <v>287</v>
      </c>
      <c r="K17" s="79">
        <f t="shared" si="1"/>
        <v>0</v>
      </c>
      <c r="L17" s="78"/>
      <c r="M17" s="78"/>
      <c r="N17" s="76"/>
      <c r="O17" s="76"/>
    </row>
    <row r="18" spans="1:15" s="10" customFormat="1" x14ac:dyDescent="0.4">
      <c r="A18" s="11" t="s">
        <v>637</v>
      </c>
      <c r="B18" s="12" t="s">
        <v>638</v>
      </c>
      <c r="C18" s="13"/>
      <c r="D18" s="78"/>
      <c r="E18" s="78"/>
      <c r="F18" s="78"/>
      <c r="G18" s="78"/>
      <c r="H18" s="78"/>
      <c r="I18" s="79">
        <f t="shared" si="0"/>
        <v>0</v>
      </c>
      <c r="J18" s="78" t="s">
        <v>287</v>
      </c>
      <c r="K18" s="79">
        <f t="shared" si="1"/>
        <v>0</v>
      </c>
      <c r="L18" s="78"/>
      <c r="M18" s="78"/>
      <c r="N18" s="76"/>
      <c r="O18" s="76"/>
    </row>
    <row r="19" spans="1:15" s="10" customFormat="1" x14ac:dyDescent="0.4">
      <c r="A19" s="11" t="s">
        <v>499</v>
      </c>
      <c r="B19" s="12" t="s">
        <v>154</v>
      </c>
      <c r="C19" s="13"/>
      <c r="D19" s="78"/>
      <c r="E19" s="78"/>
      <c r="F19" s="78"/>
      <c r="G19" s="78"/>
      <c r="H19" s="78"/>
      <c r="I19" s="79">
        <f t="shared" si="0"/>
        <v>0</v>
      </c>
      <c r="J19" s="78" t="s">
        <v>287</v>
      </c>
      <c r="K19" s="79">
        <f t="shared" si="1"/>
        <v>0</v>
      </c>
      <c r="L19" s="78"/>
      <c r="M19" s="78"/>
      <c r="N19" s="76"/>
      <c r="O19" s="77"/>
    </row>
    <row r="20" spans="1:15" s="10" customFormat="1" x14ac:dyDescent="0.4">
      <c r="A20" s="11" t="s">
        <v>639</v>
      </c>
      <c r="B20" s="12" t="s">
        <v>640</v>
      </c>
      <c r="C20" s="13"/>
      <c r="D20" s="78"/>
      <c r="E20" s="78"/>
      <c r="F20" s="78"/>
      <c r="G20" s="78"/>
      <c r="H20" s="78"/>
      <c r="I20" s="79">
        <f t="shared" si="0"/>
        <v>0</v>
      </c>
      <c r="J20" s="78" t="s">
        <v>287</v>
      </c>
      <c r="K20" s="79">
        <f t="shared" si="1"/>
        <v>0</v>
      </c>
      <c r="L20" s="78"/>
      <c r="M20" s="78"/>
      <c r="N20" s="76"/>
      <c r="O20" s="76"/>
    </row>
    <row r="21" spans="1:15" s="10" customFormat="1" x14ac:dyDescent="0.4">
      <c r="A21" s="11" t="s">
        <v>500</v>
      </c>
      <c r="B21" s="12" t="s">
        <v>155</v>
      </c>
      <c r="C21" s="13"/>
      <c r="D21" s="78"/>
      <c r="E21" s="78"/>
      <c r="F21" s="78"/>
      <c r="G21" s="78"/>
      <c r="H21" s="78"/>
      <c r="I21" s="79">
        <f t="shared" si="0"/>
        <v>0</v>
      </c>
      <c r="J21" s="78" t="s">
        <v>287</v>
      </c>
      <c r="K21" s="79">
        <f t="shared" si="1"/>
        <v>0</v>
      </c>
      <c r="L21" s="78"/>
      <c r="M21" s="78"/>
      <c r="N21" s="76"/>
      <c r="O21" s="77"/>
    </row>
    <row r="22" spans="1:15" s="10" customFormat="1" x14ac:dyDescent="0.4">
      <c r="A22" s="11" t="s">
        <v>501</v>
      </c>
      <c r="B22" s="12" t="s">
        <v>156</v>
      </c>
      <c r="C22" s="13"/>
      <c r="D22" s="78"/>
      <c r="E22" s="78"/>
      <c r="F22" s="78"/>
      <c r="G22" s="78"/>
      <c r="H22" s="78"/>
      <c r="I22" s="79">
        <f t="shared" si="0"/>
        <v>0</v>
      </c>
      <c r="J22" s="78" t="s">
        <v>287</v>
      </c>
      <c r="K22" s="79">
        <f t="shared" si="1"/>
        <v>0</v>
      </c>
      <c r="L22" s="78"/>
      <c r="M22" s="78"/>
      <c r="N22" s="76"/>
      <c r="O22" s="77"/>
    </row>
    <row r="23" spans="1:15" s="10" customFormat="1" x14ac:dyDescent="0.4">
      <c r="A23" s="88" t="s">
        <v>662</v>
      </c>
      <c r="B23" s="100" t="s">
        <v>663</v>
      </c>
      <c r="C23" s="13"/>
      <c r="D23" s="78"/>
      <c r="E23" s="78"/>
      <c r="F23" s="78"/>
      <c r="G23" s="78"/>
      <c r="H23" s="78"/>
      <c r="I23" s="79">
        <f t="shared" si="0"/>
        <v>0</v>
      </c>
      <c r="J23" s="78" t="s">
        <v>287</v>
      </c>
      <c r="K23" s="79">
        <f t="shared" si="1"/>
        <v>0</v>
      </c>
      <c r="L23" s="78"/>
      <c r="M23" s="78"/>
      <c r="N23" s="78"/>
      <c r="O23" s="78"/>
    </row>
    <row r="24" spans="1:15" s="10" customFormat="1" x14ac:dyDescent="0.4">
      <c r="A24" s="11" t="s">
        <v>502</v>
      </c>
      <c r="B24" s="12" t="s">
        <v>157</v>
      </c>
      <c r="C24" s="13"/>
      <c r="D24" s="78"/>
      <c r="E24" s="78"/>
      <c r="F24" s="78"/>
      <c r="G24" s="78"/>
      <c r="H24" s="78"/>
      <c r="I24" s="79">
        <f t="shared" si="0"/>
        <v>0</v>
      </c>
      <c r="J24" s="78" t="s">
        <v>287</v>
      </c>
      <c r="K24" s="79">
        <f t="shared" si="1"/>
        <v>0</v>
      </c>
      <c r="L24" s="78"/>
      <c r="M24" s="78"/>
      <c r="N24" s="78"/>
      <c r="O24" s="78"/>
    </row>
    <row r="25" spans="1:15" s="10" customFormat="1" x14ac:dyDescent="0.4">
      <c r="A25" s="11" t="s">
        <v>699</v>
      </c>
      <c r="B25" s="27" t="s">
        <v>698</v>
      </c>
      <c r="C25" s="13"/>
      <c r="D25" s="78"/>
      <c r="E25" s="78"/>
      <c r="F25" s="78"/>
      <c r="G25" s="78"/>
      <c r="H25" s="78"/>
      <c r="I25" s="79">
        <f t="shared" si="0"/>
        <v>0</v>
      </c>
      <c r="J25" s="78" t="s">
        <v>287</v>
      </c>
      <c r="K25" s="79">
        <f t="shared" si="1"/>
        <v>0</v>
      </c>
      <c r="L25" s="78"/>
      <c r="M25" s="78"/>
      <c r="N25" s="78"/>
      <c r="O25" s="78"/>
    </row>
    <row r="26" spans="1:15" s="10" customFormat="1" x14ac:dyDescent="0.4">
      <c r="A26" s="11" t="s">
        <v>503</v>
      </c>
      <c r="B26" s="12" t="s">
        <v>158</v>
      </c>
      <c r="C26" s="13"/>
      <c r="D26" s="78"/>
      <c r="E26" s="78"/>
      <c r="F26" s="78"/>
      <c r="G26" s="78"/>
      <c r="H26" s="78"/>
      <c r="I26" s="79">
        <f t="shared" si="0"/>
        <v>0</v>
      </c>
      <c r="J26" s="78" t="s">
        <v>287</v>
      </c>
      <c r="K26" s="79">
        <f t="shared" si="1"/>
        <v>0</v>
      </c>
      <c r="L26" s="78"/>
      <c r="N26" s="78"/>
      <c r="O26" s="78"/>
    </row>
    <row r="27" spans="1:15" s="10" customFormat="1" x14ac:dyDescent="0.4">
      <c r="A27" s="11" t="s">
        <v>504</v>
      </c>
      <c r="B27" s="12" t="s">
        <v>159</v>
      </c>
      <c r="C27" s="13"/>
      <c r="D27" s="78"/>
      <c r="E27" s="78"/>
      <c r="F27" s="78"/>
      <c r="G27" s="78"/>
      <c r="H27" s="78"/>
      <c r="I27" s="79">
        <f t="shared" si="0"/>
        <v>0</v>
      </c>
      <c r="J27" s="78" t="s">
        <v>287</v>
      </c>
      <c r="K27" s="79">
        <f t="shared" si="1"/>
        <v>0</v>
      </c>
      <c r="L27" s="78"/>
      <c r="M27" s="78"/>
      <c r="N27" s="78"/>
      <c r="O27" s="78"/>
    </row>
    <row r="28" spans="1:15" s="10" customFormat="1" x14ac:dyDescent="0.4">
      <c r="A28" s="100" t="s">
        <v>680</v>
      </c>
      <c r="B28" s="100" t="s">
        <v>681</v>
      </c>
      <c r="C28" s="13"/>
      <c r="D28" s="78"/>
      <c r="E28" s="78"/>
      <c r="F28" s="78"/>
      <c r="G28" s="78"/>
      <c r="H28" s="78"/>
      <c r="I28" s="79">
        <f t="shared" si="0"/>
        <v>0</v>
      </c>
      <c r="J28" s="78" t="s">
        <v>287</v>
      </c>
      <c r="K28" s="79">
        <f t="shared" si="1"/>
        <v>0</v>
      </c>
      <c r="L28" s="78"/>
      <c r="M28" s="78"/>
      <c r="N28" s="78"/>
      <c r="O28" s="78"/>
    </row>
    <row r="29" spans="1:15" s="10" customFormat="1" x14ac:dyDescent="0.4">
      <c r="A29" s="11" t="s">
        <v>505</v>
      </c>
      <c r="B29" s="12" t="s">
        <v>160</v>
      </c>
      <c r="C29" s="13"/>
      <c r="D29" s="78"/>
      <c r="E29" s="78"/>
      <c r="F29" s="78"/>
      <c r="G29" s="78"/>
      <c r="H29" s="78"/>
      <c r="I29" s="79">
        <f t="shared" si="0"/>
        <v>0</v>
      </c>
      <c r="J29" s="78" t="s">
        <v>287</v>
      </c>
      <c r="K29" s="79">
        <f t="shared" si="1"/>
        <v>0</v>
      </c>
      <c r="L29" s="78"/>
      <c r="M29" s="78"/>
      <c r="N29" s="78"/>
      <c r="O29" s="78"/>
    </row>
    <row r="30" spans="1:15" s="10" customFormat="1" x14ac:dyDescent="0.4">
      <c r="A30" s="11" t="s">
        <v>506</v>
      </c>
      <c r="B30" s="12" t="s">
        <v>161</v>
      </c>
      <c r="C30" s="13"/>
      <c r="D30" s="78"/>
      <c r="E30" s="78"/>
      <c r="F30" s="78"/>
      <c r="G30" s="78"/>
      <c r="H30" s="78"/>
      <c r="I30" s="79">
        <f t="shared" si="0"/>
        <v>0</v>
      </c>
      <c r="J30" s="78" t="s">
        <v>287</v>
      </c>
      <c r="K30" s="79">
        <f t="shared" si="1"/>
        <v>0</v>
      </c>
      <c r="L30" s="78"/>
      <c r="M30" s="78"/>
      <c r="N30" s="78"/>
      <c r="O30" s="78"/>
    </row>
    <row r="31" spans="1:15" s="10" customFormat="1" x14ac:dyDescent="0.4">
      <c r="A31" s="11" t="s">
        <v>507</v>
      </c>
      <c r="B31" s="12" t="s">
        <v>162</v>
      </c>
      <c r="C31" s="13"/>
      <c r="D31" s="78"/>
      <c r="E31" s="78"/>
      <c r="F31" s="78"/>
      <c r="G31" s="78"/>
      <c r="H31" s="78"/>
      <c r="I31" s="79">
        <f t="shared" si="0"/>
        <v>0</v>
      </c>
      <c r="J31" s="78" t="s">
        <v>287</v>
      </c>
      <c r="K31" s="79">
        <f t="shared" si="1"/>
        <v>0</v>
      </c>
      <c r="L31" s="78"/>
      <c r="M31" s="78"/>
      <c r="N31" s="78"/>
      <c r="O31" s="78"/>
    </row>
    <row r="32" spans="1:15" s="10" customFormat="1" x14ac:dyDescent="0.4">
      <c r="A32" s="11" t="s">
        <v>508</v>
      </c>
      <c r="B32" s="12" t="s">
        <v>163</v>
      </c>
      <c r="C32" s="13"/>
      <c r="D32" s="78"/>
      <c r="E32" s="78"/>
      <c r="F32" s="78"/>
      <c r="G32" s="78"/>
      <c r="H32" s="78"/>
      <c r="I32" s="79">
        <f t="shared" si="0"/>
        <v>0</v>
      </c>
      <c r="J32" s="78" t="s">
        <v>287</v>
      </c>
      <c r="K32" s="79">
        <f t="shared" si="1"/>
        <v>0</v>
      </c>
      <c r="L32" s="78"/>
      <c r="M32" s="78"/>
      <c r="N32" s="78"/>
      <c r="O32" s="78"/>
    </row>
    <row r="33" spans="1:16" s="10" customFormat="1" x14ac:dyDescent="0.4">
      <c r="A33" s="11" t="s">
        <v>509</v>
      </c>
      <c r="B33" s="12" t="s">
        <v>164</v>
      </c>
      <c r="C33" s="82"/>
      <c r="D33" s="78"/>
      <c r="E33" s="78"/>
      <c r="F33" s="78"/>
      <c r="G33" s="78"/>
      <c r="H33" s="78"/>
      <c r="I33" s="79">
        <f t="shared" si="0"/>
        <v>0</v>
      </c>
      <c r="J33" s="78" t="s">
        <v>288</v>
      </c>
      <c r="K33" s="79">
        <f t="shared" si="1"/>
        <v>0</v>
      </c>
      <c r="L33" s="78"/>
      <c r="M33" s="78"/>
      <c r="N33" s="78"/>
      <c r="O33" s="78"/>
    </row>
    <row r="34" spans="1:16" s="78" customFormat="1" x14ac:dyDescent="0.4">
      <c r="A34" s="11" t="s">
        <v>510</v>
      </c>
      <c r="B34" s="12" t="s">
        <v>165</v>
      </c>
      <c r="C34" s="82"/>
      <c r="I34" s="79">
        <f t="shared" si="0"/>
        <v>0</v>
      </c>
      <c r="J34" s="78" t="s">
        <v>288</v>
      </c>
      <c r="K34" s="79">
        <f t="shared" si="1"/>
        <v>0</v>
      </c>
      <c r="L34" s="78">
        <f>SUM(K6:K32)</f>
        <v>0</v>
      </c>
      <c r="P34" s="10"/>
    </row>
    <row r="35" spans="1:16" s="78" customFormat="1" x14ac:dyDescent="0.4">
      <c r="A35" s="11" t="s">
        <v>511</v>
      </c>
      <c r="B35" s="12" t="s">
        <v>166</v>
      </c>
      <c r="C35" s="82"/>
      <c r="I35" s="79">
        <f t="shared" si="0"/>
        <v>0</v>
      </c>
      <c r="J35" s="78" t="s">
        <v>288</v>
      </c>
      <c r="K35" s="79">
        <f t="shared" si="1"/>
        <v>0</v>
      </c>
      <c r="P35" s="10"/>
    </row>
    <row r="36" spans="1:16" s="10" customFormat="1" x14ac:dyDescent="0.4">
      <c r="A36" s="68" t="s">
        <v>512</v>
      </c>
      <c r="B36" s="12" t="s">
        <v>167</v>
      </c>
      <c r="C36" s="82"/>
      <c r="D36" s="78"/>
      <c r="E36" s="78"/>
      <c r="F36" s="78"/>
      <c r="G36" s="78"/>
      <c r="H36" s="78"/>
      <c r="I36" s="79">
        <f t="shared" si="0"/>
        <v>0</v>
      </c>
      <c r="J36" s="78" t="s">
        <v>288</v>
      </c>
      <c r="K36" s="79">
        <f t="shared" si="1"/>
        <v>0</v>
      </c>
      <c r="L36" s="78"/>
      <c r="M36" s="78"/>
      <c r="N36" s="78"/>
      <c r="O36" s="78"/>
    </row>
    <row r="37" spans="1:16" s="10" customFormat="1" x14ac:dyDescent="0.4">
      <c r="A37" s="11" t="s">
        <v>513</v>
      </c>
      <c r="B37" s="12" t="s">
        <v>168</v>
      </c>
      <c r="C37" s="82"/>
      <c r="D37" s="78"/>
      <c r="E37" s="78"/>
      <c r="F37" s="78"/>
      <c r="G37" s="78"/>
      <c r="H37" s="78"/>
      <c r="I37" s="79">
        <f t="shared" si="0"/>
        <v>0</v>
      </c>
      <c r="J37" s="78" t="s">
        <v>288</v>
      </c>
      <c r="K37" s="79">
        <f t="shared" si="1"/>
        <v>0</v>
      </c>
      <c r="L37" s="78"/>
      <c r="M37" s="78"/>
      <c r="N37" s="78"/>
      <c r="O37" s="78"/>
    </row>
    <row r="38" spans="1:16" s="10" customFormat="1" x14ac:dyDescent="0.4">
      <c r="A38" s="11" t="s">
        <v>514</v>
      </c>
      <c r="B38" s="12" t="s">
        <v>169</v>
      </c>
      <c r="C38" s="82"/>
      <c r="D38" s="78"/>
      <c r="E38" s="78"/>
      <c r="F38" s="78"/>
      <c r="G38" s="78"/>
      <c r="H38" s="78"/>
      <c r="I38" s="79">
        <f t="shared" si="0"/>
        <v>0</v>
      </c>
      <c r="J38" s="78" t="s">
        <v>288</v>
      </c>
      <c r="K38" s="79">
        <f t="shared" si="1"/>
        <v>0</v>
      </c>
      <c r="L38" s="78"/>
      <c r="M38" s="78"/>
      <c r="N38" s="78"/>
      <c r="O38" s="78"/>
    </row>
    <row r="39" spans="1:16" s="10" customFormat="1" x14ac:dyDescent="0.4">
      <c r="A39" s="69" t="s">
        <v>611</v>
      </c>
      <c r="B39" s="12" t="s">
        <v>610</v>
      </c>
      <c r="C39" s="82"/>
      <c r="D39" s="78"/>
      <c r="E39" s="78"/>
      <c r="F39" s="78"/>
      <c r="G39" s="78"/>
      <c r="H39" s="78"/>
      <c r="I39" s="79">
        <f t="shared" si="0"/>
        <v>0</v>
      </c>
      <c r="J39" s="78" t="s">
        <v>288</v>
      </c>
      <c r="K39" s="79">
        <f t="shared" si="1"/>
        <v>0</v>
      </c>
      <c r="L39" s="78"/>
      <c r="M39" s="78"/>
      <c r="N39" s="78"/>
      <c r="O39" s="78"/>
    </row>
    <row r="40" spans="1:16" s="10" customFormat="1" x14ac:dyDescent="0.4">
      <c r="A40" s="69"/>
      <c r="B40" s="12" t="s">
        <v>170</v>
      </c>
      <c r="C40" s="82"/>
      <c r="D40" s="79"/>
      <c r="E40" s="79"/>
      <c r="F40" s="79"/>
      <c r="G40" s="79"/>
      <c r="H40" s="79"/>
      <c r="I40" s="79">
        <f t="shared" si="0"/>
        <v>0</v>
      </c>
      <c r="J40" s="79" t="s">
        <v>288</v>
      </c>
      <c r="K40" s="79">
        <f t="shared" si="1"/>
        <v>0</v>
      </c>
      <c r="L40" s="78"/>
      <c r="M40" s="78"/>
      <c r="N40" s="78"/>
      <c r="O40" s="78"/>
    </row>
    <row r="41" spans="1:16" s="10" customFormat="1" x14ac:dyDescent="0.4">
      <c r="A41" s="69"/>
      <c r="B41" s="12" t="s">
        <v>759</v>
      </c>
      <c r="C41" s="82"/>
      <c r="D41" s="79"/>
      <c r="E41" s="78"/>
      <c r="F41" s="78"/>
      <c r="G41" s="78"/>
      <c r="H41" s="79">
        <f>-D41</f>
        <v>0</v>
      </c>
      <c r="I41" s="79">
        <f t="shared" si="0"/>
        <v>0</v>
      </c>
      <c r="J41" s="78" t="s">
        <v>288</v>
      </c>
      <c r="K41" s="79">
        <f t="shared" si="1"/>
        <v>0</v>
      </c>
      <c r="L41" s="78"/>
      <c r="M41" s="78"/>
      <c r="N41" s="78"/>
      <c r="O41" s="78"/>
    </row>
    <row r="42" spans="1:16" s="10" customFormat="1" x14ac:dyDescent="0.4">
      <c r="A42" s="11" t="s">
        <v>515</v>
      </c>
      <c r="B42" s="12" t="s">
        <v>171</v>
      </c>
      <c r="C42" s="82"/>
      <c r="D42" s="78"/>
      <c r="E42" s="78"/>
      <c r="F42" s="78"/>
      <c r="G42" s="78"/>
      <c r="H42" s="78"/>
      <c r="I42" s="79">
        <f t="shared" si="0"/>
        <v>0</v>
      </c>
      <c r="J42" s="78" t="s">
        <v>291</v>
      </c>
      <c r="K42" s="79">
        <f t="shared" si="1"/>
        <v>0</v>
      </c>
      <c r="L42" s="79"/>
      <c r="M42" s="79"/>
      <c r="N42" s="79"/>
      <c r="O42" s="79"/>
    </row>
    <row r="43" spans="1:16" s="10" customFormat="1" x14ac:dyDescent="0.4">
      <c r="A43" s="11" t="s">
        <v>516</v>
      </c>
      <c r="B43" s="12" t="s">
        <v>172</v>
      </c>
      <c r="C43" s="82"/>
      <c r="D43" s="78"/>
      <c r="E43" s="78"/>
      <c r="F43" s="78"/>
      <c r="G43" s="78"/>
      <c r="H43" s="78"/>
      <c r="I43" s="79">
        <f t="shared" si="0"/>
        <v>0</v>
      </c>
      <c r="J43" s="78" t="s">
        <v>291</v>
      </c>
      <c r="K43" s="79">
        <f t="shared" si="1"/>
        <v>0</v>
      </c>
      <c r="L43" s="78"/>
      <c r="M43" s="78"/>
      <c r="N43" s="78"/>
      <c r="O43" s="78"/>
    </row>
    <row r="44" spans="1:16" s="10" customFormat="1" x14ac:dyDescent="0.4">
      <c r="A44" s="100" t="s">
        <v>655</v>
      </c>
      <c r="B44" s="100" t="s">
        <v>654</v>
      </c>
      <c r="C44" s="82"/>
      <c r="D44" s="78"/>
      <c r="E44" s="78"/>
      <c r="F44" s="78"/>
      <c r="G44" s="78"/>
      <c r="H44" s="78"/>
      <c r="I44" s="79">
        <f t="shared" ref="I44" si="2">SUM(C44:H44)</f>
        <v>0</v>
      </c>
      <c r="J44" s="78" t="s">
        <v>291</v>
      </c>
      <c r="K44" s="79">
        <f t="shared" si="1"/>
        <v>0</v>
      </c>
      <c r="L44" s="78"/>
      <c r="M44" s="78"/>
      <c r="N44" s="78"/>
      <c r="O44" s="78"/>
    </row>
    <row r="45" spans="1:16" s="10" customFormat="1" x14ac:dyDescent="0.4">
      <c r="A45" s="11" t="s">
        <v>517</v>
      </c>
      <c r="B45" s="12" t="s">
        <v>173</v>
      </c>
      <c r="C45" s="82"/>
      <c r="D45" s="78"/>
      <c r="E45" s="78"/>
      <c r="F45" s="78"/>
      <c r="G45" s="78"/>
      <c r="H45" s="78"/>
      <c r="I45" s="79">
        <f t="shared" si="0"/>
        <v>0</v>
      </c>
      <c r="J45" s="78" t="s">
        <v>289</v>
      </c>
      <c r="K45" s="79">
        <f t="shared" si="1"/>
        <v>0</v>
      </c>
      <c r="L45" s="78"/>
      <c r="M45" s="78"/>
      <c r="N45" s="78"/>
      <c r="O45" s="78"/>
    </row>
    <row r="46" spans="1:16" s="10" customFormat="1" x14ac:dyDescent="0.4">
      <c r="A46" s="11" t="s">
        <v>518</v>
      </c>
      <c r="B46" s="12" t="s">
        <v>174</v>
      </c>
      <c r="C46" s="82"/>
      <c r="D46" s="78"/>
      <c r="E46" s="78"/>
      <c r="F46" s="78"/>
      <c r="G46" s="78"/>
      <c r="H46" s="78"/>
      <c r="I46" s="79">
        <f t="shared" si="0"/>
        <v>0</v>
      </c>
      <c r="J46" s="78" t="s">
        <v>292</v>
      </c>
      <c r="K46" s="79">
        <f t="shared" si="1"/>
        <v>0</v>
      </c>
      <c r="L46" s="78"/>
      <c r="M46" s="78"/>
      <c r="N46" s="78"/>
      <c r="O46" s="78"/>
    </row>
    <row r="47" spans="1:16" s="10" customFormat="1" x14ac:dyDescent="0.4">
      <c r="A47" s="11" t="s">
        <v>519</v>
      </c>
      <c r="B47" s="12" t="s">
        <v>175</v>
      </c>
      <c r="C47" s="82"/>
      <c r="D47" s="78"/>
      <c r="E47" s="78"/>
      <c r="F47" s="78"/>
      <c r="G47" s="78"/>
      <c r="H47" s="78"/>
      <c r="I47" s="79">
        <f t="shared" si="0"/>
        <v>0</v>
      </c>
      <c r="J47" s="78" t="s">
        <v>288</v>
      </c>
      <c r="K47" s="79">
        <f t="shared" si="1"/>
        <v>0</v>
      </c>
      <c r="L47" s="78"/>
      <c r="M47" s="78"/>
      <c r="N47" s="78"/>
      <c r="O47" s="78"/>
    </row>
    <row r="48" spans="1:16" s="10" customFormat="1" x14ac:dyDescent="0.4">
      <c r="A48" s="11" t="s">
        <v>520</v>
      </c>
      <c r="B48" s="12" t="s">
        <v>176</v>
      </c>
      <c r="C48" s="82"/>
      <c r="D48" s="78"/>
      <c r="E48" s="78"/>
      <c r="F48" s="78"/>
      <c r="G48" s="78"/>
      <c r="H48" s="78"/>
      <c r="I48" s="79">
        <f t="shared" si="0"/>
        <v>0</v>
      </c>
      <c r="J48" s="78" t="s">
        <v>288</v>
      </c>
      <c r="K48" s="79">
        <f t="shared" si="1"/>
        <v>0</v>
      </c>
      <c r="L48" s="78"/>
      <c r="M48" s="78"/>
      <c r="N48" s="78"/>
      <c r="O48" s="78"/>
    </row>
    <row r="49" spans="1:15" s="10" customFormat="1" x14ac:dyDescent="0.4">
      <c r="A49" s="11" t="s">
        <v>521</v>
      </c>
      <c r="B49" s="12" t="s">
        <v>177</v>
      </c>
      <c r="C49" s="82"/>
      <c r="D49" s="78"/>
      <c r="E49" s="78"/>
      <c r="F49" s="78"/>
      <c r="G49" s="78"/>
      <c r="H49" s="78"/>
      <c r="I49" s="79">
        <f t="shared" si="0"/>
        <v>0</v>
      </c>
      <c r="J49" s="78" t="s">
        <v>288</v>
      </c>
      <c r="K49" s="79">
        <f t="shared" si="1"/>
        <v>0</v>
      </c>
      <c r="L49" s="78"/>
      <c r="M49" s="78"/>
      <c r="N49" s="78"/>
      <c r="O49" s="78"/>
    </row>
    <row r="50" spans="1:15" s="10" customFormat="1" x14ac:dyDescent="0.4">
      <c r="A50" s="11" t="s">
        <v>522</v>
      </c>
      <c r="B50" s="12" t="s">
        <v>178</v>
      </c>
      <c r="C50" s="82"/>
      <c r="D50" s="78"/>
      <c r="E50" s="78"/>
      <c r="F50" s="78"/>
      <c r="G50" s="78"/>
      <c r="H50" s="78"/>
      <c r="I50" s="79">
        <f t="shared" si="0"/>
        <v>0</v>
      </c>
      <c r="J50" s="78" t="s">
        <v>292</v>
      </c>
      <c r="K50" s="79">
        <f t="shared" si="1"/>
        <v>0</v>
      </c>
      <c r="L50" s="78"/>
      <c r="M50" s="78"/>
      <c r="N50" s="78"/>
      <c r="O50" s="78"/>
    </row>
    <row r="51" spans="1:15" s="10" customFormat="1" x14ac:dyDescent="0.4">
      <c r="A51" s="11" t="s">
        <v>523</v>
      </c>
      <c r="B51" s="12" t="s">
        <v>179</v>
      </c>
      <c r="C51" s="82"/>
      <c r="D51" s="78"/>
      <c r="E51" s="78"/>
      <c r="F51" s="78"/>
      <c r="G51" s="78"/>
      <c r="H51" s="78"/>
      <c r="I51" s="79">
        <f t="shared" si="0"/>
        <v>0</v>
      </c>
      <c r="J51" s="78" t="s">
        <v>292</v>
      </c>
      <c r="K51" s="79">
        <f t="shared" si="1"/>
        <v>0</v>
      </c>
      <c r="L51" s="78"/>
      <c r="M51" s="78"/>
      <c r="N51" s="78"/>
      <c r="O51" s="78"/>
    </row>
    <row r="52" spans="1:15" s="10" customFormat="1" x14ac:dyDescent="0.4">
      <c r="A52" s="11" t="s">
        <v>524</v>
      </c>
      <c r="B52" s="12" t="s">
        <v>180</v>
      </c>
      <c r="C52" s="82"/>
      <c r="D52" s="78"/>
      <c r="E52" s="78"/>
      <c r="F52" s="78"/>
      <c r="G52" s="78"/>
      <c r="H52" s="78"/>
      <c r="I52" s="79">
        <f t="shared" si="0"/>
        <v>0</v>
      </c>
      <c r="J52" s="78" t="s">
        <v>292</v>
      </c>
      <c r="K52" s="79">
        <f t="shared" si="1"/>
        <v>0</v>
      </c>
      <c r="L52" s="78"/>
      <c r="M52" s="78"/>
      <c r="N52" s="78"/>
      <c r="O52" s="78"/>
    </row>
    <row r="53" spans="1:15" s="10" customFormat="1" x14ac:dyDescent="0.4">
      <c r="A53" s="11" t="s">
        <v>525</v>
      </c>
      <c r="B53" s="12" t="s">
        <v>254</v>
      </c>
      <c r="C53" s="82"/>
      <c r="D53" s="78"/>
      <c r="E53" s="78"/>
      <c r="F53" s="78"/>
      <c r="G53" s="78"/>
      <c r="H53" s="78"/>
      <c r="I53" s="79">
        <f t="shared" si="0"/>
        <v>0</v>
      </c>
      <c r="J53" s="78" t="s">
        <v>292</v>
      </c>
      <c r="K53" s="79">
        <f t="shared" si="1"/>
        <v>0</v>
      </c>
      <c r="L53" s="78"/>
      <c r="M53" s="78"/>
      <c r="N53" s="78"/>
      <c r="O53" s="78"/>
    </row>
    <row r="54" spans="1:15" s="10" customFormat="1" x14ac:dyDescent="0.4">
      <c r="A54" s="100" t="s">
        <v>783</v>
      </c>
      <c r="B54" s="100" t="s">
        <v>784</v>
      </c>
      <c r="C54" s="82"/>
      <c r="D54" s="78"/>
      <c r="E54" s="78"/>
      <c r="F54" s="78"/>
      <c r="G54" s="78"/>
      <c r="H54" s="78"/>
      <c r="I54" s="79">
        <f>SUM(C54:H54)</f>
        <v>0</v>
      </c>
      <c r="J54" s="78" t="s">
        <v>292</v>
      </c>
      <c r="K54" s="79">
        <f t="shared" si="1"/>
        <v>0</v>
      </c>
      <c r="L54" s="78"/>
      <c r="M54" s="78"/>
      <c r="N54" s="78"/>
      <c r="O54" s="78"/>
    </row>
    <row r="55" spans="1:15" s="10" customFormat="1" x14ac:dyDescent="0.4">
      <c r="A55" s="100" t="s">
        <v>526</v>
      </c>
      <c r="B55" s="100" t="s">
        <v>255</v>
      </c>
      <c r="C55" s="82"/>
      <c r="D55" s="78"/>
      <c r="E55" s="78"/>
      <c r="F55" s="78"/>
      <c r="G55" s="78"/>
      <c r="H55" s="78"/>
      <c r="I55" s="79">
        <f>SUM(C55:H55)</f>
        <v>0</v>
      </c>
      <c r="J55" s="78" t="s">
        <v>292</v>
      </c>
      <c r="K55" s="79">
        <f t="shared" si="1"/>
        <v>0</v>
      </c>
      <c r="L55" s="78"/>
      <c r="M55" s="78"/>
      <c r="N55" s="78"/>
      <c r="O55" s="78"/>
    </row>
    <row r="56" spans="1:15" s="10" customFormat="1" x14ac:dyDescent="0.4">
      <c r="A56" s="11" t="s">
        <v>527</v>
      </c>
      <c r="B56" s="12" t="s">
        <v>181</v>
      </c>
      <c r="C56" s="82"/>
      <c r="D56" s="78"/>
      <c r="E56" s="78"/>
      <c r="F56" s="78"/>
      <c r="G56" s="78"/>
      <c r="H56" s="78"/>
      <c r="I56" s="79">
        <f t="shared" si="0"/>
        <v>0</v>
      </c>
      <c r="J56" s="78" t="s">
        <v>292</v>
      </c>
      <c r="K56" s="79">
        <f t="shared" si="1"/>
        <v>0</v>
      </c>
      <c r="L56" s="78"/>
      <c r="M56" s="78"/>
      <c r="N56" s="78"/>
      <c r="O56" s="78"/>
    </row>
    <row r="57" spans="1:15" s="10" customFormat="1" x14ac:dyDescent="0.4">
      <c r="A57" s="11" t="s">
        <v>528</v>
      </c>
      <c r="B57" s="12" t="s">
        <v>182</v>
      </c>
      <c r="C57" s="82"/>
      <c r="D57" s="78"/>
      <c r="E57" s="78"/>
      <c r="F57" s="78"/>
      <c r="G57" s="78"/>
      <c r="H57" s="78"/>
      <c r="I57" s="79">
        <f t="shared" si="0"/>
        <v>0</v>
      </c>
      <c r="J57" s="78" t="s">
        <v>292</v>
      </c>
      <c r="K57" s="79">
        <f t="shared" si="1"/>
        <v>0</v>
      </c>
      <c r="L57" s="78"/>
      <c r="M57" s="78"/>
      <c r="N57" s="78"/>
      <c r="O57" s="78"/>
    </row>
    <row r="58" spans="1:15" s="10" customFormat="1" x14ac:dyDescent="0.4">
      <c r="A58" s="11" t="s">
        <v>529</v>
      </c>
      <c r="B58" s="12" t="s">
        <v>183</v>
      </c>
      <c r="C58" s="82"/>
      <c r="D58" s="78"/>
      <c r="E58" s="78"/>
      <c r="F58" s="78"/>
      <c r="G58" s="78"/>
      <c r="H58" s="78"/>
      <c r="I58" s="79">
        <f t="shared" si="0"/>
        <v>0</v>
      </c>
      <c r="J58" s="78" t="s">
        <v>292</v>
      </c>
      <c r="K58" s="79">
        <f t="shared" si="1"/>
        <v>0</v>
      </c>
      <c r="L58" s="78"/>
      <c r="M58" s="78"/>
      <c r="N58" s="78"/>
      <c r="O58" s="78"/>
    </row>
    <row r="59" spans="1:15" s="10" customFormat="1" x14ac:dyDescent="0.4">
      <c r="A59" s="11" t="s">
        <v>530</v>
      </c>
      <c r="B59" s="12" t="s">
        <v>256</v>
      </c>
      <c r="C59" s="82"/>
      <c r="D59" s="78"/>
      <c r="E59" s="78"/>
      <c r="F59" s="78"/>
      <c r="G59" s="78"/>
      <c r="H59" s="78"/>
      <c r="I59" s="79">
        <f t="shared" si="0"/>
        <v>0</v>
      </c>
      <c r="J59" s="78" t="s">
        <v>292</v>
      </c>
      <c r="K59" s="79">
        <f t="shared" si="1"/>
        <v>0</v>
      </c>
      <c r="L59" s="78"/>
      <c r="M59" s="78"/>
      <c r="N59" s="78"/>
      <c r="O59" s="78"/>
    </row>
    <row r="60" spans="1:15" s="10" customFormat="1" x14ac:dyDescent="0.4">
      <c r="A60" s="11" t="s">
        <v>531</v>
      </c>
      <c r="B60" s="12" t="s">
        <v>184</v>
      </c>
      <c r="C60" s="82"/>
      <c r="D60" s="78"/>
      <c r="E60" s="78"/>
      <c r="F60" s="78"/>
      <c r="G60" s="78"/>
      <c r="H60" s="78"/>
      <c r="I60" s="79">
        <f t="shared" si="0"/>
        <v>0</v>
      </c>
      <c r="J60" s="78" t="s">
        <v>292</v>
      </c>
      <c r="K60" s="79">
        <f t="shared" si="1"/>
        <v>0</v>
      </c>
      <c r="L60" s="78"/>
      <c r="M60" s="78"/>
      <c r="N60" s="78"/>
      <c r="O60" s="78"/>
    </row>
    <row r="61" spans="1:15" s="10" customFormat="1" x14ac:dyDescent="0.4">
      <c r="A61" s="11" t="s">
        <v>532</v>
      </c>
      <c r="B61" s="12" t="s">
        <v>185</v>
      </c>
      <c r="C61" s="82"/>
      <c r="D61" s="78"/>
      <c r="E61" s="78"/>
      <c r="F61" s="78"/>
      <c r="G61" s="78"/>
      <c r="H61" s="78"/>
      <c r="I61" s="79">
        <f t="shared" si="0"/>
        <v>0</v>
      </c>
      <c r="J61" s="78" t="s">
        <v>289</v>
      </c>
      <c r="K61" s="79">
        <f t="shared" si="1"/>
        <v>0</v>
      </c>
      <c r="L61" s="78"/>
      <c r="M61" s="78"/>
      <c r="N61" s="78"/>
      <c r="O61" s="78"/>
    </row>
    <row r="62" spans="1:15" s="10" customFormat="1" x14ac:dyDescent="0.4">
      <c r="A62" s="11" t="s">
        <v>533</v>
      </c>
      <c r="B62" s="12" t="s">
        <v>186</v>
      </c>
      <c r="C62" s="82"/>
      <c r="D62" s="78"/>
      <c r="E62" s="78"/>
      <c r="F62" s="78"/>
      <c r="G62" s="78"/>
      <c r="H62" s="78"/>
      <c r="I62" s="79">
        <f t="shared" si="0"/>
        <v>0</v>
      </c>
      <c r="J62" s="78" t="s">
        <v>292</v>
      </c>
      <c r="K62" s="79">
        <f t="shared" si="1"/>
        <v>0</v>
      </c>
      <c r="L62" s="78"/>
      <c r="M62" s="78"/>
      <c r="N62" s="78"/>
      <c r="O62" s="78"/>
    </row>
    <row r="63" spans="1:15" s="10" customFormat="1" x14ac:dyDescent="0.4">
      <c r="A63" s="11" t="s">
        <v>534</v>
      </c>
      <c r="B63" s="12" t="s">
        <v>187</v>
      </c>
      <c r="C63" s="82"/>
      <c r="D63" s="78"/>
      <c r="E63" s="78"/>
      <c r="F63" s="78"/>
      <c r="G63" s="78"/>
      <c r="H63" s="78"/>
      <c r="I63" s="79">
        <f t="shared" si="0"/>
        <v>0</v>
      </c>
      <c r="J63" s="78" t="s">
        <v>292</v>
      </c>
      <c r="K63" s="79">
        <f t="shared" si="1"/>
        <v>0</v>
      </c>
      <c r="L63" s="78"/>
      <c r="M63" s="78"/>
      <c r="N63" s="78"/>
      <c r="O63" s="78"/>
    </row>
    <row r="64" spans="1:15" s="10" customFormat="1" x14ac:dyDescent="0.4">
      <c r="A64" s="11" t="s">
        <v>535</v>
      </c>
      <c r="B64" s="12" t="s">
        <v>188</v>
      </c>
      <c r="C64" s="82"/>
      <c r="D64" s="78"/>
      <c r="E64" s="78"/>
      <c r="F64" s="78"/>
      <c r="G64" s="78"/>
      <c r="H64" s="78"/>
      <c r="I64" s="79">
        <f t="shared" si="0"/>
        <v>0</v>
      </c>
      <c r="J64" s="78" t="s">
        <v>292</v>
      </c>
      <c r="K64" s="79">
        <f t="shared" si="1"/>
        <v>0</v>
      </c>
      <c r="L64" s="78"/>
      <c r="M64" s="78"/>
      <c r="N64" s="78"/>
      <c r="O64" s="78"/>
    </row>
    <row r="65" spans="1:15" s="10" customFormat="1" x14ac:dyDescent="0.4">
      <c r="A65" s="11" t="s">
        <v>536</v>
      </c>
      <c r="B65" s="12" t="s">
        <v>189</v>
      </c>
      <c r="C65" s="82"/>
      <c r="D65" s="78"/>
      <c r="E65" s="78"/>
      <c r="F65" s="78"/>
      <c r="G65" s="78"/>
      <c r="H65" s="78"/>
      <c r="I65" s="79">
        <f t="shared" si="0"/>
        <v>0</v>
      </c>
      <c r="J65" s="78" t="s">
        <v>292</v>
      </c>
      <c r="K65" s="79">
        <f t="shared" si="1"/>
        <v>0</v>
      </c>
      <c r="L65" s="78"/>
      <c r="M65" s="78"/>
      <c r="N65" s="78"/>
      <c r="O65" s="78"/>
    </row>
    <row r="66" spans="1:15" s="10" customFormat="1" x14ac:dyDescent="0.4">
      <c r="A66" s="11" t="s">
        <v>537</v>
      </c>
      <c r="B66" s="12" t="s">
        <v>190</v>
      </c>
      <c r="C66" s="82"/>
      <c r="D66" s="78"/>
      <c r="E66" s="78"/>
      <c r="F66" s="78"/>
      <c r="G66" s="78"/>
      <c r="H66" s="78"/>
      <c r="I66" s="79">
        <f t="shared" si="0"/>
        <v>0</v>
      </c>
      <c r="J66" s="78" t="s">
        <v>292</v>
      </c>
      <c r="K66" s="79">
        <f t="shared" si="1"/>
        <v>0</v>
      </c>
      <c r="L66" s="78"/>
      <c r="M66" s="78"/>
      <c r="N66" s="78"/>
      <c r="O66" s="78"/>
    </row>
    <row r="67" spans="1:15" s="10" customFormat="1" x14ac:dyDescent="0.4">
      <c r="A67" s="100" t="s">
        <v>785</v>
      </c>
      <c r="B67" s="100" t="s">
        <v>616</v>
      </c>
      <c r="C67" s="82"/>
      <c r="D67" s="78"/>
      <c r="E67" s="78"/>
      <c r="F67" s="78"/>
      <c r="G67" s="78"/>
      <c r="H67" s="78"/>
      <c r="I67" s="79">
        <f t="shared" ref="I67" si="3">SUM(C67:H67)</f>
        <v>0</v>
      </c>
      <c r="J67" s="78" t="s">
        <v>292</v>
      </c>
      <c r="K67" s="79">
        <f t="shared" si="1"/>
        <v>0</v>
      </c>
      <c r="L67" s="78"/>
      <c r="M67" s="78"/>
      <c r="N67" s="78"/>
      <c r="O67" s="78"/>
    </row>
    <row r="68" spans="1:15" s="10" customFormat="1" x14ac:dyDescent="0.4">
      <c r="A68" s="11" t="s">
        <v>538</v>
      </c>
      <c r="B68" s="12" t="s">
        <v>191</v>
      </c>
      <c r="C68" s="82"/>
      <c r="D68" s="78"/>
      <c r="E68" s="78"/>
      <c r="F68" s="78"/>
      <c r="G68" s="78"/>
      <c r="H68" s="78"/>
      <c r="I68" s="79">
        <f t="shared" si="0"/>
        <v>0</v>
      </c>
      <c r="J68" s="78" t="s">
        <v>292</v>
      </c>
      <c r="K68" s="79">
        <f t="shared" si="1"/>
        <v>0</v>
      </c>
      <c r="L68" s="78"/>
      <c r="M68" s="78"/>
      <c r="N68" s="78"/>
      <c r="O68" s="78"/>
    </row>
    <row r="69" spans="1:15" s="10" customFormat="1" x14ac:dyDescent="0.4">
      <c r="A69" s="11" t="s">
        <v>539</v>
      </c>
      <c r="B69" s="12" t="s">
        <v>192</v>
      </c>
      <c r="C69" s="82"/>
      <c r="D69" s="78"/>
      <c r="E69" s="78"/>
      <c r="F69" s="78"/>
      <c r="G69" s="78"/>
      <c r="H69" s="78"/>
      <c r="I69" s="79">
        <f t="shared" si="0"/>
        <v>0</v>
      </c>
      <c r="J69" s="78" t="s">
        <v>292</v>
      </c>
      <c r="K69" s="79">
        <f t="shared" si="1"/>
        <v>0</v>
      </c>
      <c r="L69" s="78"/>
      <c r="M69" s="78"/>
      <c r="N69" s="78"/>
      <c r="O69" s="78"/>
    </row>
    <row r="70" spans="1:15" s="10" customFormat="1" x14ac:dyDescent="0.4">
      <c r="A70" s="11" t="s">
        <v>540</v>
      </c>
      <c r="B70" s="12" t="s">
        <v>193</v>
      </c>
      <c r="C70" s="82"/>
      <c r="D70" s="78"/>
      <c r="E70" s="78"/>
      <c r="F70" s="78"/>
      <c r="G70" s="78"/>
      <c r="H70" s="78"/>
      <c r="I70" s="79">
        <f t="shared" si="0"/>
        <v>0</v>
      </c>
      <c r="J70" s="78" t="s">
        <v>292</v>
      </c>
      <c r="K70" s="79">
        <f t="shared" si="1"/>
        <v>0</v>
      </c>
      <c r="L70" s="78"/>
      <c r="M70" s="78"/>
      <c r="N70" s="78"/>
      <c r="O70" s="78"/>
    </row>
    <row r="71" spans="1:15" s="10" customFormat="1" x14ac:dyDescent="0.4">
      <c r="A71" s="11" t="s">
        <v>541</v>
      </c>
      <c r="B71" s="12" t="s">
        <v>194</v>
      </c>
      <c r="C71" s="82"/>
      <c r="D71" s="78"/>
      <c r="E71" s="78"/>
      <c r="F71" s="78"/>
      <c r="G71" s="78"/>
      <c r="H71" s="78"/>
      <c r="I71" s="79">
        <f t="shared" si="0"/>
        <v>0</v>
      </c>
      <c r="J71" s="78" t="s">
        <v>292</v>
      </c>
      <c r="K71" s="79">
        <f t="shared" si="1"/>
        <v>0</v>
      </c>
      <c r="L71" s="78"/>
      <c r="M71" s="78"/>
      <c r="N71" s="78"/>
      <c r="O71" s="78"/>
    </row>
    <row r="72" spans="1:15" s="10" customFormat="1" x14ac:dyDescent="0.4">
      <c r="A72" s="11" t="s">
        <v>542</v>
      </c>
      <c r="B72" s="12" t="s">
        <v>195</v>
      </c>
      <c r="C72" s="82"/>
      <c r="D72" s="78"/>
      <c r="E72" s="78"/>
      <c r="F72" s="78"/>
      <c r="G72" s="78"/>
      <c r="H72" s="78"/>
      <c r="I72" s="79">
        <f t="shared" si="0"/>
        <v>0</v>
      </c>
      <c r="J72" s="78" t="s">
        <v>292</v>
      </c>
      <c r="K72" s="79">
        <f t="shared" si="1"/>
        <v>0</v>
      </c>
      <c r="L72" s="78"/>
      <c r="M72" s="78"/>
      <c r="N72" s="78"/>
      <c r="O72" s="78"/>
    </row>
    <row r="73" spans="1:15" s="10" customFormat="1" x14ac:dyDescent="0.4">
      <c r="A73" s="11" t="s">
        <v>543</v>
      </c>
      <c r="B73" s="12" t="s">
        <v>196</v>
      </c>
      <c r="C73" s="82"/>
      <c r="D73" s="78"/>
      <c r="E73" s="78"/>
      <c r="F73" s="78"/>
      <c r="G73" s="78"/>
      <c r="H73" s="78"/>
      <c r="I73" s="79">
        <f t="shared" si="0"/>
        <v>0</v>
      </c>
      <c r="J73" s="78" t="s">
        <v>292</v>
      </c>
      <c r="K73" s="79">
        <f t="shared" si="1"/>
        <v>0</v>
      </c>
      <c r="L73" s="78"/>
      <c r="M73" s="78"/>
      <c r="N73" s="78"/>
      <c r="O73" s="78"/>
    </row>
    <row r="74" spans="1:15" s="10" customFormat="1" x14ac:dyDescent="0.4">
      <c r="A74" s="11" t="s">
        <v>544</v>
      </c>
      <c r="B74" s="12" t="s">
        <v>197</v>
      </c>
      <c r="C74" s="82"/>
      <c r="D74" s="78"/>
      <c r="E74" s="78"/>
      <c r="F74" s="78"/>
      <c r="G74" s="78"/>
      <c r="H74" s="78"/>
      <c r="I74" s="79">
        <f t="shared" ref="I74:I137" si="4">SUM(C74:H74)</f>
        <v>0</v>
      </c>
      <c r="J74" s="78" t="s">
        <v>290</v>
      </c>
      <c r="K74" s="79">
        <f t="shared" ref="K74:K141" si="5">I74*1</f>
        <v>0</v>
      </c>
      <c r="L74" s="78"/>
      <c r="M74" s="78"/>
      <c r="N74" s="78"/>
      <c r="O74" s="78"/>
    </row>
    <row r="75" spans="1:15" s="10" customFormat="1" x14ac:dyDescent="0.4">
      <c r="A75" s="11" t="s">
        <v>545</v>
      </c>
      <c r="B75" s="12" t="s">
        <v>198</v>
      </c>
      <c r="C75" s="82"/>
      <c r="D75" s="78"/>
      <c r="E75" s="78"/>
      <c r="F75" s="78"/>
      <c r="G75" s="78"/>
      <c r="H75" s="78"/>
      <c r="I75" s="79">
        <f t="shared" si="4"/>
        <v>0</v>
      </c>
      <c r="J75" s="78" t="s">
        <v>292</v>
      </c>
      <c r="K75" s="79">
        <f t="shared" si="5"/>
        <v>0</v>
      </c>
      <c r="L75" s="78"/>
      <c r="M75" s="78"/>
      <c r="N75" s="78"/>
      <c r="O75" s="78"/>
    </row>
    <row r="76" spans="1:15" s="10" customFormat="1" x14ac:dyDescent="0.4">
      <c r="A76" s="11" t="s">
        <v>546</v>
      </c>
      <c r="B76" s="12" t="s">
        <v>199</v>
      </c>
      <c r="C76" s="82"/>
      <c r="D76" s="78"/>
      <c r="E76" s="78"/>
      <c r="F76" s="78"/>
      <c r="G76" s="78"/>
      <c r="H76" s="78"/>
      <c r="I76" s="79">
        <f t="shared" si="4"/>
        <v>0</v>
      </c>
      <c r="J76" s="78" t="s">
        <v>292</v>
      </c>
      <c r="K76" s="79">
        <f t="shared" si="5"/>
        <v>0</v>
      </c>
      <c r="L76" s="78"/>
      <c r="M76" s="78"/>
      <c r="N76" s="78"/>
      <c r="O76" s="78"/>
    </row>
    <row r="77" spans="1:15" s="10" customFormat="1" x14ac:dyDescent="0.4">
      <c r="A77" s="11" t="s">
        <v>547</v>
      </c>
      <c r="B77" s="12" t="s">
        <v>200</v>
      </c>
      <c r="C77" s="82"/>
      <c r="D77" s="78"/>
      <c r="E77" s="78"/>
      <c r="F77" s="78"/>
      <c r="G77" s="78"/>
      <c r="H77" s="78"/>
      <c r="I77" s="79">
        <f t="shared" si="4"/>
        <v>0</v>
      </c>
      <c r="J77" s="78" t="s">
        <v>292</v>
      </c>
      <c r="K77" s="79">
        <f t="shared" si="5"/>
        <v>0</v>
      </c>
      <c r="L77" s="78"/>
      <c r="M77" s="78"/>
      <c r="N77" s="78"/>
      <c r="O77" s="78"/>
    </row>
    <row r="78" spans="1:15" s="10" customFormat="1" x14ac:dyDescent="0.4">
      <c r="A78" s="100" t="s">
        <v>548</v>
      </c>
      <c r="B78" s="100" t="s">
        <v>201</v>
      </c>
      <c r="C78" s="82"/>
      <c r="D78" s="78"/>
      <c r="E78" s="78"/>
      <c r="F78" s="78"/>
      <c r="G78" s="78"/>
      <c r="H78" s="78"/>
      <c r="I78" s="79">
        <f t="shared" si="4"/>
        <v>0</v>
      </c>
      <c r="J78" s="78" t="s">
        <v>292</v>
      </c>
      <c r="K78" s="79">
        <f t="shared" si="5"/>
        <v>0</v>
      </c>
      <c r="L78" s="78"/>
      <c r="M78" s="78"/>
      <c r="N78" s="78"/>
      <c r="O78" s="78"/>
    </row>
    <row r="79" spans="1:15" s="10" customFormat="1" x14ac:dyDescent="0.4">
      <c r="A79" s="11" t="s">
        <v>549</v>
      </c>
      <c r="B79" s="12" t="s">
        <v>202</v>
      </c>
      <c r="C79" s="82"/>
      <c r="D79" s="78"/>
      <c r="E79" s="78"/>
      <c r="F79" s="78"/>
      <c r="G79" s="78"/>
      <c r="H79" s="78"/>
      <c r="I79" s="79">
        <f t="shared" si="4"/>
        <v>0</v>
      </c>
      <c r="J79" s="78" t="s">
        <v>292</v>
      </c>
      <c r="K79" s="79">
        <f t="shared" si="5"/>
        <v>0</v>
      </c>
      <c r="L79" s="78"/>
      <c r="M79" s="78"/>
      <c r="N79" s="78"/>
      <c r="O79" s="78"/>
    </row>
    <row r="80" spans="1:15" s="10" customFormat="1" x14ac:dyDescent="0.4">
      <c r="A80" s="11" t="s">
        <v>550</v>
      </c>
      <c r="B80" s="12" t="s">
        <v>203</v>
      </c>
      <c r="C80" s="82"/>
      <c r="D80" s="78"/>
      <c r="E80" s="78"/>
      <c r="F80" s="78"/>
      <c r="G80" s="78"/>
      <c r="H80" s="78"/>
      <c r="I80" s="79">
        <f t="shared" si="4"/>
        <v>0</v>
      </c>
      <c r="J80" s="78" t="s">
        <v>292</v>
      </c>
      <c r="K80" s="79">
        <f t="shared" si="5"/>
        <v>0</v>
      </c>
      <c r="L80" s="78"/>
      <c r="M80" s="78"/>
      <c r="N80" s="78"/>
      <c r="O80" s="78"/>
    </row>
    <row r="81" spans="1:15" s="10" customFormat="1" x14ac:dyDescent="0.4">
      <c r="A81" s="11" t="s">
        <v>551</v>
      </c>
      <c r="B81" s="12" t="s">
        <v>204</v>
      </c>
      <c r="C81" s="82"/>
      <c r="D81" s="78"/>
      <c r="E81" s="78"/>
      <c r="F81" s="78"/>
      <c r="G81" s="78"/>
      <c r="H81" s="78"/>
      <c r="I81" s="79">
        <f t="shared" si="4"/>
        <v>0</v>
      </c>
      <c r="J81" s="78" t="s">
        <v>292</v>
      </c>
      <c r="K81" s="79">
        <f t="shared" si="5"/>
        <v>0</v>
      </c>
      <c r="L81" s="78"/>
      <c r="M81" s="78"/>
      <c r="N81" s="78"/>
      <c r="O81" s="78"/>
    </row>
    <row r="82" spans="1:15" s="10" customFormat="1" x14ac:dyDescent="0.4">
      <c r="A82" s="11" t="s">
        <v>552</v>
      </c>
      <c r="B82" s="12" t="s">
        <v>205</v>
      </c>
      <c r="C82" s="82"/>
      <c r="D82" s="78"/>
      <c r="E82" s="78"/>
      <c r="F82" s="78"/>
      <c r="G82" s="78"/>
      <c r="H82" s="78"/>
      <c r="I82" s="79">
        <f t="shared" si="4"/>
        <v>0</v>
      </c>
      <c r="J82" s="78" t="s">
        <v>292</v>
      </c>
      <c r="K82" s="79">
        <f t="shared" si="5"/>
        <v>0</v>
      </c>
      <c r="L82" s="78"/>
      <c r="M82" s="78"/>
      <c r="N82" s="78"/>
      <c r="O82" s="78"/>
    </row>
    <row r="83" spans="1:15" s="10" customFormat="1" x14ac:dyDescent="0.4">
      <c r="A83" s="11" t="s">
        <v>553</v>
      </c>
      <c r="B83" s="12" t="s">
        <v>206</v>
      </c>
      <c r="C83" s="82"/>
      <c r="D83" s="78"/>
      <c r="E83" s="78"/>
      <c r="F83" s="78"/>
      <c r="G83" s="78"/>
      <c r="H83" s="78"/>
      <c r="I83" s="79">
        <f t="shared" si="4"/>
        <v>0</v>
      </c>
      <c r="J83" s="78" t="s">
        <v>292</v>
      </c>
      <c r="K83" s="79">
        <f t="shared" si="5"/>
        <v>0</v>
      </c>
      <c r="L83" s="78"/>
      <c r="M83" s="78"/>
      <c r="N83" s="78"/>
      <c r="O83" s="78"/>
    </row>
    <row r="84" spans="1:15" s="10" customFormat="1" x14ac:dyDescent="0.4">
      <c r="A84" s="100" t="s">
        <v>799</v>
      </c>
      <c r="B84" s="100" t="s">
        <v>800</v>
      </c>
      <c r="C84" s="82"/>
      <c r="D84" s="78"/>
      <c r="E84" s="78"/>
      <c r="F84" s="78"/>
      <c r="G84" s="78"/>
      <c r="H84" s="78"/>
      <c r="I84" s="79">
        <f t="shared" si="4"/>
        <v>0</v>
      </c>
      <c r="J84" s="78" t="s">
        <v>292</v>
      </c>
      <c r="K84" s="79">
        <f t="shared" si="5"/>
        <v>0</v>
      </c>
      <c r="L84" s="78"/>
      <c r="M84" s="78"/>
      <c r="N84" s="78"/>
      <c r="O84" s="78"/>
    </row>
    <row r="85" spans="1:15" s="10" customFormat="1" x14ac:dyDescent="0.4">
      <c r="A85" s="11" t="s">
        <v>554</v>
      </c>
      <c r="B85" s="12" t="s">
        <v>207</v>
      </c>
      <c r="C85" s="82"/>
      <c r="D85" s="78"/>
      <c r="E85" s="78"/>
      <c r="F85" s="78"/>
      <c r="G85" s="78"/>
      <c r="H85" s="78"/>
      <c r="I85" s="79">
        <f t="shared" si="4"/>
        <v>0</v>
      </c>
      <c r="J85" s="78" t="s">
        <v>299</v>
      </c>
      <c r="K85" s="79">
        <f t="shared" si="5"/>
        <v>0</v>
      </c>
      <c r="L85" s="78"/>
      <c r="M85" s="78"/>
      <c r="N85" s="78"/>
      <c r="O85" s="78"/>
    </row>
    <row r="86" spans="1:15" s="10" customFormat="1" x14ac:dyDescent="0.4">
      <c r="A86" s="11" t="s">
        <v>555</v>
      </c>
      <c r="B86" s="12" t="s">
        <v>208</v>
      </c>
      <c r="C86" s="82"/>
      <c r="D86" s="78"/>
      <c r="E86" s="78"/>
      <c r="F86" s="78"/>
      <c r="G86" s="78"/>
      <c r="H86" s="78"/>
      <c r="I86" s="79">
        <f t="shared" si="4"/>
        <v>0</v>
      </c>
      <c r="J86" s="78" t="s">
        <v>292</v>
      </c>
      <c r="K86" s="79">
        <f t="shared" si="5"/>
        <v>0</v>
      </c>
      <c r="L86" s="78"/>
      <c r="M86" s="78"/>
      <c r="N86" s="78"/>
      <c r="O86" s="78"/>
    </row>
    <row r="87" spans="1:15" s="10" customFormat="1" x14ac:dyDescent="0.4">
      <c r="A87" s="11" t="s">
        <v>556</v>
      </c>
      <c r="B87" s="12" t="s">
        <v>209</v>
      </c>
      <c r="C87" s="82"/>
      <c r="D87" s="78"/>
      <c r="E87" s="78"/>
      <c r="F87" s="78"/>
      <c r="G87" s="78"/>
      <c r="H87" s="78"/>
      <c r="I87" s="79">
        <f t="shared" si="4"/>
        <v>0</v>
      </c>
      <c r="J87" s="78" t="s">
        <v>292</v>
      </c>
      <c r="K87" s="79">
        <f t="shared" si="5"/>
        <v>0</v>
      </c>
      <c r="L87" s="78"/>
      <c r="M87" s="78"/>
      <c r="N87" s="78"/>
      <c r="O87" s="78"/>
    </row>
    <row r="88" spans="1:15" s="10" customFormat="1" x14ac:dyDescent="0.4">
      <c r="A88" s="11" t="s">
        <v>557</v>
      </c>
      <c r="B88" s="12" t="s">
        <v>210</v>
      </c>
      <c r="C88" s="82"/>
      <c r="D88" s="78"/>
      <c r="E88" s="78"/>
      <c r="F88" s="78"/>
      <c r="G88" s="78"/>
      <c r="H88" s="78"/>
      <c r="I88" s="79">
        <f t="shared" si="4"/>
        <v>0</v>
      </c>
      <c r="J88" s="78" t="s">
        <v>292</v>
      </c>
      <c r="K88" s="79">
        <f t="shared" si="5"/>
        <v>0</v>
      </c>
      <c r="L88" s="78"/>
      <c r="M88" s="78"/>
      <c r="N88" s="78"/>
      <c r="O88" s="78"/>
    </row>
    <row r="89" spans="1:15" s="10" customFormat="1" x14ac:dyDescent="0.4">
      <c r="A89" s="11" t="s">
        <v>558</v>
      </c>
      <c r="B89" s="12" t="s">
        <v>211</v>
      </c>
      <c r="C89" s="82"/>
      <c r="D89" s="78"/>
      <c r="E89" s="78"/>
      <c r="F89" s="78"/>
      <c r="G89" s="78"/>
      <c r="H89" s="78"/>
      <c r="I89" s="79">
        <f t="shared" si="4"/>
        <v>0</v>
      </c>
      <c r="J89" s="78" t="s">
        <v>292</v>
      </c>
      <c r="K89" s="79">
        <f t="shared" si="5"/>
        <v>0</v>
      </c>
      <c r="L89" s="78"/>
      <c r="M89" s="78"/>
      <c r="N89" s="78"/>
      <c r="O89" s="78"/>
    </row>
    <row r="90" spans="1:15" s="10" customFormat="1" x14ac:dyDescent="0.4">
      <c r="A90" s="11" t="s">
        <v>559</v>
      </c>
      <c r="B90" s="12" t="s">
        <v>212</v>
      </c>
      <c r="C90" s="82"/>
      <c r="D90" s="78"/>
      <c r="E90" s="78"/>
      <c r="F90" s="78"/>
      <c r="G90" s="78"/>
      <c r="H90" s="78"/>
      <c r="I90" s="79">
        <f t="shared" si="4"/>
        <v>0</v>
      </c>
      <c r="J90" s="78" t="s">
        <v>292</v>
      </c>
      <c r="K90" s="79">
        <f t="shared" si="5"/>
        <v>0</v>
      </c>
      <c r="L90" s="78"/>
      <c r="M90" s="78"/>
      <c r="N90" s="78"/>
      <c r="O90" s="78"/>
    </row>
    <row r="91" spans="1:15" s="10" customFormat="1" x14ac:dyDescent="0.4">
      <c r="A91" s="11" t="s">
        <v>560</v>
      </c>
      <c r="B91" s="12" t="s">
        <v>213</v>
      </c>
      <c r="C91" s="82"/>
      <c r="D91" s="78"/>
      <c r="E91" s="78"/>
      <c r="F91" s="78"/>
      <c r="G91" s="78"/>
      <c r="H91" s="78"/>
      <c r="I91" s="79">
        <f t="shared" si="4"/>
        <v>0</v>
      </c>
      <c r="J91" s="78" t="s">
        <v>292</v>
      </c>
      <c r="K91" s="79">
        <f t="shared" si="5"/>
        <v>0</v>
      </c>
      <c r="L91" s="78"/>
      <c r="M91" s="78"/>
      <c r="N91" s="78"/>
      <c r="O91" s="78"/>
    </row>
    <row r="92" spans="1:15" s="10" customFormat="1" x14ac:dyDescent="0.4">
      <c r="A92" s="100" t="s">
        <v>561</v>
      </c>
      <c r="B92" s="100" t="s">
        <v>214</v>
      </c>
      <c r="C92" s="82"/>
      <c r="D92" s="78"/>
      <c r="E92" s="78"/>
      <c r="F92" s="78"/>
      <c r="G92" s="78"/>
      <c r="H92" s="78"/>
      <c r="I92" s="79">
        <f t="shared" si="4"/>
        <v>0</v>
      </c>
      <c r="J92" s="78" t="s">
        <v>292</v>
      </c>
      <c r="K92" s="79">
        <f t="shared" si="5"/>
        <v>0</v>
      </c>
      <c r="L92" s="78"/>
      <c r="M92" s="78"/>
      <c r="N92" s="78"/>
      <c r="O92" s="78"/>
    </row>
    <row r="93" spans="1:15" s="10" customFormat="1" x14ac:dyDescent="0.4">
      <c r="A93" s="100" t="s">
        <v>641</v>
      </c>
      <c r="B93" s="100" t="s">
        <v>642</v>
      </c>
      <c r="C93" s="82"/>
      <c r="D93" s="78"/>
      <c r="E93" s="78"/>
      <c r="F93" s="78"/>
      <c r="G93" s="78"/>
      <c r="H93" s="78"/>
      <c r="I93" s="79">
        <f t="shared" si="4"/>
        <v>0</v>
      </c>
      <c r="J93" s="78" t="s">
        <v>292</v>
      </c>
      <c r="K93" s="79">
        <f t="shared" si="5"/>
        <v>0</v>
      </c>
      <c r="L93" s="78"/>
      <c r="M93" s="78"/>
      <c r="N93" s="78"/>
      <c r="O93" s="78"/>
    </row>
    <row r="94" spans="1:15" s="10" customFormat="1" x14ac:dyDescent="0.4">
      <c r="A94" s="11" t="s">
        <v>562</v>
      </c>
      <c r="B94" s="12" t="s">
        <v>257</v>
      </c>
      <c r="C94" s="82"/>
      <c r="D94" s="78"/>
      <c r="E94" s="78"/>
      <c r="F94" s="78"/>
      <c r="G94" s="78"/>
      <c r="H94" s="78"/>
      <c r="I94" s="79">
        <f t="shared" si="4"/>
        <v>0</v>
      </c>
      <c r="J94" s="78" t="s">
        <v>292</v>
      </c>
      <c r="K94" s="79">
        <f t="shared" si="5"/>
        <v>0</v>
      </c>
      <c r="L94" s="78"/>
      <c r="M94" s="78"/>
      <c r="N94" s="78"/>
      <c r="O94" s="78"/>
    </row>
    <row r="95" spans="1:15" s="10" customFormat="1" x14ac:dyDescent="0.4">
      <c r="A95" s="68" t="s">
        <v>563</v>
      </c>
      <c r="B95" s="12" t="s">
        <v>215</v>
      </c>
      <c r="C95" s="82"/>
      <c r="D95" s="78"/>
      <c r="E95" s="78"/>
      <c r="F95" s="78"/>
      <c r="G95" s="78"/>
      <c r="H95" s="78"/>
      <c r="I95" s="79">
        <f t="shared" si="4"/>
        <v>0</v>
      </c>
      <c r="J95" s="78" t="s">
        <v>292</v>
      </c>
      <c r="K95" s="79">
        <f t="shared" si="5"/>
        <v>0</v>
      </c>
      <c r="L95" s="78"/>
      <c r="M95" s="78"/>
      <c r="N95" s="78"/>
      <c r="O95" s="78"/>
    </row>
    <row r="96" spans="1:15" s="10" customFormat="1" x14ac:dyDescent="0.4">
      <c r="A96" s="71" t="s">
        <v>624</v>
      </c>
      <c r="B96" s="71" t="s">
        <v>625</v>
      </c>
      <c r="C96" s="82"/>
      <c r="D96" s="78"/>
      <c r="E96" s="78"/>
      <c r="F96" s="78"/>
      <c r="G96" s="78"/>
      <c r="H96" s="78"/>
      <c r="I96" s="79">
        <f t="shared" si="4"/>
        <v>0</v>
      </c>
      <c r="J96" s="78" t="s">
        <v>292</v>
      </c>
      <c r="K96" s="79">
        <f t="shared" si="5"/>
        <v>0</v>
      </c>
      <c r="L96" s="78"/>
      <c r="M96" s="78"/>
      <c r="N96" s="78"/>
      <c r="O96" s="78"/>
    </row>
    <row r="97" spans="1:16" s="10" customFormat="1" x14ac:dyDescent="0.4">
      <c r="A97" s="11" t="s">
        <v>564</v>
      </c>
      <c r="B97" s="12" t="s">
        <v>216</v>
      </c>
      <c r="C97" s="82"/>
      <c r="D97" s="78"/>
      <c r="E97" s="78"/>
      <c r="F97" s="78"/>
      <c r="G97" s="78"/>
      <c r="H97" s="78"/>
      <c r="I97" s="79">
        <f t="shared" si="4"/>
        <v>0</v>
      </c>
      <c r="J97" s="78" t="s">
        <v>292</v>
      </c>
      <c r="K97" s="79">
        <f t="shared" si="5"/>
        <v>0</v>
      </c>
      <c r="L97" s="78"/>
      <c r="M97" s="78"/>
      <c r="N97" s="78"/>
      <c r="O97" s="78"/>
      <c r="P97" s="78"/>
    </row>
    <row r="98" spans="1:16" s="10" customFormat="1" x14ac:dyDescent="0.4">
      <c r="A98" s="11" t="s">
        <v>565</v>
      </c>
      <c r="B98" s="12" t="s">
        <v>217</v>
      </c>
      <c r="C98" s="82"/>
      <c r="D98" s="78"/>
      <c r="E98" s="78"/>
      <c r="F98" s="78"/>
      <c r="G98" s="78"/>
      <c r="H98" s="78"/>
      <c r="I98" s="79">
        <f t="shared" si="4"/>
        <v>0</v>
      </c>
      <c r="J98" s="78" t="s">
        <v>292</v>
      </c>
      <c r="K98" s="79">
        <f t="shared" si="5"/>
        <v>0</v>
      </c>
      <c r="L98" s="78"/>
      <c r="M98" s="78"/>
      <c r="N98" s="78"/>
      <c r="O98" s="78"/>
      <c r="P98" s="78"/>
    </row>
    <row r="99" spans="1:16" s="10" customFormat="1" x14ac:dyDescent="0.4">
      <c r="A99" s="11" t="s">
        <v>566</v>
      </c>
      <c r="B99" s="12" t="s">
        <v>218</v>
      </c>
      <c r="C99" s="82"/>
      <c r="D99" s="78"/>
      <c r="E99" s="78"/>
      <c r="F99" s="78"/>
      <c r="G99" s="78"/>
      <c r="H99" s="78"/>
      <c r="I99" s="79">
        <f t="shared" si="4"/>
        <v>0</v>
      </c>
      <c r="J99" s="78" t="s">
        <v>292</v>
      </c>
      <c r="K99" s="79">
        <f t="shared" si="5"/>
        <v>0</v>
      </c>
      <c r="L99" s="78"/>
      <c r="M99" s="78"/>
      <c r="N99" s="78"/>
      <c r="O99" s="78"/>
    </row>
    <row r="100" spans="1:16" s="10" customFormat="1" x14ac:dyDescent="0.4">
      <c r="A100" s="11" t="s">
        <v>567</v>
      </c>
      <c r="B100" s="12" t="s">
        <v>219</v>
      </c>
      <c r="C100" s="82"/>
      <c r="D100" s="78"/>
      <c r="E100" s="78"/>
      <c r="F100" s="78"/>
      <c r="G100" s="78"/>
      <c r="H100" s="78"/>
      <c r="I100" s="79">
        <f t="shared" si="4"/>
        <v>0</v>
      </c>
      <c r="J100" s="78" t="s">
        <v>292</v>
      </c>
      <c r="K100" s="79">
        <f t="shared" si="5"/>
        <v>0</v>
      </c>
      <c r="L100" s="78"/>
      <c r="M100" s="78"/>
      <c r="N100" s="78"/>
      <c r="O100" s="78"/>
      <c r="P100" s="78"/>
    </row>
    <row r="101" spans="1:16" s="10" customFormat="1" x14ac:dyDescent="0.4">
      <c r="A101" s="11" t="s">
        <v>568</v>
      </c>
      <c r="B101" s="12" t="s">
        <v>220</v>
      </c>
      <c r="C101" s="82"/>
      <c r="D101" s="78"/>
      <c r="E101" s="78"/>
      <c r="F101" s="78"/>
      <c r="G101" s="78"/>
      <c r="H101" s="78"/>
      <c r="I101" s="79">
        <f t="shared" si="4"/>
        <v>0</v>
      </c>
      <c r="J101" s="78" t="s">
        <v>292</v>
      </c>
      <c r="K101" s="79">
        <f t="shared" si="5"/>
        <v>0</v>
      </c>
      <c r="L101" s="78"/>
      <c r="M101" s="78"/>
      <c r="N101" s="78"/>
      <c r="O101" s="78"/>
    </row>
    <row r="102" spans="1:16" s="10" customFormat="1" x14ac:dyDescent="0.4">
      <c r="A102" s="11" t="s">
        <v>569</v>
      </c>
      <c r="B102" s="12" t="s">
        <v>221</v>
      </c>
      <c r="C102" s="82"/>
      <c r="D102" s="78"/>
      <c r="E102" s="78"/>
      <c r="F102" s="78"/>
      <c r="G102" s="78"/>
      <c r="H102" s="78"/>
      <c r="I102" s="79">
        <f t="shared" si="4"/>
        <v>0</v>
      </c>
      <c r="J102" s="78" t="s">
        <v>292</v>
      </c>
      <c r="K102" s="79">
        <f t="shared" si="5"/>
        <v>0</v>
      </c>
      <c r="L102" s="78"/>
      <c r="M102" s="78"/>
      <c r="N102" s="78"/>
      <c r="O102" s="78"/>
    </row>
    <row r="103" spans="1:16" s="10" customFormat="1" x14ac:dyDescent="0.4">
      <c r="A103" s="11" t="s">
        <v>570</v>
      </c>
      <c r="B103" s="12" t="s">
        <v>222</v>
      </c>
      <c r="C103" s="82"/>
      <c r="D103" s="78"/>
      <c r="E103" s="78"/>
      <c r="F103" s="78"/>
      <c r="G103" s="78"/>
      <c r="H103" s="78"/>
      <c r="I103" s="79">
        <f t="shared" si="4"/>
        <v>0</v>
      </c>
      <c r="J103" s="78" t="s">
        <v>292</v>
      </c>
      <c r="K103" s="79">
        <f t="shared" si="5"/>
        <v>0</v>
      </c>
      <c r="L103" s="78"/>
      <c r="M103" s="78"/>
      <c r="N103" s="78"/>
      <c r="O103" s="78"/>
    </row>
    <row r="104" spans="1:16" s="10" customFormat="1" x14ac:dyDescent="0.4">
      <c r="A104" s="11" t="s">
        <v>571</v>
      </c>
      <c r="B104" s="12" t="s">
        <v>223</v>
      </c>
      <c r="C104" s="82"/>
      <c r="D104" s="78"/>
      <c r="E104" s="78"/>
      <c r="F104" s="78"/>
      <c r="G104" s="78"/>
      <c r="H104" s="78"/>
      <c r="I104" s="79">
        <f t="shared" si="4"/>
        <v>0</v>
      </c>
      <c r="J104" s="78" t="s">
        <v>292</v>
      </c>
      <c r="K104" s="79">
        <f t="shared" si="5"/>
        <v>0</v>
      </c>
      <c r="L104" s="78"/>
      <c r="M104" s="78"/>
      <c r="N104" s="78"/>
      <c r="O104" s="78"/>
    </row>
    <row r="105" spans="1:16" s="10" customFormat="1" x14ac:dyDescent="0.4">
      <c r="A105" s="11" t="s">
        <v>572</v>
      </c>
      <c r="B105" s="12" t="s">
        <v>224</v>
      </c>
      <c r="C105" s="82"/>
      <c r="D105" s="78"/>
      <c r="E105" s="78"/>
      <c r="F105" s="78"/>
      <c r="G105" s="78"/>
      <c r="H105" s="78"/>
      <c r="I105" s="79">
        <f t="shared" si="4"/>
        <v>0</v>
      </c>
      <c r="J105" s="78" t="s">
        <v>292</v>
      </c>
      <c r="K105" s="79">
        <f t="shared" si="5"/>
        <v>0</v>
      </c>
      <c r="L105" s="78"/>
      <c r="M105" s="78"/>
      <c r="N105" s="78"/>
      <c r="O105" s="78"/>
    </row>
    <row r="106" spans="1:16" s="10" customFormat="1" x14ac:dyDescent="0.4">
      <c r="A106" s="11" t="s">
        <v>573</v>
      </c>
      <c r="B106" s="12" t="s">
        <v>225</v>
      </c>
      <c r="C106" s="82"/>
      <c r="D106" s="78"/>
      <c r="E106" s="78"/>
      <c r="F106" s="78"/>
      <c r="G106" s="78"/>
      <c r="H106" s="78"/>
      <c r="I106" s="79">
        <f t="shared" si="4"/>
        <v>0</v>
      </c>
      <c r="J106" s="78" t="s">
        <v>292</v>
      </c>
      <c r="K106" s="79">
        <f t="shared" si="5"/>
        <v>0</v>
      </c>
      <c r="L106" s="78"/>
      <c r="M106" s="78"/>
      <c r="N106" s="78"/>
      <c r="O106" s="78"/>
    </row>
    <row r="107" spans="1:16" s="10" customFormat="1" x14ac:dyDescent="0.4">
      <c r="A107" s="11" t="s">
        <v>574</v>
      </c>
      <c r="B107" s="12" t="s">
        <v>226</v>
      </c>
      <c r="C107" s="82"/>
      <c r="D107" s="78"/>
      <c r="E107" s="78"/>
      <c r="F107" s="78"/>
      <c r="G107" s="78"/>
      <c r="H107" s="78"/>
      <c r="I107" s="79">
        <f t="shared" si="4"/>
        <v>0</v>
      </c>
      <c r="J107" s="78" t="s">
        <v>292</v>
      </c>
      <c r="K107" s="79">
        <f t="shared" si="5"/>
        <v>0</v>
      </c>
      <c r="L107" s="78"/>
      <c r="M107" s="78"/>
      <c r="N107" s="78"/>
      <c r="O107" s="78"/>
    </row>
    <row r="108" spans="1:16" s="78" customFormat="1" x14ac:dyDescent="0.4">
      <c r="A108" s="11" t="s">
        <v>575</v>
      </c>
      <c r="B108" s="12" t="s">
        <v>227</v>
      </c>
      <c r="C108" s="82"/>
      <c r="I108" s="79">
        <f t="shared" si="4"/>
        <v>0</v>
      </c>
      <c r="J108" s="78" t="s">
        <v>292</v>
      </c>
      <c r="K108" s="79">
        <f t="shared" si="5"/>
        <v>0</v>
      </c>
      <c r="P108" s="10"/>
    </row>
    <row r="109" spans="1:16" s="78" customFormat="1" x14ac:dyDescent="0.4">
      <c r="A109" s="11" t="s">
        <v>576</v>
      </c>
      <c r="B109" s="12" t="s">
        <v>228</v>
      </c>
      <c r="C109" s="82"/>
      <c r="I109" s="79">
        <f t="shared" si="4"/>
        <v>0</v>
      </c>
      <c r="J109" s="78" t="s">
        <v>291</v>
      </c>
      <c r="K109" s="79">
        <f t="shared" si="5"/>
        <v>0</v>
      </c>
      <c r="P109" s="10"/>
    </row>
    <row r="110" spans="1:16" s="10" customFormat="1" x14ac:dyDescent="0.4">
      <c r="A110" s="11" t="s">
        <v>577</v>
      </c>
      <c r="B110" s="12" t="s">
        <v>229</v>
      </c>
      <c r="C110" s="82"/>
      <c r="D110" s="78"/>
      <c r="E110" s="78"/>
      <c r="F110" s="78"/>
      <c r="G110" s="78"/>
      <c r="H110" s="78"/>
      <c r="I110" s="79">
        <f t="shared" si="4"/>
        <v>0</v>
      </c>
      <c r="J110" s="78" t="s">
        <v>292</v>
      </c>
      <c r="K110" s="79">
        <f t="shared" si="5"/>
        <v>0</v>
      </c>
      <c r="L110" s="78"/>
      <c r="M110" s="78"/>
      <c r="N110" s="78"/>
      <c r="O110" s="78"/>
    </row>
    <row r="111" spans="1:16" s="78" customFormat="1" x14ac:dyDescent="0.4">
      <c r="A111" s="11" t="s">
        <v>578</v>
      </c>
      <c r="B111" s="12" t="s">
        <v>230</v>
      </c>
      <c r="C111" s="82"/>
      <c r="I111" s="79">
        <f t="shared" si="4"/>
        <v>0</v>
      </c>
      <c r="J111" s="78" t="s">
        <v>292</v>
      </c>
      <c r="K111" s="79">
        <f t="shared" si="5"/>
        <v>0</v>
      </c>
      <c r="P111" s="10"/>
    </row>
    <row r="112" spans="1:16" s="10" customFormat="1" x14ac:dyDescent="0.4">
      <c r="A112" s="11" t="s">
        <v>579</v>
      </c>
      <c r="B112" s="12" t="s">
        <v>231</v>
      </c>
      <c r="C112" s="82"/>
      <c r="D112" s="78"/>
      <c r="E112" s="78"/>
      <c r="F112" s="78"/>
      <c r="G112" s="78"/>
      <c r="H112" s="78"/>
      <c r="I112" s="79">
        <f t="shared" si="4"/>
        <v>0</v>
      </c>
      <c r="J112" s="78" t="s">
        <v>288</v>
      </c>
      <c r="K112" s="79">
        <f t="shared" si="5"/>
        <v>0</v>
      </c>
      <c r="L112" s="78"/>
      <c r="M112" s="78"/>
      <c r="N112" s="78"/>
      <c r="O112" s="78"/>
    </row>
    <row r="113" spans="1:16" s="10" customFormat="1" x14ac:dyDescent="0.4">
      <c r="A113" s="11" t="s">
        <v>580</v>
      </c>
      <c r="B113" s="12" t="s">
        <v>232</v>
      </c>
      <c r="C113" s="82"/>
      <c r="D113" s="78"/>
      <c r="E113" s="78"/>
      <c r="F113" s="78"/>
      <c r="G113" s="78"/>
      <c r="H113" s="78"/>
      <c r="I113" s="79">
        <f t="shared" si="4"/>
        <v>0</v>
      </c>
      <c r="J113" s="78" t="s">
        <v>292</v>
      </c>
      <c r="K113" s="79">
        <f t="shared" si="5"/>
        <v>0</v>
      </c>
      <c r="L113" s="78"/>
      <c r="M113" s="78"/>
      <c r="N113" s="78"/>
      <c r="O113" s="78"/>
    </row>
    <row r="114" spans="1:16" s="10" customFormat="1" x14ac:dyDescent="0.4">
      <c r="A114" s="11" t="s">
        <v>581</v>
      </c>
      <c r="B114" s="12" t="s">
        <v>233</v>
      </c>
      <c r="C114" s="82"/>
      <c r="D114" s="78"/>
      <c r="E114" s="78"/>
      <c r="F114" s="78"/>
      <c r="G114" s="78"/>
      <c r="H114" s="78"/>
      <c r="I114" s="79">
        <f t="shared" si="4"/>
        <v>0</v>
      </c>
      <c r="J114" s="78" t="s">
        <v>292</v>
      </c>
      <c r="K114" s="79">
        <f t="shared" si="5"/>
        <v>0</v>
      </c>
      <c r="L114" s="78"/>
      <c r="M114" s="78"/>
      <c r="N114" s="78"/>
      <c r="O114" s="78"/>
    </row>
    <row r="115" spans="1:16" s="10" customFormat="1" x14ac:dyDescent="0.4">
      <c r="A115" s="11" t="s">
        <v>582</v>
      </c>
      <c r="B115" s="12" t="s">
        <v>234</v>
      </c>
      <c r="C115" s="82"/>
      <c r="D115" s="78"/>
      <c r="E115" s="78"/>
      <c r="F115" s="78"/>
      <c r="G115" s="78"/>
      <c r="H115" s="78"/>
      <c r="I115" s="79">
        <f t="shared" si="4"/>
        <v>0</v>
      </c>
      <c r="J115" s="78" t="s">
        <v>288</v>
      </c>
      <c r="K115" s="79">
        <f t="shared" si="5"/>
        <v>0</v>
      </c>
      <c r="L115" s="78"/>
      <c r="M115" s="78"/>
      <c r="N115" s="78"/>
      <c r="O115" s="78"/>
    </row>
    <row r="116" spans="1:16" s="10" customFormat="1" x14ac:dyDescent="0.4">
      <c r="A116" s="11" t="s">
        <v>583</v>
      </c>
      <c r="B116" s="12" t="s">
        <v>235</v>
      </c>
      <c r="C116" s="82"/>
      <c r="D116" s="78"/>
      <c r="E116" s="78"/>
      <c r="F116" s="78"/>
      <c r="G116" s="78"/>
      <c r="H116" s="78"/>
      <c r="I116" s="79">
        <f t="shared" si="4"/>
        <v>0</v>
      </c>
      <c r="J116" s="78" t="s">
        <v>292</v>
      </c>
      <c r="K116" s="79">
        <f t="shared" si="5"/>
        <v>0</v>
      </c>
      <c r="L116" s="78"/>
      <c r="M116" s="78"/>
      <c r="N116" s="78"/>
      <c r="O116" s="78"/>
    </row>
    <row r="117" spans="1:16" s="10" customFormat="1" x14ac:dyDescent="0.4">
      <c r="A117" s="100" t="s">
        <v>664</v>
      </c>
      <c r="B117" s="100" t="s">
        <v>665</v>
      </c>
      <c r="C117" s="82"/>
      <c r="D117" s="78"/>
      <c r="E117" s="78"/>
      <c r="F117" s="78"/>
      <c r="G117" s="78"/>
      <c r="H117" s="78"/>
      <c r="I117" s="79">
        <f t="shared" si="4"/>
        <v>0</v>
      </c>
      <c r="J117" s="78" t="s">
        <v>292</v>
      </c>
      <c r="K117" s="79">
        <f t="shared" si="5"/>
        <v>0</v>
      </c>
      <c r="L117" s="78"/>
      <c r="M117" s="78"/>
      <c r="N117" s="78"/>
      <c r="O117" s="78"/>
    </row>
    <row r="118" spans="1:16" s="10" customFormat="1" x14ac:dyDescent="0.4">
      <c r="A118" s="11" t="s">
        <v>584</v>
      </c>
      <c r="B118" s="12" t="s">
        <v>236</v>
      </c>
      <c r="C118" s="82"/>
      <c r="D118" s="78"/>
      <c r="E118" s="78"/>
      <c r="F118" s="78"/>
      <c r="G118" s="78"/>
      <c r="H118" s="78"/>
      <c r="I118" s="79">
        <f t="shared" si="4"/>
        <v>0</v>
      </c>
      <c r="J118" s="78" t="s">
        <v>292</v>
      </c>
      <c r="K118" s="79">
        <f t="shared" si="5"/>
        <v>0</v>
      </c>
      <c r="L118" s="78"/>
      <c r="M118" s="78"/>
      <c r="N118" s="78"/>
      <c r="O118" s="78"/>
    </row>
    <row r="119" spans="1:16" s="10" customFormat="1" x14ac:dyDescent="0.4">
      <c r="A119" s="11" t="s">
        <v>585</v>
      </c>
      <c r="B119" s="12" t="s">
        <v>237</v>
      </c>
      <c r="C119" s="82"/>
      <c r="D119" s="78"/>
      <c r="E119" s="78"/>
      <c r="F119" s="78"/>
      <c r="G119" s="78"/>
      <c r="H119" s="78"/>
      <c r="I119" s="79">
        <f t="shared" si="4"/>
        <v>0</v>
      </c>
      <c r="J119" s="78" t="s">
        <v>292</v>
      </c>
      <c r="K119" s="79">
        <f t="shared" si="5"/>
        <v>0</v>
      </c>
      <c r="L119" s="78"/>
      <c r="M119" s="78"/>
      <c r="N119" s="78"/>
      <c r="O119" s="78"/>
    </row>
    <row r="120" spans="1:16" s="10" customFormat="1" x14ac:dyDescent="0.4">
      <c r="A120" s="11" t="s">
        <v>626</v>
      </c>
      <c r="B120" s="12" t="s">
        <v>627</v>
      </c>
      <c r="C120" s="82"/>
      <c r="D120" s="78"/>
      <c r="E120" s="78"/>
      <c r="F120" s="78"/>
      <c r="G120" s="78"/>
      <c r="H120" s="78"/>
      <c r="I120" s="79">
        <f t="shared" si="4"/>
        <v>0</v>
      </c>
      <c r="J120" s="78" t="s">
        <v>292</v>
      </c>
      <c r="K120" s="79">
        <f t="shared" si="5"/>
        <v>0</v>
      </c>
      <c r="L120" s="78"/>
      <c r="M120" s="78"/>
      <c r="N120" s="78"/>
      <c r="O120" s="78"/>
      <c r="P120" s="21"/>
    </row>
    <row r="121" spans="1:16" s="10" customFormat="1" x14ac:dyDescent="0.4">
      <c r="A121" s="11" t="s">
        <v>586</v>
      </c>
      <c r="B121" s="12" t="s">
        <v>238</v>
      </c>
      <c r="C121" s="82"/>
      <c r="D121" s="78"/>
      <c r="E121" s="78"/>
      <c r="F121" s="78"/>
      <c r="G121" s="78"/>
      <c r="H121" s="78"/>
      <c r="I121" s="79">
        <f t="shared" si="4"/>
        <v>0</v>
      </c>
      <c r="J121" s="78" t="s">
        <v>291</v>
      </c>
      <c r="K121" s="79">
        <f t="shared" si="5"/>
        <v>0</v>
      </c>
      <c r="L121" s="78"/>
      <c r="M121" s="78"/>
      <c r="N121" s="78"/>
      <c r="O121" s="78"/>
      <c r="P121" s="21"/>
    </row>
    <row r="122" spans="1:16" s="10" customFormat="1" x14ac:dyDescent="0.4">
      <c r="A122" s="11" t="s">
        <v>587</v>
      </c>
      <c r="B122" s="12" t="s">
        <v>239</v>
      </c>
      <c r="C122" s="82"/>
      <c r="D122" s="78"/>
      <c r="E122" s="78"/>
      <c r="F122" s="78"/>
      <c r="G122" s="78"/>
      <c r="H122" s="78"/>
      <c r="I122" s="79">
        <f t="shared" si="4"/>
        <v>0</v>
      </c>
      <c r="J122" s="78" t="s">
        <v>292</v>
      </c>
      <c r="K122" s="79">
        <f t="shared" si="5"/>
        <v>0</v>
      </c>
      <c r="L122" s="78"/>
      <c r="M122" s="78"/>
      <c r="N122" s="78"/>
      <c r="O122" s="78"/>
      <c r="P122" s="21"/>
    </row>
    <row r="123" spans="1:16" s="10" customFormat="1" x14ac:dyDescent="0.4">
      <c r="A123" s="11" t="s">
        <v>588</v>
      </c>
      <c r="B123" s="12" t="s">
        <v>240</v>
      </c>
      <c r="C123" s="82"/>
      <c r="D123" s="78"/>
      <c r="E123" s="78"/>
      <c r="F123" s="78"/>
      <c r="G123" s="78"/>
      <c r="H123" s="78"/>
      <c r="I123" s="79">
        <f t="shared" si="4"/>
        <v>0</v>
      </c>
      <c r="J123" s="78" t="s">
        <v>292</v>
      </c>
      <c r="K123" s="79">
        <f t="shared" si="5"/>
        <v>0</v>
      </c>
      <c r="L123" s="78"/>
      <c r="M123" s="78"/>
      <c r="N123" s="78"/>
      <c r="O123" s="78"/>
      <c r="P123" s="21"/>
    </row>
    <row r="124" spans="1:16" s="10" customFormat="1" x14ac:dyDescent="0.4">
      <c r="A124" s="11" t="s">
        <v>589</v>
      </c>
      <c r="B124" s="12" t="s">
        <v>241</v>
      </c>
      <c r="C124" s="82"/>
      <c r="D124" s="78"/>
      <c r="E124" s="78"/>
      <c r="F124" s="78"/>
      <c r="G124" s="78"/>
      <c r="H124" s="78"/>
      <c r="I124" s="79">
        <f t="shared" si="4"/>
        <v>0</v>
      </c>
      <c r="J124" s="78" t="s">
        <v>288</v>
      </c>
      <c r="K124" s="79">
        <f t="shared" si="5"/>
        <v>0</v>
      </c>
      <c r="L124" s="78"/>
      <c r="M124" s="78"/>
      <c r="N124" s="78"/>
      <c r="O124" s="78"/>
      <c r="P124" s="21"/>
    </row>
    <row r="125" spans="1:16" s="10" customFormat="1" x14ac:dyDescent="0.4">
      <c r="A125" s="11" t="s">
        <v>590</v>
      </c>
      <c r="B125" s="12" t="s">
        <v>242</v>
      </c>
      <c r="C125" s="82"/>
      <c r="D125" s="78"/>
      <c r="E125" s="78"/>
      <c r="F125" s="78"/>
      <c r="G125" s="78"/>
      <c r="H125" s="78"/>
      <c r="I125" s="79">
        <f t="shared" si="4"/>
        <v>0</v>
      </c>
      <c r="J125" s="78" t="s">
        <v>292</v>
      </c>
      <c r="K125" s="79">
        <f t="shared" si="5"/>
        <v>0</v>
      </c>
      <c r="L125" s="78"/>
      <c r="M125" s="78"/>
      <c r="N125" s="78"/>
      <c r="O125" s="78"/>
      <c r="P125" s="21"/>
    </row>
    <row r="126" spans="1:16" s="10" customFormat="1" x14ac:dyDescent="0.4">
      <c r="A126" s="11" t="s">
        <v>591</v>
      </c>
      <c r="B126" s="12" t="s">
        <v>243</v>
      </c>
      <c r="C126" s="82"/>
      <c r="D126" s="78"/>
      <c r="E126" s="78"/>
      <c r="F126" s="78"/>
      <c r="G126" s="78"/>
      <c r="H126" s="78"/>
      <c r="I126" s="79">
        <f t="shared" si="4"/>
        <v>0</v>
      </c>
      <c r="J126" s="78" t="s">
        <v>288</v>
      </c>
      <c r="K126" s="79">
        <f t="shared" si="5"/>
        <v>0</v>
      </c>
      <c r="L126" s="78"/>
      <c r="M126" s="78"/>
      <c r="N126" s="78"/>
      <c r="O126" s="78"/>
      <c r="P126" s="21"/>
    </row>
    <row r="127" spans="1:16" s="10" customFormat="1" x14ac:dyDescent="0.4">
      <c r="A127" s="11" t="s">
        <v>592</v>
      </c>
      <c r="B127" s="12" t="s">
        <v>244</v>
      </c>
      <c r="C127" s="82"/>
      <c r="D127" s="78"/>
      <c r="E127" s="78"/>
      <c r="F127" s="78"/>
      <c r="G127" s="78"/>
      <c r="H127" s="78"/>
      <c r="I127" s="79">
        <f t="shared" si="4"/>
        <v>0</v>
      </c>
      <c r="J127" s="78" t="s">
        <v>292</v>
      </c>
      <c r="K127" s="79">
        <f t="shared" si="5"/>
        <v>0</v>
      </c>
      <c r="L127" s="78"/>
      <c r="M127" s="78"/>
      <c r="N127" s="78"/>
      <c r="O127" s="78"/>
      <c r="P127" s="21"/>
    </row>
    <row r="128" spans="1:16" s="10" customFormat="1" x14ac:dyDescent="0.4">
      <c r="A128" s="100" t="s">
        <v>866</v>
      </c>
      <c r="B128" s="100" t="s">
        <v>867</v>
      </c>
      <c r="C128" s="82"/>
      <c r="D128" s="78"/>
      <c r="E128" s="78"/>
      <c r="F128" s="78"/>
      <c r="G128" s="78"/>
      <c r="H128" s="78"/>
      <c r="I128" s="79">
        <f t="shared" ref="I128" si="6">SUM(C128:H128)</f>
        <v>0</v>
      </c>
      <c r="J128" s="78" t="s">
        <v>292</v>
      </c>
      <c r="K128" s="79">
        <f t="shared" ref="K128" si="7">I128*1</f>
        <v>0</v>
      </c>
      <c r="L128" s="78"/>
      <c r="M128" s="78"/>
      <c r="N128" s="78"/>
      <c r="O128" s="78"/>
      <c r="P128" s="21"/>
    </row>
    <row r="129" spans="1:16" s="10" customFormat="1" x14ac:dyDescent="0.4">
      <c r="A129" s="11" t="s">
        <v>593</v>
      </c>
      <c r="B129" s="12" t="s">
        <v>245</v>
      </c>
      <c r="C129" s="82"/>
      <c r="D129" s="78"/>
      <c r="E129" s="78"/>
      <c r="F129" s="78"/>
      <c r="G129" s="78"/>
      <c r="H129" s="78"/>
      <c r="I129" s="79">
        <f t="shared" si="4"/>
        <v>0</v>
      </c>
      <c r="J129" s="78" t="s">
        <v>292</v>
      </c>
      <c r="K129" s="79">
        <f t="shared" si="5"/>
        <v>0</v>
      </c>
      <c r="L129" s="78"/>
      <c r="M129" s="78"/>
      <c r="N129" s="78"/>
      <c r="O129" s="78"/>
      <c r="P129" s="21"/>
    </row>
    <row r="130" spans="1:16" s="10" customFormat="1" x14ac:dyDescent="0.4">
      <c r="A130" s="11" t="s">
        <v>594</v>
      </c>
      <c r="B130" s="12" t="s">
        <v>246</v>
      </c>
      <c r="C130" s="82"/>
      <c r="D130" s="78"/>
      <c r="E130" s="78"/>
      <c r="F130" s="78"/>
      <c r="G130" s="78"/>
      <c r="H130" s="78"/>
      <c r="I130" s="79">
        <f t="shared" si="4"/>
        <v>0</v>
      </c>
      <c r="J130" s="78" t="s">
        <v>292</v>
      </c>
      <c r="K130" s="79">
        <f t="shared" si="5"/>
        <v>0</v>
      </c>
      <c r="L130" s="78"/>
      <c r="M130" s="78"/>
      <c r="N130" s="78"/>
      <c r="O130" s="78"/>
      <c r="P130" s="21"/>
    </row>
    <row r="131" spans="1:16" x14ac:dyDescent="0.4">
      <c r="A131" s="100" t="s">
        <v>666</v>
      </c>
      <c r="B131" s="100" t="s">
        <v>667</v>
      </c>
      <c r="C131" s="82"/>
      <c r="I131" s="79">
        <f t="shared" si="4"/>
        <v>0</v>
      </c>
      <c r="J131" s="78" t="s">
        <v>292</v>
      </c>
      <c r="K131" s="79">
        <f t="shared" si="5"/>
        <v>0</v>
      </c>
      <c r="L131" s="78"/>
      <c r="M131" s="78"/>
      <c r="N131" s="78"/>
      <c r="O131" s="78"/>
    </row>
    <row r="132" spans="1:16" x14ac:dyDescent="0.4">
      <c r="A132" s="68" t="s">
        <v>595</v>
      </c>
      <c r="B132" s="12" t="s">
        <v>247</v>
      </c>
      <c r="C132" s="82"/>
      <c r="F132" s="78">
        <f>-F138</f>
        <v>0</v>
      </c>
      <c r="G132" s="78">
        <v>0</v>
      </c>
      <c r="I132" s="79">
        <f t="shared" si="4"/>
        <v>0</v>
      </c>
      <c r="J132" s="78" t="s">
        <v>292</v>
      </c>
      <c r="K132" s="79">
        <f t="shared" si="5"/>
        <v>0</v>
      </c>
      <c r="L132" s="78"/>
      <c r="M132" s="78"/>
      <c r="N132" s="78"/>
      <c r="O132" s="78"/>
    </row>
    <row r="133" spans="1:16" x14ac:dyDescent="0.4">
      <c r="A133" s="11" t="s">
        <v>596</v>
      </c>
      <c r="B133" s="12" t="s">
        <v>248</v>
      </c>
      <c r="C133" s="82"/>
      <c r="F133" s="78" t="s">
        <v>261</v>
      </c>
      <c r="G133" s="78">
        <f>-C133</f>
        <v>0</v>
      </c>
      <c r="I133" s="79">
        <f t="shared" si="4"/>
        <v>0</v>
      </c>
      <c r="J133" s="78" t="s">
        <v>292</v>
      </c>
      <c r="K133" s="79">
        <f t="shared" si="5"/>
        <v>0</v>
      </c>
      <c r="L133" s="78"/>
      <c r="M133" s="78"/>
      <c r="N133" s="78"/>
      <c r="O133" s="78"/>
    </row>
    <row r="134" spans="1:16" x14ac:dyDescent="0.4">
      <c r="A134" s="11" t="s">
        <v>597</v>
      </c>
      <c r="B134" s="12" t="s">
        <v>249</v>
      </c>
      <c r="C134" s="82"/>
      <c r="F134" s="78" t="s">
        <v>261</v>
      </c>
      <c r="G134" s="78">
        <f>-C134</f>
        <v>0</v>
      </c>
      <c r="I134" s="79">
        <f t="shared" si="4"/>
        <v>0</v>
      </c>
      <c r="J134" s="78" t="s">
        <v>292</v>
      </c>
      <c r="K134" s="79">
        <f t="shared" si="5"/>
        <v>0</v>
      </c>
      <c r="L134" s="78"/>
      <c r="M134" s="78"/>
      <c r="N134" s="78"/>
      <c r="O134" s="78"/>
    </row>
    <row r="135" spans="1:16" x14ac:dyDescent="0.4">
      <c r="A135" s="11" t="s">
        <v>754</v>
      </c>
      <c r="B135" s="12" t="s">
        <v>782</v>
      </c>
      <c r="C135" s="82"/>
      <c r="F135" s="78" t="s">
        <v>261</v>
      </c>
      <c r="G135" s="78">
        <f>-E135-D135</f>
        <v>0</v>
      </c>
      <c r="I135" s="79">
        <f t="shared" si="4"/>
        <v>0</v>
      </c>
      <c r="J135" s="78" t="s">
        <v>292</v>
      </c>
      <c r="K135" s="79">
        <f t="shared" si="5"/>
        <v>0</v>
      </c>
      <c r="L135" s="78"/>
      <c r="M135" s="78"/>
      <c r="N135" s="78"/>
    </row>
    <row r="136" spans="1:16" x14ac:dyDescent="0.4">
      <c r="A136" s="69"/>
      <c r="B136" s="12" t="s">
        <v>755</v>
      </c>
      <c r="C136" s="82"/>
      <c r="F136" s="78" t="s">
        <v>261</v>
      </c>
      <c r="G136" s="78">
        <f>-E136-D136</f>
        <v>0</v>
      </c>
      <c r="I136" s="79">
        <f t="shared" si="4"/>
        <v>0</v>
      </c>
      <c r="J136" s="78" t="s">
        <v>292</v>
      </c>
      <c r="K136" s="79">
        <f t="shared" si="5"/>
        <v>0</v>
      </c>
      <c r="L136" s="78"/>
      <c r="M136" s="78"/>
    </row>
    <row r="137" spans="1:16" x14ac:dyDescent="0.4">
      <c r="A137" s="69"/>
      <c r="B137" s="12" t="s">
        <v>756</v>
      </c>
      <c r="C137" s="82"/>
      <c r="F137" s="78" t="s">
        <v>261</v>
      </c>
      <c r="G137" s="78">
        <f>-E137-D137</f>
        <v>0</v>
      </c>
      <c r="I137" s="79">
        <f t="shared" si="4"/>
        <v>0</v>
      </c>
      <c r="J137" s="78" t="s">
        <v>292</v>
      </c>
      <c r="K137" s="79">
        <f t="shared" si="5"/>
        <v>0</v>
      </c>
      <c r="L137" s="78"/>
      <c r="M137" s="78"/>
    </row>
    <row r="138" spans="1:16" x14ac:dyDescent="0.4">
      <c r="A138" s="11" t="s">
        <v>761</v>
      </c>
      <c r="B138" s="12" t="s">
        <v>760</v>
      </c>
      <c r="C138" s="82"/>
      <c r="F138" s="78">
        <f>-E138-D138-C138</f>
        <v>0</v>
      </c>
      <c r="I138" s="79">
        <f t="shared" ref="I138:I145" si="8">SUM(C138:H138)</f>
        <v>0</v>
      </c>
      <c r="J138" s="78" t="s">
        <v>292</v>
      </c>
      <c r="K138" s="79">
        <f t="shared" si="5"/>
        <v>0</v>
      </c>
      <c r="L138" s="78"/>
      <c r="M138" s="78"/>
    </row>
    <row r="139" spans="1:16" x14ac:dyDescent="0.4">
      <c r="A139" s="11" t="s">
        <v>598</v>
      </c>
      <c r="B139" s="12" t="s">
        <v>250</v>
      </c>
      <c r="C139" s="82"/>
      <c r="I139" s="79">
        <f t="shared" si="8"/>
        <v>0</v>
      </c>
      <c r="J139" s="78" t="s">
        <v>292</v>
      </c>
      <c r="K139" s="79">
        <f t="shared" si="5"/>
        <v>0</v>
      </c>
      <c r="L139" s="78"/>
      <c r="M139" s="78"/>
    </row>
    <row r="140" spans="1:16" x14ac:dyDescent="0.4">
      <c r="A140" s="69"/>
      <c r="B140" s="12" t="s">
        <v>260</v>
      </c>
      <c r="C140" s="82"/>
      <c r="I140" s="79">
        <f t="shared" si="8"/>
        <v>0</v>
      </c>
      <c r="J140" s="78" t="s">
        <v>292</v>
      </c>
      <c r="K140" s="79">
        <f t="shared" si="5"/>
        <v>0</v>
      </c>
      <c r="L140" s="78"/>
      <c r="M140" s="78"/>
    </row>
    <row r="141" spans="1:16" x14ac:dyDescent="0.4">
      <c r="A141" s="11" t="s">
        <v>599</v>
      </c>
      <c r="B141" s="12" t="s">
        <v>251</v>
      </c>
      <c r="C141" s="82"/>
      <c r="I141" s="79">
        <f t="shared" si="8"/>
        <v>0</v>
      </c>
      <c r="J141" s="78" t="s">
        <v>292</v>
      </c>
      <c r="K141" s="79">
        <f t="shared" si="5"/>
        <v>0</v>
      </c>
      <c r="L141" s="78"/>
      <c r="M141" s="78"/>
    </row>
    <row r="142" spans="1:16" x14ac:dyDescent="0.4">
      <c r="A142" s="11" t="s">
        <v>600</v>
      </c>
      <c r="B142" s="12" t="s">
        <v>252</v>
      </c>
      <c r="C142" s="82"/>
      <c r="I142" s="79">
        <f t="shared" si="8"/>
        <v>0</v>
      </c>
      <c r="J142" s="78" t="s">
        <v>292</v>
      </c>
      <c r="K142" s="79">
        <f t="shared" ref="K142:K145" si="9">I142*1</f>
        <v>0</v>
      </c>
      <c r="L142" s="78"/>
      <c r="M142" s="78"/>
    </row>
    <row r="143" spans="1:16" x14ac:dyDescent="0.4">
      <c r="A143" s="11" t="s">
        <v>601</v>
      </c>
      <c r="B143" s="12" t="s">
        <v>253</v>
      </c>
      <c r="C143" s="82"/>
      <c r="I143" s="79">
        <f t="shared" si="8"/>
        <v>0</v>
      </c>
      <c r="J143" s="78" t="s">
        <v>292</v>
      </c>
      <c r="K143" s="79">
        <f t="shared" si="9"/>
        <v>0</v>
      </c>
      <c r="L143" s="78"/>
      <c r="M143" s="78"/>
    </row>
    <row r="144" spans="1:16" x14ac:dyDescent="0.4">
      <c r="A144" s="11" t="s">
        <v>602</v>
      </c>
      <c r="B144" s="12" t="s">
        <v>258</v>
      </c>
      <c r="C144" s="72"/>
      <c r="I144" s="79">
        <f t="shared" si="8"/>
        <v>0</v>
      </c>
      <c r="J144" s="78" t="s">
        <v>862</v>
      </c>
      <c r="K144" s="79">
        <f t="shared" si="9"/>
        <v>0</v>
      </c>
      <c r="L144" s="78"/>
      <c r="M144" s="78"/>
    </row>
    <row r="145" spans="1:15" x14ac:dyDescent="0.4">
      <c r="A145" s="11" t="s">
        <v>615</v>
      </c>
      <c r="B145" s="12" t="s">
        <v>616</v>
      </c>
      <c r="C145" s="72"/>
      <c r="I145" s="79">
        <f t="shared" si="8"/>
        <v>0</v>
      </c>
      <c r="J145" s="78" t="s">
        <v>292</v>
      </c>
      <c r="K145" s="79">
        <f t="shared" si="9"/>
        <v>0</v>
      </c>
      <c r="L145" s="78"/>
    </row>
    <row r="146" spans="1:15" x14ac:dyDescent="0.4">
      <c r="C146" s="20">
        <f t="shared" ref="C146:I146" si="10">SUM(C6:C145)</f>
        <v>0</v>
      </c>
      <c r="D146" s="20">
        <f t="shared" si="10"/>
        <v>0</v>
      </c>
      <c r="E146" s="20">
        <f t="shared" si="10"/>
        <v>0</v>
      </c>
      <c r="F146" s="20">
        <f t="shared" si="10"/>
        <v>0</v>
      </c>
      <c r="G146" s="20">
        <f t="shared" si="10"/>
        <v>0</v>
      </c>
      <c r="H146" s="20">
        <f t="shared" si="10"/>
        <v>0</v>
      </c>
      <c r="I146" s="20">
        <f t="shared" si="10"/>
        <v>0</v>
      </c>
      <c r="J146" s="84"/>
      <c r="K146" s="20">
        <f>SUM(K6:K145)</f>
        <v>0</v>
      </c>
      <c r="L146" s="78"/>
      <c r="M146" s="21"/>
      <c r="N146" s="21"/>
      <c r="O146" s="21"/>
    </row>
    <row r="147" spans="1:15" x14ac:dyDescent="0.4">
      <c r="C147" s="14"/>
      <c r="D147" s="7"/>
      <c r="M147" s="21"/>
      <c r="N147" s="21"/>
      <c r="O147" s="21"/>
    </row>
    <row r="148" spans="1:15" x14ac:dyDescent="0.4">
      <c r="D148" s="7" t="s">
        <v>261</v>
      </c>
      <c r="M148" s="21"/>
      <c r="N148" s="21"/>
      <c r="O148" s="21"/>
    </row>
    <row r="149" spans="1:15" x14ac:dyDescent="0.4">
      <c r="C149" s="14"/>
      <c r="D149" s="7"/>
      <c r="I149" s="79">
        <f>I146-I85-I74-I61-I45</f>
        <v>0</v>
      </c>
      <c r="M149" s="21"/>
      <c r="N149" s="21"/>
      <c r="O149" s="21"/>
    </row>
    <row r="150" spans="1:15" x14ac:dyDescent="0.4">
      <c r="C150" s="14"/>
      <c r="D150" s="7" t="s">
        <v>261</v>
      </c>
      <c r="I150" s="79" t="e">
        <f>I149/L34</f>
        <v>#DIV/0!</v>
      </c>
      <c r="K150" s="67"/>
      <c r="M150" s="21"/>
      <c r="N150" s="21"/>
      <c r="O150" s="21"/>
    </row>
    <row r="151" spans="1:15" x14ac:dyDescent="0.4">
      <c r="B151" s="21"/>
      <c r="C151" s="14"/>
      <c r="D151" s="7"/>
      <c r="M151" s="21"/>
      <c r="N151" s="21"/>
      <c r="O151" s="21"/>
    </row>
    <row r="152" spans="1:15" x14ac:dyDescent="0.4">
      <c r="B152" s="21"/>
      <c r="C152" s="14"/>
      <c r="D152" s="7"/>
      <c r="M152" s="21"/>
      <c r="N152" s="21"/>
      <c r="O152" s="21"/>
    </row>
    <row r="153" spans="1:15" x14ac:dyDescent="0.4">
      <c r="B153" s="21"/>
      <c r="C153" s="14" t="s">
        <v>261</v>
      </c>
      <c r="D153" s="7"/>
      <c r="M153" s="21"/>
      <c r="N153" s="21"/>
      <c r="O153" s="21"/>
    </row>
    <row r="154" spans="1:15" x14ac:dyDescent="0.4">
      <c r="B154" s="21"/>
      <c r="C154" s="14"/>
      <c r="D154" s="7"/>
      <c r="M154" s="21"/>
      <c r="N154" s="21"/>
      <c r="O154" s="21"/>
    </row>
    <row r="155" spans="1:15" x14ac:dyDescent="0.4">
      <c r="B155" s="21"/>
      <c r="C155" s="14"/>
      <c r="D155" s="7"/>
      <c r="M155" s="21"/>
      <c r="N155" s="21"/>
      <c r="O155" s="21"/>
    </row>
    <row r="156" spans="1:15" x14ac:dyDescent="0.4">
      <c r="B156" s="21"/>
      <c r="C156" s="14"/>
      <c r="D156" s="7"/>
      <c r="M156" s="21"/>
      <c r="N156" s="21"/>
      <c r="O156" s="21"/>
    </row>
    <row r="157" spans="1:15" x14ac:dyDescent="0.4">
      <c r="B157" s="21"/>
      <c r="M157" s="21"/>
      <c r="N157" s="21"/>
      <c r="O157" s="21"/>
    </row>
    <row r="158" spans="1:15" x14ac:dyDescent="0.4">
      <c r="B158" s="21"/>
    </row>
    <row r="159" spans="1:15" x14ac:dyDescent="0.4">
      <c r="B159" s="21"/>
    </row>
    <row r="160" spans="1:15" x14ac:dyDescent="0.4">
      <c r="B160" s="21"/>
    </row>
  </sheetData>
  <pageMargins left="0.7" right="0.7" top="0.75" bottom="0.75" header="0.3" footer="0.3"/>
  <pageSetup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AK183"/>
  <sheetViews>
    <sheetView tabSelected="1" zoomScaleNormal="100" workbookViewId="0">
      <selection sqref="A1:N44"/>
    </sheetView>
  </sheetViews>
  <sheetFormatPr defaultColWidth="8.87890625" defaultRowHeight="13.7" x14ac:dyDescent="0.4"/>
  <cols>
    <col min="1" max="1" width="5.64453125" style="316" customWidth="1"/>
    <col min="2" max="2" width="9.87890625" style="316" customWidth="1"/>
    <col min="3" max="3" width="2.3515625" style="316" customWidth="1"/>
    <col min="4" max="4" width="14.8203125" style="316" customWidth="1"/>
    <col min="5" max="5" width="2.3515625" style="386" customWidth="1"/>
    <col min="6" max="6" width="20.87890625" style="386" bestFit="1" customWidth="1"/>
    <col min="7" max="7" width="2.3515625" style="387" customWidth="1"/>
    <col min="8" max="8" width="20.87890625" style="386" bestFit="1" customWidth="1"/>
    <col min="9" max="9" width="2.3515625" style="387" customWidth="1"/>
    <col min="10" max="10" width="20.87890625" style="316" bestFit="1" customWidth="1"/>
    <col min="11" max="11" width="2.3515625" style="326" customWidth="1"/>
    <col min="12" max="12" width="20.87890625" style="316" bestFit="1" customWidth="1"/>
    <col min="13" max="13" width="2.3515625" style="388" customWidth="1"/>
    <col min="14" max="14" width="14.87890625" style="316" customWidth="1"/>
    <col min="15" max="15" width="12.87890625" style="316" hidden="1" customWidth="1"/>
    <col min="16" max="16" width="16.64453125" style="316" hidden="1" customWidth="1"/>
    <col min="17" max="35" width="8.87890625" style="316" hidden="1" customWidth="1"/>
    <col min="36" max="36" width="0" style="316" hidden="1" customWidth="1"/>
    <col min="37" max="37" width="11.05859375" style="316" hidden="1" customWidth="1"/>
    <col min="38" max="45" width="0" style="316" hidden="1" customWidth="1"/>
    <col min="46" max="16384" width="8.87890625" style="316"/>
  </cols>
  <sheetData>
    <row r="1" spans="1:17" s="389" customFormat="1" ht="15" x14ac:dyDescent="0.45">
      <c r="A1" s="424" t="s">
        <v>1254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</row>
    <row r="2" spans="1:17" s="389" customFormat="1" ht="15" x14ac:dyDescent="0.45">
      <c r="A2" s="424" t="s">
        <v>1574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P2" s="397">
        <f>H8-L8</f>
        <v>257560</v>
      </c>
    </row>
    <row r="3" spans="1:17" s="389" customFormat="1" ht="15" x14ac:dyDescent="0.45">
      <c r="A3" s="425" t="s">
        <v>1585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P3" s="389">
        <f>P2/L8</f>
        <v>0.48951447675015303</v>
      </c>
    </row>
    <row r="4" spans="1:17" x14ac:dyDescent="0.4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317"/>
      <c r="N4" s="318"/>
      <c r="P4" s="392">
        <f>P3</f>
        <v>0.48949999999999999</v>
      </c>
    </row>
    <row r="5" spans="1:17" x14ac:dyDescent="0.4">
      <c r="A5" s="318"/>
      <c r="B5" s="318"/>
      <c r="C5" s="318"/>
      <c r="D5" s="318"/>
      <c r="E5" s="319"/>
      <c r="F5" s="320"/>
      <c r="G5" s="320"/>
      <c r="H5" s="322" t="s">
        <v>1576</v>
      </c>
      <c r="I5" s="321"/>
      <c r="J5" s="322"/>
      <c r="K5" s="323"/>
      <c r="L5" s="322" t="s">
        <v>1586</v>
      </c>
      <c r="M5" s="324"/>
      <c r="N5" s="318"/>
      <c r="P5" s="396">
        <f>H7/H9</f>
        <v>0.81</v>
      </c>
    </row>
    <row r="6" spans="1:17" x14ac:dyDescent="0.4">
      <c r="A6" s="325" t="s">
        <v>1425</v>
      </c>
      <c r="B6" s="318"/>
      <c r="C6" s="318"/>
      <c r="D6" s="318"/>
      <c r="E6" s="319"/>
      <c r="F6" s="319"/>
      <c r="G6" s="326"/>
      <c r="H6" s="319"/>
      <c r="I6" s="326"/>
      <c r="J6" s="327"/>
      <c r="K6" s="328"/>
      <c r="L6" s="329"/>
      <c r="M6" s="324"/>
      <c r="N6" s="318"/>
      <c r="P6" s="396">
        <f>L7/L9</f>
        <v>0.63</v>
      </c>
    </row>
    <row r="7" spans="1:17" x14ac:dyDescent="0.4">
      <c r="A7" s="318"/>
      <c r="B7" s="318" t="s">
        <v>1286</v>
      </c>
      <c r="C7" s="318"/>
      <c r="D7" s="318"/>
      <c r="E7" s="316"/>
      <c r="F7" s="330"/>
      <c r="G7" s="319" t="s">
        <v>1259</v>
      </c>
      <c r="H7" s="331">
        <f>GETPIVOTDATA("AMT",' P&amp;L-03.21'!$L$5,"ACCOUNT TYPE","SALES OF EQUIP &amp; OTHER")</f>
        <v>3245982</v>
      </c>
      <c r="I7" s="326"/>
      <c r="J7" s="332"/>
      <c r="K7" s="326" t="s">
        <v>1259</v>
      </c>
      <c r="L7" s="333">
        <v>912315</v>
      </c>
      <c r="M7" s="324"/>
      <c r="N7" s="318"/>
      <c r="P7" s="287">
        <f>H7-L7</f>
        <v>2333667</v>
      </c>
      <c r="Q7" s="392"/>
    </row>
    <row r="8" spans="1:17" x14ac:dyDescent="0.4">
      <c r="A8" s="325"/>
      <c r="B8" s="318" t="s">
        <v>1287</v>
      </c>
      <c r="C8" s="318"/>
      <c r="D8" s="318"/>
      <c r="E8" s="319"/>
      <c r="F8" s="330"/>
      <c r="G8" s="331"/>
      <c r="H8" s="331">
        <f>GETPIVOTDATA("AMT",' P&amp;L-03.21'!$L$5,"ACCOUNT TYPE","RENTALS &amp; LEASES")</f>
        <v>783714</v>
      </c>
      <c r="I8" s="326"/>
      <c r="J8" s="332"/>
      <c r="L8" s="333">
        <v>526154</v>
      </c>
      <c r="M8" s="324"/>
      <c r="N8" s="318"/>
      <c r="P8" s="316">
        <f>P7/L7</f>
        <v>2.5579618881636299</v>
      </c>
      <c r="Q8" s="392">
        <f>P8</f>
        <v>2.5579999999999998</v>
      </c>
    </row>
    <row r="9" spans="1:17" x14ac:dyDescent="0.4">
      <c r="A9" s="318"/>
      <c r="B9" s="318"/>
      <c r="C9" s="318" t="s">
        <v>1426</v>
      </c>
      <c r="D9" s="318"/>
      <c r="E9" s="319"/>
      <c r="F9" s="332"/>
      <c r="G9" s="324"/>
      <c r="H9" s="334">
        <f>SUM(H7:H8)</f>
        <v>4029696</v>
      </c>
      <c r="I9" s="324"/>
      <c r="J9" s="332"/>
      <c r="K9" s="324"/>
      <c r="L9" s="334">
        <f>SUM(L7+L8)</f>
        <v>1438469</v>
      </c>
      <c r="M9" s="324"/>
      <c r="N9" s="318"/>
      <c r="P9" s="287">
        <f>H9-L9</f>
        <v>2591227</v>
      </c>
    </row>
    <row r="10" spans="1:17" x14ac:dyDescent="0.4">
      <c r="A10" s="318"/>
      <c r="B10" s="318"/>
      <c r="C10" s="318"/>
      <c r="D10" s="318"/>
      <c r="E10" s="319"/>
      <c r="F10" s="335"/>
      <c r="G10" s="326"/>
      <c r="H10" s="319"/>
      <c r="I10" s="326"/>
      <c r="J10" s="332"/>
      <c r="L10" s="333"/>
      <c r="M10" s="324"/>
      <c r="N10" s="318"/>
      <c r="P10" s="316">
        <f>P9/L9</f>
        <v>1.8013784099622601</v>
      </c>
    </row>
    <row r="11" spans="1:17" x14ac:dyDescent="0.4">
      <c r="A11" s="325" t="s">
        <v>1288</v>
      </c>
      <c r="B11" s="318"/>
      <c r="C11" s="318"/>
      <c r="D11" s="318"/>
      <c r="E11" s="319"/>
      <c r="F11" s="335"/>
      <c r="G11" s="326"/>
      <c r="H11" s="319"/>
      <c r="I11" s="326"/>
      <c r="J11" s="332"/>
      <c r="L11" s="333"/>
      <c r="M11" s="324"/>
      <c r="N11" s="318"/>
      <c r="O11" s="316">
        <f>O12/H7</f>
        <v>0.17104068968959199</v>
      </c>
      <c r="P11" s="388">
        <f>P10</f>
        <v>1.8</v>
      </c>
    </row>
    <row r="12" spans="1:17" x14ac:dyDescent="0.4">
      <c r="A12" s="318"/>
      <c r="B12" s="318" t="s">
        <v>1286</v>
      </c>
      <c r="C12" s="318"/>
      <c r="D12" s="318"/>
      <c r="E12" s="319"/>
      <c r="F12" s="336"/>
      <c r="G12" s="326"/>
      <c r="H12" s="337">
        <f>-GETPIVOTDATA("AMT",' P&amp;L-03.21'!$L$5,"ACCOUNT TYPE","COST of EQUIP &amp; OTHER")</f>
        <v>2690787</v>
      </c>
      <c r="I12" s="326"/>
      <c r="J12" s="332"/>
      <c r="L12" s="333">
        <v>745952</v>
      </c>
      <c r="M12" s="324"/>
      <c r="N12" s="318"/>
      <c r="O12" s="287">
        <f>H7-H12</f>
        <v>555195</v>
      </c>
    </row>
    <row r="13" spans="1:17" x14ac:dyDescent="0.4">
      <c r="A13" s="318"/>
      <c r="B13" s="318" t="s">
        <v>1287</v>
      </c>
      <c r="C13" s="318"/>
      <c r="D13" s="318"/>
      <c r="E13" s="319"/>
      <c r="F13" s="336"/>
      <c r="G13" s="326"/>
      <c r="H13" s="337">
        <f>-GETPIVOTDATA("AMT",' P&amp;L-03.21'!$L$5,"ACCOUNT TYPE","COST of RENTALS &amp; LEASES")</f>
        <v>167201</v>
      </c>
      <c r="I13" s="326"/>
      <c r="J13" s="332"/>
      <c r="L13" s="333">
        <v>248306</v>
      </c>
      <c r="M13" s="324"/>
      <c r="N13" s="318"/>
      <c r="O13" s="316">
        <f>O14/L7</f>
        <v>0.18235258655179401</v>
      </c>
      <c r="P13" s="287"/>
    </row>
    <row r="14" spans="1:17" x14ac:dyDescent="0.4">
      <c r="A14" s="318"/>
      <c r="B14" s="318"/>
      <c r="C14" s="318" t="s">
        <v>1427</v>
      </c>
      <c r="D14" s="318"/>
      <c r="E14" s="319"/>
      <c r="F14" s="332"/>
      <c r="G14" s="326"/>
      <c r="H14" s="338">
        <f>SUM(H12:H13)</f>
        <v>2857988</v>
      </c>
      <c r="I14" s="326"/>
      <c r="J14" s="332"/>
      <c r="L14" s="338">
        <f>SUM(L12:L13)</f>
        <v>994258</v>
      </c>
      <c r="M14" s="324"/>
      <c r="N14" s="318"/>
      <c r="O14" s="287">
        <f>L7-L12</f>
        <v>166363</v>
      </c>
      <c r="P14" s="287">
        <f>H14-L14</f>
        <v>1863730</v>
      </c>
    </row>
    <row r="15" spans="1:17" x14ac:dyDescent="0.4">
      <c r="A15" s="318"/>
      <c r="B15" s="318"/>
      <c r="C15" s="318"/>
      <c r="D15" s="318"/>
      <c r="E15" s="319"/>
      <c r="F15" s="336"/>
      <c r="G15" s="339"/>
      <c r="H15" s="340"/>
      <c r="I15" s="339"/>
      <c r="J15" s="332"/>
      <c r="K15" s="339"/>
      <c r="L15" s="338"/>
      <c r="M15" s="324"/>
      <c r="N15" s="318"/>
      <c r="O15" s="316">
        <f>O16/L7</f>
        <v>0.51309470961236003</v>
      </c>
      <c r="P15" s="316">
        <f>P14/L14</f>
        <v>1.8744933407626601</v>
      </c>
    </row>
    <row r="16" spans="1:17" ht="14" thickBot="1" x14ac:dyDescent="0.45">
      <c r="A16" s="325" t="s">
        <v>1289</v>
      </c>
      <c r="B16" s="318"/>
      <c r="C16" s="318"/>
      <c r="D16" s="318"/>
      <c r="E16" s="319"/>
      <c r="F16" s="332"/>
      <c r="G16" s="326"/>
      <c r="H16" s="341">
        <f>H9-H14</f>
        <v>1171708</v>
      </c>
      <c r="I16" s="326"/>
      <c r="J16" s="332"/>
      <c r="L16" s="341">
        <f>L9-L14</f>
        <v>444211</v>
      </c>
      <c r="M16" s="324"/>
      <c r="N16" s="318"/>
      <c r="O16" s="287">
        <f>L7-L16</f>
        <v>468104</v>
      </c>
      <c r="P16" s="388">
        <f>P15</f>
        <v>1.87</v>
      </c>
    </row>
    <row r="17" spans="1:16" ht="14" thickTop="1" x14ac:dyDescent="0.4">
      <c r="A17" s="318"/>
      <c r="B17" s="318"/>
      <c r="C17" s="318"/>
      <c r="D17" s="318"/>
      <c r="E17" s="319"/>
      <c r="F17" s="336"/>
      <c r="G17" s="337"/>
      <c r="H17" s="337"/>
      <c r="I17" s="337"/>
      <c r="J17" s="332"/>
      <c r="K17" s="337"/>
      <c r="L17" s="333"/>
      <c r="M17" s="324"/>
      <c r="N17" s="318"/>
    </row>
    <row r="18" spans="1:16" x14ac:dyDescent="0.4">
      <c r="A18" s="325" t="s">
        <v>296</v>
      </c>
      <c r="B18" s="318"/>
      <c r="C18" s="318"/>
      <c r="D18" s="318"/>
      <c r="E18" s="319"/>
      <c r="F18" s="336"/>
      <c r="G18" s="337"/>
      <c r="H18" s="337"/>
      <c r="I18" s="337"/>
      <c r="J18" s="332"/>
      <c r="K18" s="337"/>
      <c r="L18" s="333"/>
      <c r="M18" s="324"/>
      <c r="N18" s="318"/>
      <c r="O18" s="287">
        <f>H7-H16</f>
        <v>2074274</v>
      </c>
    </row>
    <row r="19" spans="1:16" x14ac:dyDescent="0.4">
      <c r="A19" s="318"/>
      <c r="B19" s="318" t="s">
        <v>1290</v>
      </c>
      <c r="C19" s="318"/>
      <c r="D19" s="318"/>
      <c r="E19" s="319"/>
      <c r="F19" s="336"/>
      <c r="G19" s="337"/>
      <c r="H19" s="337">
        <f>-GETPIVOTDATA("AMT",' P&amp;L-03.21'!$L$5,"ACCOUNT TYPE","SALES &amp; MARKETING")</f>
        <v>139189</v>
      </c>
      <c r="I19" s="337"/>
      <c r="J19" s="332"/>
      <c r="K19" s="337"/>
      <c r="L19" s="333">
        <v>88833</v>
      </c>
      <c r="M19" s="324"/>
      <c r="N19" s="318"/>
      <c r="O19" s="316">
        <f>O18/H7</f>
        <v>0.63902818931220196</v>
      </c>
    </row>
    <row r="20" spans="1:16" x14ac:dyDescent="0.4">
      <c r="A20" s="318"/>
      <c r="B20" s="318" t="s">
        <v>293</v>
      </c>
      <c r="C20" s="318"/>
      <c r="D20" s="318"/>
      <c r="E20" s="319"/>
      <c r="F20" s="336"/>
      <c r="G20" s="337"/>
      <c r="H20" s="337">
        <f>-GETPIVOTDATA("AMT",' P&amp;L-03.21'!$L$5,"ACCOUNT TYPE","G&amp;A")</f>
        <v>244303</v>
      </c>
      <c r="I20" s="337"/>
      <c r="J20" s="332"/>
      <c r="K20" s="337"/>
      <c r="L20" s="333">
        <v>268523</v>
      </c>
      <c r="M20" s="324"/>
      <c r="N20" s="318"/>
    </row>
    <row r="21" spans="1:16" x14ac:dyDescent="0.4">
      <c r="A21" s="318"/>
      <c r="B21" s="318"/>
      <c r="C21" s="318"/>
      <c r="D21" s="318" t="s">
        <v>294</v>
      </c>
      <c r="E21" s="319"/>
      <c r="F21" s="332"/>
      <c r="G21" s="337"/>
      <c r="H21" s="338">
        <f>SUM(H19:H20)</f>
        <v>383492</v>
      </c>
      <c r="I21" s="337"/>
      <c r="J21" s="332"/>
      <c r="K21" s="337"/>
      <c r="L21" s="338">
        <f>SUM(L19:L20)</f>
        <v>357356</v>
      </c>
      <c r="M21" s="324"/>
      <c r="N21" s="318"/>
      <c r="O21" s="287">
        <f>L21-H21</f>
        <v>-26136</v>
      </c>
      <c r="P21" s="287">
        <f>H21-L21</f>
        <v>26136</v>
      </c>
    </row>
    <row r="22" spans="1:16" x14ac:dyDescent="0.4">
      <c r="A22" s="318"/>
      <c r="B22" s="318"/>
      <c r="C22" s="318"/>
      <c r="D22" s="318"/>
      <c r="E22" s="319"/>
      <c r="F22" s="336"/>
      <c r="G22" s="336"/>
      <c r="H22" s="340"/>
      <c r="I22" s="336"/>
      <c r="J22" s="332"/>
      <c r="K22" s="336"/>
      <c r="L22" s="338"/>
      <c r="M22" s="324"/>
      <c r="N22" s="318"/>
      <c r="P22" s="316">
        <f>P21/L21</f>
        <v>7.3137151747836901E-2</v>
      </c>
    </row>
    <row r="23" spans="1:16" x14ac:dyDescent="0.4">
      <c r="A23" s="318"/>
      <c r="B23" s="325" t="s">
        <v>1565</v>
      </c>
      <c r="C23" s="325"/>
      <c r="D23" s="318"/>
      <c r="E23" s="319"/>
      <c r="F23" s="332"/>
      <c r="G23" s="337"/>
      <c r="H23" s="342">
        <f>H16-H21</f>
        <v>788216</v>
      </c>
      <c r="I23" s="337"/>
      <c r="J23" s="332"/>
      <c r="K23" s="337"/>
      <c r="L23" s="342">
        <f>L16-L21</f>
        <v>86855</v>
      </c>
      <c r="M23" s="324"/>
      <c r="N23" s="318"/>
      <c r="P23" s="388">
        <f>P22</f>
        <v>7.0000000000000007E-2</v>
      </c>
    </row>
    <row r="24" spans="1:16" x14ac:dyDescent="0.4">
      <c r="A24" s="318"/>
      <c r="B24" s="318"/>
      <c r="C24" s="318"/>
      <c r="D24" s="318"/>
      <c r="E24" s="319"/>
      <c r="F24" s="336"/>
      <c r="G24" s="337"/>
      <c r="H24" s="337"/>
      <c r="I24" s="337"/>
      <c r="J24" s="332"/>
      <c r="K24" s="337"/>
      <c r="L24" s="333"/>
      <c r="M24" s="324"/>
      <c r="N24" s="318"/>
    </row>
    <row r="25" spans="1:16" x14ac:dyDescent="0.4">
      <c r="A25" s="325" t="s">
        <v>297</v>
      </c>
      <c r="B25" s="318"/>
      <c r="C25" s="318"/>
      <c r="D25" s="318"/>
      <c r="E25" s="319"/>
      <c r="F25" s="332"/>
      <c r="G25" s="337"/>
      <c r="H25" s="333"/>
      <c r="I25" s="337"/>
      <c r="J25" s="332"/>
      <c r="K25" s="337"/>
      <c r="L25" s="333"/>
      <c r="M25" s="324"/>
      <c r="N25" s="318"/>
    </row>
    <row r="26" spans="1:16" x14ac:dyDescent="0.4">
      <c r="A26" s="318"/>
      <c r="B26" s="318" t="s">
        <v>1144</v>
      </c>
      <c r="C26" s="318"/>
      <c r="D26" s="318"/>
      <c r="E26" s="319"/>
      <c r="F26" s="336"/>
      <c r="G26" s="337"/>
      <c r="H26" s="337">
        <f>GETPIVOTDATA("AMT",' P&amp;L-03.21'!$L$5,"ACCOUNT TYPE","INTERESTEXP")</f>
        <v>-267057</v>
      </c>
      <c r="I26" s="337"/>
      <c r="J26" s="332"/>
      <c r="K26" s="337"/>
      <c r="L26" s="333">
        <v>-261110</v>
      </c>
      <c r="M26" s="324"/>
      <c r="N26" s="318"/>
    </row>
    <row r="27" spans="1:16" x14ac:dyDescent="0.4">
      <c r="A27" s="318"/>
      <c r="B27" s="318" t="s">
        <v>1291</v>
      </c>
      <c r="C27" s="318"/>
      <c r="D27" s="318"/>
      <c r="E27" s="319"/>
      <c r="F27" s="336"/>
      <c r="G27" s="337"/>
      <c r="H27" s="337">
        <f>GETPIVOTDATA("AMT",' P&amp;L-03.21'!$L$5,"ACCOUNT TYPE","EARLY DEBT")</f>
        <v>-12333</v>
      </c>
      <c r="I27" s="337"/>
      <c r="J27" s="332"/>
      <c r="K27" s="337"/>
      <c r="L27" s="333">
        <v>0</v>
      </c>
      <c r="M27" s="324"/>
      <c r="N27" s="318"/>
    </row>
    <row r="28" spans="1:16" x14ac:dyDescent="0.4">
      <c r="A28" s="318"/>
      <c r="B28" s="318" t="s">
        <v>161</v>
      </c>
      <c r="C28" s="318"/>
      <c r="D28" s="318"/>
      <c r="E28" s="319"/>
      <c r="F28" s="336"/>
      <c r="G28" s="337"/>
      <c r="H28" s="337">
        <f>GETPIVOTDATA("AMT",' P&amp;L-03.21'!$L$5,"ACCOUNT TYPE","OTHER INCOME")+GETPIVOTDATA("AMT",' P&amp;L-03.21'!$L$5,"ACCOUNT TYPE","GAIN/LOSS")</f>
        <v>10078</v>
      </c>
      <c r="I28" s="337"/>
      <c r="J28" s="332"/>
      <c r="K28" s="337"/>
      <c r="L28" s="333">
        <v>0</v>
      </c>
      <c r="M28" s="324"/>
      <c r="N28" s="318"/>
    </row>
    <row r="29" spans="1:16" x14ac:dyDescent="0.4">
      <c r="A29" s="318"/>
      <c r="B29" s="318"/>
      <c r="C29" s="318"/>
      <c r="D29" s="318" t="s">
        <v>295</v>
      </c>
      <c r="E29" s="319"/>
      <c r="F29" s="336"/>
      <c r="G29" s="337"/>
      <c r="H29" s="343">
        <f>SUM(H26:H28)</f>
        <v>-269312</v>
      </c>
      <c r="I29" s="337"/>
      <c r="J29" s="336"/>
      <c r="K29" s="337"/>
      <c r="L29" s="343">
        <f>SUM(L26:L28)</f>
        <v>-261110</v>
      </c>
      <c r="M29" s="324"/>
      <c r="N29" s="318"/>
    </row>
    <row r="30" spans="1:16" x14ac:dyDescent="0.4">
      <c r="A30" s="318"/>
      <c r="B30" s="318"/>
      <c r="C30" s="318"/>
      <c r="D30" s="318"/>
      <c r="E30" s="319"/>
      <c r="F30" s="336"/>
      <c r="G30" s="337"/>
      <c r="H30" s="337"/>
      <c r="I30" s="337"/>
      <c r="J30" s="332"/>
      <c r="K30" s="337"/>
      <c r="L30" s="333"/>
      <c r="M30" s="324"/>
      <c r="N30" s="318"/>
    </row>
    <row r="31" spans="1:16" x14ac:dyDescent="0.4">
      <c r="A31" s="325" t="s">
        <v>1504</v>
      </c>
      <c r="B31" s="318"/>
      <c r="C31" s="318"/>
      <c r="D31" s="318"/>
      <c r="E31" s="319"/>
      <c r="F31" s="336"/>
      <c r="G31" s="337"/>
      <c r="H31" s="337">
        <f>H23+H29</f>
        <v>518904</v>
      </c>
      <c r="I31" s="337"/>
      <c r="J31" s="336"/>
      <c r="K31" s="337"/>
      <c r="L31" s="337">
        <f>L23+L29</f>
        <v>-174255</v>
      </c>
      <c r="M31" s="324"/>
      <c r="N31" s="318"/>
    </row>
    <row r="32" spans="1:16" x14ac:dyDescent="0.4">
      <c r="A32" s="318"/>
      <c r="B32" s="318"/>
      <c r="C32" s="318"/>
      <c r="D32" s="318"/>
      <c r="E32" s="319"/>
      <c r="F32" s="336"/>
      <c r="G32" s="337"/>
      <c r="H32" s="337"/>
      <c r="I32" s="337"/>
      <c r="J32" s="332"/>
      <c r="K32" s="337"/>
      <c r="L32" s="333"/>
      <c r="M32" s="324"/>
      <c r="N32" s="318"/>
      <c r="P32" s="392">
        <f>H33/H31</f>
        <v>0.29499999999999998</v>
      </c>
    </row>
    <row r="33" spans="1:16" x14ac:dyDescent="0.4">
      <c r="A33" s="325" t="s">
        <v>1598</v>
      </c>
      <c r="B33" s="318"/>
      <c r="C33" s="318"/>
      <c r="D33" s="318"/>
      <c r="E33" s="319"/>
      <c r="F33" s="336"/>
      <c r="G33" s="337"/>
      <c r="H33" s="337">
        <f>-GETPIVOTDATA("AMT",' P&amp;L-03.21'!$L$5,"ACCOUNT TYPE","TAXES")</f>
        <v>153075</v>
      </c>
      <c r="I33" s="337"/>
      <c r="J33" s="332"/>
      <c r="K33" s="337"/>
      <c r="L33" s="333">
        <v>-46176</v>
      </c>
      <c r="M33" s="324"/>
      <c r="N33" s="318"/>
    </row>
    <row r="34" spans="1:16" x14ac:dyDescent="0.4">
      <c r="A34" s="318"/>
      <c r="B34" s="318"/>
      <c r="C34" s="318"/>
      <c r="D34" s="318"/>
      <c r="E34" s="319"/>
      <c r="F34" s="336"/>
      <c r="G34" s="337"/>
      <c r="H34" s="337"/>
      <c r="I34" s="337"/>
      <c r="J34" s="332"/>
      <c r="K34" s="337"/>
      <c r="L34" s="333"/>
      <c r="M34" s="324"/>
      <c r="N34" s="318"/>
    </row>
    <row r="35" spans="1:16" ht="14" thickBot="1" x14ac:dyDescent="0.45">
      <c r="A35" s="325" t="s">
        <v>1564</v>
      </c>
      <c r="B35" s="318"/>
      <c r="C35" s="318"/>
      <c r="D35" s="318"/>
      <c r="E35" s="319"/>
      <c r="F35" s="332"/>
      <c r="G35" s="337" t="s">
        <v>1259</v>
      </c>
      <c r="H35" s="344">
        <f>H31-H33</f>
        <v>365829</v>
      </c>
      <c r="I35" s="337"/>
      <c r="J35" s="332"/>
      <c r="K35" s="337" t="s">
        <v>1259</v>
      </c>
      <c r="L35" s="344">
        <f>L31-L33</f>
        <v>-128079</v>
      </c>
      <c r="M35" s="324"/>
      <c r="N35" s="333"/>
      <c r="P35" s="287">
        <f>L35-H35</f>
        <v>-493908</v>
      </c>
    </row>
    <row r="36" spans="1:16" ht="14" thickTop="1" x14ac:dyDescent="0.4">
      <c r="A36" s="318"/>
      <c r="B36" s="318"/>
      <c r="C36" s="318"/>
      <c r="D36" s="318"/>
      <c r="E36" s="319"/>
      <c r="F36" s="335"/>
      <c r="G36" s="326"/>
      <c r="H36" s="319"/>
      <c r="I36" s="326"/>
      <c r="J36" s="345"/>
      <c r="L36" s="346"/>
      <c r="M36" s="324"/>
      <c r="N36" s="318"/>
      <c r="P36" s="396">
        <f>P35/L35*100</f>
        <v>385.63</v>
      </c>
    </row>
    <row r="37" spans="1:16" x14ac:dyDescent="0.4">
      <c r="A37" s="325" t="s">
        <v>1255</v>
      </c>
      <c r="B37" s="318"/>
      <c r="C37" s="318"/>
      <c r="D37" s="318"/>
      <c r="E37" s="319"/>
      <c r="F37" s="335"/>
      <c r="G37" s="326"/>
      <c r="H37" s="319"/>
      <c r="I37" s="326"/>
      <c r="J37" s="345"/>
      <c r="L37" s="346"/>
      <c r="M37" s="324"/>
      <c r="N37" s="318"/>
      <c r="P37" s="388">
        <f>P36</f>
        <v>385.63</v>
      </c>
    </row>
    <row r="38" spans="1:16" ht="14" thickBot="1" x14ac:dyDescent="0.45">
      <c r="A38" s="318"/>
      <c r="B38" s="318" t="s">
        <v>1256</v>
      </c>
      <c r="C38" s="318"/>
      <c r="D38" s="318"/>
      <c r="E38" s="319"/>
      <c r="F38" s="336"/>
      <c r="G38" s="326"/>
      <c r="H38" s="337">
        <v>14549155</v>
      </c>
      <c r="I38" s="326"/>
      <c r="J38" s="332"/>
      <c r="K38" s="339"/>
      <c r="L38" s="333">
        <v>15068318</v>
      </c>
      <c r="M38" s="324"/>
      <c r="N38" s="318"/>
    </row>
    <row r="39" spans="1:16" ht="14.35" thickTop="1" thickBot="1" x14ac:dyDescent="0.45">
      <c r="A39" s="318"/>
      <c r="B39" s="318" t="s">
        <v>1257</v>
      </c>
      <c r="C39" s="318"/>
      <c r="D39" s="318"/>
      <c r="E39" s="319"/>
      <c r="F39" s="336"/>
      <c r="G39" s="326"/>
      <c r="H39" s="347">
        <v>14549155</v>
      </c>
      <c r="I39" s="326"/>
      <c r="J39" s="332"/>
      <c r="K39" s="339"/>
      <c r="L39" s="348">
        <v>15068318</v>
      </c>
      <c r="M39" s="324"/>
      <c r="N39" s="318"/>
    </row>
    <row r="40" spans="1:16" ht="14" thickTop="1" x14ac:dyDescent="0.4">
      <c r="A40" s="318"/>
      <c r="B40" s="318"/>
      <c r="C40" s="318"/>
      <c r="D40" s="318"/>
      <c r="E40" s="319"/>
      <c r="F40" s="335"/>
      <c r="G40" s="326"/>
      <c r="H40" s="319"/>
      <c r="I40" s="326"/>
      <c r="J40" s="349"/>
      <c r="L40" s="346"/>
      <c r="M40" s="324"/>
      <c r="N40" s="318"/>
    </row>
    <row r="41" spans="1:16" x14ac:dyDescent="0.4">
      <c r="A41" s="325" t="s">
        <v>1258</v>
      </c>
      <c r="B41" s="318"/>
      <c r="C41" s="318"/>
      <c r="D41" s="318"/>
      <c r="E41" s="319"/>
      <c r="F41" s="335"/>
      <c r="G41" s="326"/>
      <c r="H41" s="319"/>
      <c r="I41" s="326"/>
      <c r="J41" s="349"/>
      <c r="L41" s="346"/>
      <c r="M41" s="324"/>
      <c r="N41" s="318"/>
    </row>
    <row r="42" spans="1:16" x14ac:dyDescent="0.4">
      <c r="A42" s="318"/>
      <c r="B42" s="318" t="s">
        <v>1256</v>
      </c>
      <c r="C42" s="318"/>
      <c r="D42" s="318"/>
      <c r="E42" s="319"/>
      <c r="F42" s="350"/>
      <c r="G42" s="326" t="s">
        <v>1259</v>
      </c>
      <c r="H42" s="351">
        <v>0.03</v>
      </c>
      <c r="I42" s="326"/>
      <c r="J42" s="350"/>
      <c r="K42" s="326" t="s">
        <v>1259</v>
      </c>
      <c r="L42" s="351">
        <v>0</v>
      </c>
      <c r="M42" s="324"/>
      <c r="N42" s="318"/>
    </row>
    <row r="43" spans="1:16" x14ac:dyDescent="0.4">
      <c r="A43" s="318"/>
      <c r="B43" s="318" t="s">
        <v>1257</v>
      </c>
      <c r="C43" s="318"/>
      <c r="D43" s="318"/>
      <c r="E43" s="319"/>
      <c r="F43" s="350"/>
      <c r="G43" s="326" t="s">
        <v>1259</v>
      </c>
      <c r="H43" s="351">
        <v>0.03</v>
      </c>
      <c r="I43" s="326"/>
      <c r="J43" s="350"/>
      <c r="K43" s="326" t="s">
        <v>1259</v>
      </c>
      <c r="L43" s="351">
        <v>0</v>
      </c>
      <c r="M43" s="324"/>
      <c r="N43" s="318"/>
    </row>
    <row r="44" spans="1:16" x14ac:dyDescent="0.4">
      <c r="A44" s="318"/>
      <c r="B44" s="318"/>
      <c r="C44" s="318"/>
      <c r="D44" s="318"/>
      <c r="E44" s="319"/>
      <c r="F44" s="319"/>
      <c r="G44" s="326"/>
      <c r="H44" s="319"/>
      <c r="I44" s="326"/>
      <c r="J44" s="318"/>
      <c r="L44" s="346"/>
      <c r="M44" s="324"/>
      <c r="N44" s="318"/>
    </row>
    <row r="45" spans="1:16" x14ac:dyDescent="0.4">
      <c r="A45" s="318"/>
      <c r="B45" s="318"/>
      <c r="C45" s="318"/>
      <c r="D45" s="318"/>
      <c r="E45" s="319"/>
      <c r="F45" s="319"/>
      <c r="G45" s="326"/>
      <c r="H45" s="319"/>
      <c r="I45" s="326"/>
      <c r="J45" s="318"/>
      <c r="L45" s="318"/>
      <c r="M45" s="324"/>
      <c r="N45" s="318"/>
    </row>
    <row r="46" spans="1:16" s="389" customFormat="1" ht="15" x14ac:dyDescent="0.45">
      <c r="A46" s="424" t="s">
        <v>1254</v>
      </c>
      <c r="B46" s="424"/>
      <c r="C46" s="424"/>
      <c r="D46" s="424"/>
      <c r="E46" s="424"/>
      <c r="F46" s="424"/>
      <c r="G46" s="424"/>
      <c r="H46" s="424"/>
      <c r="I46" s="424"/>
      <c r="J46" s="424"/>
      <c r="K46" s="424"/>
      <c r="L46" s="424"/>
      <c r="M46" s="424"/>
      <c r="N46" s="424"/>
    </row>
    <row r="47" spans="1:16" s="389" customFormat="1" ht="15" x14ac:dyDescent="0.45">
      <c r="A47" s="424" t="s">
        <v>1561</v>
      </c>
      <c r="B47" s="424"/>
      <c r="C47" s="424"/>
      <c r="D47" s="424"/>
      <c r="E47" s="424"/>
      <c r="F47" s="424"/>
      <c r="G47" s="424"/>
      <c r="H47" s="424"/>
      <c r="I47" s="424"/>
      <c r="J47" s="424"/>
      <c r="K47" s="424"/>
      <c r="L47" s="424"/>
      <c r="M47" s="424"/>
      <c r="N47" s="424"/>
    </row>
    <row r="48" spans="1:16" s="389" customFormat="1" ht="15" x14ac:dyDescent="0.45">
      <c r="A48" s="425" t="s">
        <v>1575</v>
      </c>
      <c r="B48" s="425"/>
      <c r="C48" s="425"/>
      <c r="D48" s="425"/>
      <c r="E48" s="425"/>
      <c r="F48" s="425"/>
      <c r="G48" s="425"/>
      <c r="H48" s="425"/>
      <c r="I48" s="425"/>
      <c r="J48" s="425"/>
      <c r="K48" s="425"/>
      <c r="L48" s="425"/>
      <c r="M48" s="425"/>
      <c r="N48" s="425"/>
    </row>
    <row r="49" spans="1:16" x14ac:dyDescent="0.4">
      <c r="A49" s="431"/>
      <c r="B49" s="431"/>
      <c r="C49" s="431"/>
      <c r="D49" s="431"/>
      <c r="E49" s="431"/>
      <c r="F49" s="431"/>
      <c r="G49" s="431"/>
      <c r="H49" s="431"/>
      <c r="I49" s="431"/>
      <c r="J49" s="431"/>
      <c r="K49" s="431"/>
      <c r="L49" s="431"/>
      <c r="M49" s="431"/>
      <c r="N49" s="318"/>
    </row>
    <row r="50" spans="1:16" x14ac:dyDescent="0.4">
      <c r="A50" s="318"/>
      <c r="B50" s="318"/>
      <c r="C50" s="318"/>
      <c r="D50" s="318"/>
      <c r="E50" s="319"/>
      <c r="F50" s="319"/>
      <c r="G50" s="326"/>
      <c r="H50" s="319"/>
      <c r="I50" s="326"/>
      <c r="J50" s="318"/>
      <c r="L50" s="318"/>
      <c r="M50" s="324"/>
      <c r="N50" s="318"/>
    </row>
    <row r="51" spans="1:16" x14ac:dyDescent="0.4">
      <c r="A51" s="318"/>
      <c r="B51" s="318"/>
      <c r="C51" s="318"/>
      <c r="D51" s="318"/>
      <c r="E51" s="319"/>
      <c r="F51" s="319"/>
      <c r="G51" s="326"/>
      <c r="H51" s="322" t="s">
        <v>1576</v>
      </c>
      <c r="I51" s="321"/>
      <c r="J51" s="325"/>
      <c r="K51" s="321"/>
      <c r="L51" s="352" t="s">
        <v>1518</v>
      </c>
      <c r="M51" s="324"/>
      <c r="N51" s="318"/>
    </row>
    <row r="52" spans="1:16" x14ac:dyDescent="0.4">
      <c r="A52" s="325" t="s">
        <v>4</v>
      </c>
      <c r="B52" s="318"/>
      <c r="C52" s="318"/>
      <c r="D52" s="318"/>
      <c r="E52" s="319"/>
      <c r="F52" s="319"/>
      <c r="G52" s="326"/>
      <c r="H52" s="318"/>
      <c r="I52" s="326"/>
      <c r="J52" s="318"/>
      <c r="L52" s="318"/>
      <c r="M52" s="324"/>
      <c r="N52" s="318"/>
    </row>
    <row r="53" spans="1:16" x14ac:dyDescent="0.4">
      <c r="A53" s="318"/>
      <c r="B53" s="318" t="s">
        <v>1262</v>
      </c>
      <c r="C53" s="318"/>
      <c r="D53" s="318"/>
      <c r="E53" s="319"/>
      <c r="F53" s="319"/>
      <c r="G53" s="326"/>
      <c r="H53" s="318"/>
      <c r="I53" s="326"/>
      <c r="J53" s="318"/>
      <c r="L53" s="318"/>
      <c r="M53" s="324"/>
      <c r="N53" s="318"/>
      <c r="P53" s="316" t="s">
        <v>1506</v>
      </c>
    </row>
    <row r="54" spans="1:16" x14ac:dyDescent="0.4">
      <c r="A54" s="318"/>
      <c r="B54" s="318"/>
      <c r="C54" s="318" t="s">
        <v>263</v>
      </c>
      <c r="D54" s="318"/>
      <c r="E54" s="319"/>
      <c r="F54" s="319"/>
      <c r="G54" s="326" t="s">
        <v>1259</v>
      </c>
      <c r="H54" s="333">
        <f>GETPIVOTDATA("AMT",'BS-Detail 03.21'!$L$5,"ACCOUNT TYPE","CASH")</f>
        <v>337600</v>
      </c>
      <c r="I54" s="326"/>
      <c r="J54" s="318"/>
      <c r="K54" s="326" t="s">
        <v>1259</v>
      </c>
      <c r="L54" s="333">
        <v>407881</v>
      </c>
      <c r="M54" s="324"/>
      <c r="N54" s="318"/>
      <c r="P54" s="287">
        <f>H58-H76</f>
        <v>381721</v>
      </c>
    </row>
    <row r="55" spans="1:16" x14ac:dyDescent="0.4">
      <c r="A55" s="318"/>
      <c r="B55" s="318"/>
      <c r="C55" s="318" t="s">
        <v>1349</v>
      </c>
      <c r="D55" s="318"/>
      <c r="E55" s="319"/>
      <c r="F55" s="319"/>
      <c r="G55" s="326"/>
      <c r="H55" s="333">
        <f>GETPIVOTDATA("AMT",'BS-Detail 03.21'!$L$5,"ACCOUNT TYPE","AR")</f>
        <v>1763281</v>
      </c>
      <c r="I55" s="326"/>
      <c r="J55" s="318"/>
      <c r="L55" s="333">
        <v>768371</v>
      </c>
      <c r="M55" s="324"/>
      <c r="N55" s="318"/>
    </row>
    <row r="56" spans="1:16" x14ac:dyDescent="0.4">
      <c r="A56" s="318"/>
      <c r="B56" s="318"/>
      <c r="C56" s="318" t="s">
        <v>651</v>
      </c>
      <c r="D56" s="318"/>
      <c r="E56" s="319"/>
      <c r="F56" s="319"/>
      <c r="G56" s="326"/>
      <c r="H56" s="333">
        <f>GETPIVOTDATA("AMT",'BS-Detail 03.21'!$L$5,"ACCOUNT TYPE","INVENTORY")</f>
        <v>6630817</v>
      </c>
      <c r="I56" s="326"/>
      <c r="J56" s="318"/>
      <c r="L56" s="333">
        <v>5873569</v>
      </c>
      <c r="M56" s="324"/>
      <c r="N56" s="318"/>
    </row>
    <row r="57" spans="1:16" x14ac:dyDescent="0.4">
      <c r="A57" s="318"/>
      <c r="B57" s="318"/>
      <c r="C57" s="318" t="s">
        <v>1260</v>
      </c>
      <c r="D57" s="318"/>
      <c r="E57" s="319"/>
      <c r="F57" s="319"/>
      <c r="G57" s="326"/>
      <c r="H57" s="333">
        <f>GETPIVOTDATA("AMT",'BS-Detail 03.21'!$L$5,"ACCOUNT TYPE","OTHER CURRENT ASSETS")</f>
        <v>232291</v>
      </c>
      <c r="I57" s="326"/>
      <c r="J57" s="318"/>
      <c r="L57" s="333">
        <v>198531</v>
      </c>
      <c r="M57" s="324"/>
      <c r="N57" s="318"/>
    </row>
    <row r="58" spans="1:16" x14ac:dyDescent="0.4">
      <c r="A58" s="318"/>
      <c r="B58" s="318" t="s">
        <v>22</v>
      </c>
      <c r="C58" s="318"/>
      <c r="D58" s="318"/>
      <c r="E58" s="319"/>
      <c r="F58" s="319"/>
      <c r="G58" s="326"/>
      <c r="H58" s="334">
        <f>SUM(H54:H57)</f>
        <v>8963989</v>
      </c>
      <c r="I58" s="326"/>
      <c r="J58" s="318"/>
      <c r="L58" s="334">
        <f>SUM(L54:L57)</f>
        <v>7248352</v>
      </c>
      <c r="M58" s="324"/>
      <c r="N58" s="318"/>
    </row>
    <row r="59" spans="1:16" x14ac:dyDescent="0.4">
      <c r="A59" s="318"/>
      <c r="B59" s="318"/>
      <c r="C59" s="318"/>
      <c r="D59" s="318"/>
      <c r="E59" s="319"/>
      <c r="F59" s="319"/>
      <c r="G59" s="326"/>
      <c r="H59" s="318"/>
      <c r="I59" s="326"/>
      <c r="J59" s="318"/>
      <c r="L59" s="318"/>
      <c r="M59" s="324"/>
      <c r="N59" s="318"/>
    </row>
    <row r="60" spans="1:16" x14ac:dyDescent="0.4">
      <c r="A60" s="318"/>
      <c r="B60" s="318"/>
      <c r="C60" s="318" t="s">
        <v>300</v>
      </c>
      <c r="D60" s="318"/>
      <c r="E60" s="319"/>
      <c r="F60" s="319"/>
      <c r="G60" s="326"/>
      <c r="H60" s="333">
        <f>GETPIVOTDATA("AMT",'BS-Detail 03.21'!$L$5,"ACCOUNT TYPE","PP&amp;E")</f>
        <v>968972</v>
      </c>
      <c r="I60" s="326"/>
      <c r="J60" s="318"/>
      <c r="L60" s="333">
        <v>1035840</v>
      </c>
      <c r="M60" s="324"/>
      <c r="N60" s="318"/>
    </row>
    <row r="61" spans="1:16" x14ac:dyDescent="0.4">
      <c r="A61" s="318"/>
      <c r="B61" s="318"/>
      <c r="C61" s="318" t="s">
        <v>1350</v>
      </c>
      <c r="D61" s="318"/>
      <c r="E61" s="319"/>
      <c r="F61" s="319"/>
      <c r="G61" s="326"/>
      <c r="H61" s="333">
        <f>GETPIVOTDATA("AMT",'BS-Detail 03.21'!$L$5,"ACCOUNT TYPE","RENTAL EQUIP")</f>
        <v>3114425</v>
      </c>
      <c r="I61" s="326"/>
      <c r="J61" s="318"/>
      <c r="L61" s="333">
        <v>3624376</v>
      </c>
      <c r="M61" s="324"/>
      <c r="N61" s="318"/>
    </row>
    <row r="62" spans="1:16" x14ac:dyDescent="0.4">
      <c r="A62" s="318"/>
      <c r="B62" s="318"/>
      <c r="C62" s="318" t="s">
        <v>1587</v>
      </c>
      <c r="D62" s="318"/>
      <c r="E62" s="319"/>
      <c r="F62" s="319"/>
      <c r="G62" s="326"/>
      <c r="H62" s="333">
        <v>0</v>
      </c>
      <c r="I62" s="326"/>
      <c r="J62" s="318"/>
      <c r="L62" s="333">
        <v>158124</v>
      </c>
      <c r="M62" s="324"/>
      <c r="N62" s="318"/>
    </row>
    <row r="63" spans="1:16" x14ac:dyDescent="0.4">
      <c r="A63" s="318"/>
      <c r="B63" s="318"/>
      <c r="C63" s="318" t="s">
        <v>52</v>
      </c>
      <c r="D63" s="318"/>
      <c r="E63" s="319"/>
      <c r="F63" s="319"/>
      <c r="G63" s="326"/>
      <c r="H63" s="333">
        <f>GETPIVOTDATA("AMT",'BS-Detail 03.21'!$L$5,"ACCOUNT TYPE","OTHER ASSETS")</f>
        <v>435862</v>
      </c>
      <c r="I63" s="326"/>
      <c r="J63" s="318"/>
      <c r="L63" s="333">
        <v>453410</v>
      </c>
      <c r="M63" s="324"/>
      <c r="N63" s="318"/>
    </row>
    <row r="64" spans="1:16" x14ac:dyDescent="0.4">
      <c r="A64" s="318"/>
      <c r="B64" s="318" t="s">
        <v>1431</v>
      </c>
      <c r="C64" s="318"/>
      <c r="D64" s="318"/>
      <c r="E64" s="319"/>
      <c r="F64" s="319"/>
      <c r="G64" s="326"/>
      <c r="H64" s="334">
        <f>SUM(H60:H63)</f>
        <v>4519259</v>
      </c>
      <c r="I64" s="326"/>
      <c r="J64" s="318"/>
      <c r="L64" s="334">
        <f>SUM(L60:L63)</f>
        <v>5271750</v>
      </c>
      <c r="M64" s="324"/>
      <c r="N64" s="318"/>
    </row>
    <row r="65" spans="1:14" x14ac:dyDescent="0.4">
      <c r="A65" s="318"/>
      <c r="B65" s="318"/>
      <c r="C65" s="318"/>
      <c r="D65" s="318"/>
      <c r="E65" s="319"/>
      <c r="F65" s="319"/>
      <c r="G65" s="326"/>
      <c r="H65" s="333"/>
      <c r="I65" s="326"/>
      <c r="J65" s="318"/>
      <c r="L65" s="333"/>
      <c r="M65" s="324"/>
      <c r="N65" s="318"/>
    </row>
    <row r="66" spans="1:14" ht="14" thickBot="1" x14ac:dyDescent="0.45">
      <c r="A66" s="325" t="s">
        <v>285</v>
      </c>
      <c r="B66" s="325"/>
      <c r="C66" s="325"/>
      <c r="D66" s="318"/>
      <c r="E66" s="319"/>
      <c r="F66" s="319"/>
      <c r="G66" s="326" t="s">
        <v>1259</v>
      </c>
      <c r="H66" s="344">
        <f>SUM(H64,H58)</f>
        <v>13483248</v>
      </c>
      <c r="I66" s="326"/>
      <c r="J66" s="318"/>
      <c r="K66" s="326" t="s">
        <v>1259</v>
      </c>
      <c r="L66" s="344">
        <f>SUM(L64,L58)</f>
        <v>12520102</v>
      </c>
      <c r="M66" s="324"/>
      <c r="N66" s="318"/>
    </row>
    <row r="67" spans="1:14" ht="14" thickTop="1" x14ac:dyDescent="0.4">
      <c r="A67" s="318"/>
      <c r="B67" s="318"/>
      <c r="C67" s="318"/>
      <c r="D67" s="318"/>
      <c r="E67" s="319"/>
      <c r="F67" s="319"/>
      <c r="G67" s="326"/>
      <c r="H67" s="333"/>
      <c r="I67" s="326"/>
      <c r="J67" s="318"/>
      <c r="L67" s="333"/>
      <c r="M67" s="324"/>
      <c r="N67" s="318"/>
    </row>
    <row r="68" spans="1:14" x14ac:dyDescent="0.4">
      <c r="A68" s="325" t="s">
        <v>1432</v>
      </c>
      <c r="B68" s="318"/>
      <c r="C68" s="318"/>
      <c r="D68" s="318"/>
      <c r="E68" s="319"/>
      <c r="F68" s="319"/>
      <c r="G68" s="326"/>
      <c r="H68" s="333"/>
      <c r="I68" s="326"/>
      <c r="J68" s="318"/>
      <c r="L68" s="333"/>
      <c r="M68" s="324"/>
      <c r="N68" s="318"/>
    </row>
    <row r="69" spans="1:14" x14ac:dyDescent="0.4">
      <c r="A69" s="318"/>
      <c r="B69" s="318" t="s">
        <v>1261</v>
      </c>
      <c r="C69" s="318"/>
      <c r="D69" s="318"/>
      <c r="E69" s="319"/>
      <c r="F69" s="319"/>
      <c r="G69" s="326"/>
      <c r="H69" s="333"/>
      <c r="I69" s="326"/>
      <c r="J69" s="318"/>
      <c r="L69" s="333"/>
      <c r="M69" s="324"/>
      <c r="N69" s="318"/>
    </row>
    <row r="70" spans="1:14" x14ac:dyDescent="0.4">
      <c r="A70" s="318"/>
      <c r="B70" s="318"/>
      <c r="C70" s="318" t="s">
        <v>64</v>
      </c>
      <c r="D70" s="318"/>
      <c r="E70" s="319"/>
      <c r="F70" s="319"/>
      <c r="G70" s="326" t="s">
        <v>1259</v>
      </c>
      <c r="H70" s="333">
        <f>-GETPIVOTDATA("AMT",'BS-Detail 03.21'!$L$5,"ACCOUNT TYPE","AP")</f>
        <v>1253413</v>
      </c>
      <c r="I70" s="326"/>
      <c r="J70" s="318"/>
      <c r="K70" s="326" t="s">
        <v>1259</v>
      </c>
      <c r="L70" s="333">
        <v>620200</v>
      </c>
      <c r="M70" s="324"/>
      <c r="N70" s="318"/>
    </row>
    <row r="71" spans="1:14" x14ac:dyDescent="0.4">
      <c r="A71" s="318"/>
      <c r="B71" s="318"/>
      <c r="C71" s="318" t="s">
        <v>65</v>
      </c>
      <c r="D71" s="318"/>
      <c r="E71" s="319"/>
      <c r="F71" s="319"/>
      <c r="G71" s="326"/>
      <c r="H71" s="333">
        <f>-GETPIVOTDATA("AMT",'BS-Detail 03.21'!$L$5,"ACCOUNT TYPE","ACCRUED")</f>
        <v>347316</v>
      </c>
      <c r="I71" s="326"/>
      <c r="J71" s="318"/>
      <c r="L71" s="333">
        <v>231329</v>
      </c>
      <c r="M71" s="324"/>
      <c r="N71" s="318"/>
    </row>
    <row r="72" spans="1:14" x14ac:dyDescent="0.4">
      <c r="A72" s="318"/>
      <c r="B72" s="318"/>
      <c r="C72" s="318" t="s">
        <v>1514</v>
      </c>
      <c r="D72" s="318"/>
      <c r="E72" s="319"/>
      <c r="F72" s="319"/>
      <c r="G72" s="326"/>
      <c r="H72" s="337">
        <f>-GETPIVOTDATA("AMT",'BS-Detail 03.21'!$L$5,"ACCOUNT TYPE","JT VT LIABILITY")</f>
        <v>594747</v>
      </c>
      <c r="I72" s="326"/>
      <c r="J72" s="318"/>
      <c r="L72" s="333">
        <v>439500</v>
      </c>
      <c r="M72" s="324"/>
      <c r="N72" s="318"/>
    </row>
    <row r="73" spans="1:14" x14ac:dyDescent="0.4">
      <c r="A73" s="318"/>
      <c r="B73" s="318"/>
      <c r="C73" s="318" t="s">
        <v>1588</v>
      </c>
      <c r="D73" s="318"/>
      <c r="E73" s="319"/>
      <c r="F73" s="319"/>
      <c r="G73" s="326"/>
      <c r="H73" s="337">
        <f>-GETPIVOTDATA("AMT",'BS-Detail 03.21'!$L$5,"ACCOUNT TYPE","CREDIT LINE ST")-GETPIVOTDATA("AMT",'BS-Detail 03.21'!$L$5,"ACCOUNT TYPE","CREDIT LINE LT")</f>
        <v>5165554</v>
      </c>
      <c r="I73" s="326"/>
      <c r="J73" s="318"/>
      <c r="L73" s="333">
        <v>5749801</v>
      </c>
      <c r="M73" s="324"/>
      <c r="N73" s="318"/>
    </row>
    <row r="74" spans="1:14" x14ac:dyDescent="0.4">
      <c r="A74" s="318"/>
      <c r="B74" s="318"/>
      <c r="C74" s="318" t="s">
        <v>1263</v>
      </c>
      <c r="D74" s="318"/>
      <c r="E74" s="319"/>
      <c r="F74" s="319"/>
      <c r="G74" s="326"/>
      <c r="H74" s="333">
        <f>-GETPIVOTDATA("AMT",'BS-Detail 03.21'!$L$5,"ACCOUNT TYPE","STCAPLEASE.NOTES")</f>
        <v>1026552</v>
      </c>
      <c r="I74" s="326"/>
      <c r="J74" s="318"/>
      <c r="L74" s="333">
        <v>911265</v>
      </c>
      <c r="M74" s="324"/>
      <c r="N74" s="318"/>
    </row>
    <row r="75" spans="1:14" x14ac:dyDescent="0.4">
      <c r="A75" s="318"/>
      <c r="B75" s="318"/>
      <c r="C75" s="318" t="s">
        <v>1560</v>
      </c>
      <c r="D75" s="318"/>
      <c r="E75" s="319"/>
      <c r="F75" s="319"/>
      <c r="G75" s="326"/>
      <c r="H75" s="333">
        <f>-GETPIVOTDATA("AMT",'BS-Detail 03.21'!$L$5,"ACCOUNT TYPE","CONVERT NOTE")</f>
        <v>194686</v>
      </c>
      <c r="I75" s="326"/>
      <c r="J75" s="318"/>
      <c r="L75" s="333">
        <v>150683</v>
      </c>
      <c r="M75" s="324"/>
      <c r="N75" s="318"/>
    </row>
    <row r="76" spans="1:14" x14ac:dyDescent="0.4">
      <c r="A76" s="318"/>
      <c r="B76" s="318" t="s">
        <v>130</v>
      </c>
      <c r="C76" s="318"/>
      <c r="D76" s="318"/>
      <c r="E76" s="319"/>
      <c r="F76" s="319"/>
      <c r="G76" s="326"/>
      <c r="H76" s="334">
        <f>SUM(H70:H75)</f>
        <v>8582268</v>
      </c>
      <c r="I76" s="326"/>
      <c r="J76" s="318"/>
      <c r="L76" s="334">
        <f>SUM(L70:L75)</f>
        <v>8102778</v>
      </c>
      <c r="M76" s="324"/>
      <c r="N76" s="318"/>
    </row>
    <row r="77" spans="1:14" x14ac:dyDescent="0.4">
      <c r="A77" s="318"/>
      <c r="B77" s="318"/>
      <c r="C77" s="318"/>
      <c r="D77" s="318"/>
      <c r="E77" s="319"/>
      <c r="F77" s="319"/>
      <c r="G77" s="326"/>
      <c r="H77" s="318"/>
      <c r="I77" s="326"/>
      <c r="J77" s="318"/>
      <c r="L77" s="333"/>
      <c r="M77" s="324"/>
      <c r="N77" s="318"/>
    </row>
    <row r="78" spans="1:14" x14ac:dyDescent="0.4">
      <c r="A78" s="318"/>
      <c r="B78" s="318" t="s">
        <v>131</v>
      </c>
      <c r="C78" s="318"/>
      <c r="D78" s="318"/>
      <c r="E78" s="319"/>
      <c r="F78" s="319"/>
      <c r="G78" s="326"/>
      <c r="H78" s="318"/>
      <c r="I78" s="326"/>
      <c r="J78" s="318"/>
      <c r="L78" s="333"/>
      <c r="M78" s="324"/>
      <c r="N78" s="318"/>
    </row>
    <row r="79" spans="1:14" x14ac:dyDescent="0.4">
      <c r="A79" s="318"/>
      <c r="B79" s="318"/>
      <c r="C79" s="318" t="s">
        <v>1307</v>
      </c>
      <c r="D79" s="318"/>
      <c r="E79" s="319"/>
      <c r="F79" s="319"/>
      <c r="G79" s="326"/>
      <c r="H79" s="333">
        <f>-GETPIVOTDATA("AMT",'BS-Detail 03.21'!$L$5,"ACCOUNT TYPE","DEFTAXLIAB")</f>
        <v>-4249</v>
      </c>
      <c r="I79" s="326"/>
      <c r="J79" s="318"/>
      <c r="L79" s="333">
        <v>0</v>
      </c>
      <c r="M79" s="324"/>
      <c r="N79" s="318"/>
    </row>
    <row r="80" spans="1:14" x14ac:dyDescent="0.4">
      <c r="A80" s="318"/>
      <c r="B80" s="318"/>
      <c r="C80" s="318" t="s">
        <v>1351</v>
      </c>
      <c r="D80" s="318"/>
      <c r="E80" s="319"/>
      <c r="F80" s="319"/>
      <c r="G80" s="326"/>
      <c r="H80" s="333">
        <f>-GETPIVOTDATA("AMT",'BS-Detail 03.21'!$L$5,"ACCOUNT TYPE","RELATED PARTY NOTE")</f>
        <v>239412</v>
      </c>
      <c r="I80" s="326"/>
      <c r="J80" s="318"/>
      <c r="L80" s="333">
        <v>226659</v>
      </c>
      <c r="M80" s="324"/>
      <c r="N80" s="318"/>
    </row>
    <row r="81" spans="1:14" x14ac:dyDescent="0.4">
      <c r="A81" s="318"/>
      <c r="B81" s="318"/>
      <c r="C81" s="318" t="s">
        <v>1434</v>
      </c>
      <c r="D81" s="318"/>
      <c r="E81" s="319"/>
      <c r="F81" s="319"/>
      <c r="G81" s="326"/>
      <c r="H81" s="337">
        <f>-GETPIVOTDATA("AMT",'BS-Detail 03.21'!$L$5,"ACCOUNT TYPE","LTCAPLEASE.NOTES")</f>
        <v>2707258</v>
      </c>
      <c r="I81" s="326"/>
      <c r="J81" s="318"/>
      <c r="L81" s="333">
        <v>2597935</v>
      </c>
      <c r="M81" s="324"/>
      <c r="N81" s="318"/>
    </row>
    <row r="82" spans="1:14" x14ac:dyDescent="0.4">
      <c r="A82" s="318"/>
      <c r="B82" s="318"/>
      <c r="C82" s="318" t="s">
        <v>1352</v>
      </c>
      <c r="D82" s="318"/>
      <c r="E82" s="319"/>
      <c r="F82" s="319"/>
      <c r="G82" s="326"/>
      <c r="H82" s="332">
        <v>0</v>
      </c>
      <c r="I82" s="326"/>
      <c r="J82" s="318"/>
      <c r="L82" s="332">
        <v>0</v>
      </c>
      <c r="M82" s="324"/>
      <c r="N82" s="318"/>
    </row>
    <row r="83" spans="1:14" x14ac:dyDescent="0.4">
      <c r="A83" s="318"/>
      <c r="B83" s="318" t="s">
        <v>1433</v>
      </c>
      <c r="C83" s="318"/>
      <c r="D83" s="318"/>
      <c r="E83" s="319"/>
      <c r="F83" s="319"/>
      <c r="G83" s="326"/>
      <c r="H83" s="334">
        <f>SUM(H79:H82)</f>
        <v>2942421</v>
      </c>
      <c r="I83" s="326"/>
      <c r="J83" s="318"/>
      <c r="L83" s="334">
        <f>SUM(L79:L82)</f>
        <v>2824594</v>
      </c>
      <c r="M83" s="324"/>
      <c r="N83" s="318"/>
    </row>
    <row r="84" spans="1:14" x14ac:dyDescent="0.4">
      <c r="A84" s="318"/>
      <c r="B84" s="318"/>
      <c r="C84" s="318"/>
      <c r="D84" s="318"/>
      <c r="E84" s="319"/>
      <c r="F84" s="319"/>
      <c r="G84" s="326"/>
      <c r="H84" s="333"/>
      <c r="I84" s="326"/>
      <c r="J84" s="318"/>
      <c r="L84" s="333"/>
      <c r="M84" s="324"/>
      <c r="N84" s="318"/>
    </row>
    <row r="85" spans="1:14" x14ac:dyDescent="0.4">
      <c r="A85" s="318"/>
      <c r="B85" s="325" t="s">
        <v>286</v>
      </c>
      <c r="C85" s="325"/>
      <c r="D85" s="318"/>
      <c r="E85" s="319"/>
      <c r="F85" s="319"/>
      <c r="G85" s="326"/>
      <c r="H85" s="334">
        <f>SUM(H83,H76)</f>
        <v>11524689</v>
      </c>
      <c r="I85" s="326"/>
      <c r="J85" s="318"/>
      <c r="L85" s="334">
        <f>SUM(L83,L76)</f>
        <v>10927372</v>
      </c>
      <c r="M85" s="324"/>
      <c r="N85" s="318"/>
    </row>
    <row r="86" spans="1:14" x14ac:dyDescent="0.4">
      <c r="A86" s="318"/>
      <c r="B86" s="318"/>
      <c r="C86" s="318"/>
      <c r="D86" s="318"/>
      <c r="E86" s="319"/>
      <c r="F86" s="319"/>
      <c r="G86" s="326"/>
      <c r="H86" s="319"/>
      <c r="I86" s="326"/>
      <c r="J86" s="353"/>
      <c r="L86" s="318"/>
      <c r="M86" s="324"/>
      <c r="N86" s="318"/>
    </row>
    <row r="87" spans="1:14" x14ac:dyDescent="0.4">
      <c r="A87" s="318"/>
      <c r="B87" s="318" t="s">
        <v>1435</v>
      </c>
      <c r="C87" s="318"/>
      <c r="D87" s="318"/>
      <c r="E87" s="319"/>
      <c r="F87" s="319"/>
      <c r="G87" s="326"/>
      <c r="H87" s="319"/>
      <c r="I87" s="326"/>
      <c r="J87" s="353"/>
      <c r="L87" s="318"/>
      <c r="M87" s="324"/>
      <c r="N87" s="318"/>
    </row>
    <row r="88" spans="1:14" x14ac:dyDescent="0.4">
      <c r="A88" s="318"/>
      <c r="B88" s="318"/>
      <c r="C88" s="318"/>
      <c r="D88" s="318"/>
      <c r="E88" s="319"/>
      <c r="F88" s="319"/>
      <c r="G88" s="326"/>
      <c r="H88" s="319"/>
      <c r="I88" s="326"/>
      <c r="J88" s="353"/>
      <c r="L88" s="318"/>
      <c r="M88" s="324"/>
      <c r="N88" s="318"/>
    </row>
    <row r="89" spans="1:14" x14ac:dyDescent="0.4">
      <c r="A89" s="325" t="s">
        <v>1458</v>
      </c>
      <c r="B89" s="318"/>
      <c r="C89" s="318"/>
      <c r="D89" s="318"/>
      <c r="E89" s="319"/>
      <c r="F89" s="319"/>
      <c r="G89" s="326"/>
      <c r="H89" s="319"/>
      <c r="I89" s="326"/>
      <c r="J89" s="353"/>
      <c r="L89" s="318"/>
      <c r="M89" s="324"/>
      <c r="N89" s="318"/>
    </row>
    <row r="90" spans="1:14" x14ac:dyDescent="0.4">
      <c r="A90" s="318"/>
      <c r="B90" s="318" t="s">
        <v>1456</v>
      </c>
      <c r="C90" s="318"/>
      <c r="D90" s="318"/>
      <c r="E90" s="319"/>
      <c r="F90" s="319"/>
      <c r="G90" s="326"/>
      <c r="H90" s="319"/>
      <c r="I90" s="326"/>
      <c r="J90" s="353"/>
      <c r="L90" s="318"/>
      <c r="M90" s="324"/>
      <c r="N90" s="318"/>
    </row>
    <row r="91" spans="1:14" x14ac:dyDescent="0.4">
      <c r="A91" s="318"/>
      <c r="B91" s="318"/>
      <c r="C91" s="318" t="s">
        <v>1428</v>
      </c>
      <c r="D91" s="318"/>
      <c r="E91" s="319"/>
      <c r="F91" s="319"/>
      <c r="G91" s="326"/>
      <c r="H91" s="319"/>
      <c r="I91" s="326"/>
      <c r="J91" s="353"/>
      <c r="L91" s="318"/>
      <c r="M91" s="324"/>
      <c r="N91" s="318"/>
    </row>
    <row r="92" spans="1:14" x14ac:dyDescent="0.4">
      <c r="A92" s="318"/>
      <c r="B92" s="318"/>
      <c r="C92" s="318" t="s">
        <v>1429</v>
      </c>
      <c r="D92" s="318"/>
      <c r="E92" s="319"/>
      <c r="F92" s="319"/>
      <c r="G92" s="326"/>
      <c r="H92" s="337">
        <v>0</v>
      </c>
      <c r="I92" s="337"/>
      <c r="J92" s="333"/>
      <c r="K92" s="337"/>
      <c r="L92" s="333">
        <v>0</v>
      </c>
      <c r="M92" s="324"/>
      <c r="N92" s="318"/>
    </row>
    <row r="93" spans="1:14" x14ac:dyDescent="0.4">
      <c r="A93" s="318"/>
      <c r="B93" s="318"/>
      <c r="C93" s="318" t="s">
        <v>1430</v>
      </c>
      <c r="D93" s="318"/>
      <c r="E93" s="319"/>
      <c r="F93" s="319"/>
      <c r="G93" s="326"/>
      <c r="H93" s="319"/>
      <c r="I93" s="326"/>
      <c r="J93" s="353"/>
      <c r="L93" s="318"/>
      <c r="M93" s="324"/>
      <c r="N93" s="318"/>
    </row>
    <row r="94" spans="1:14" x14ac:dyDescent="0.4">
      <c r="A94" s="318"/>
      <c r="B94" s="318"/>
      <c r="C94" s="318" t="s">
        <v>1589</v>
      </c>
      <c r="D94" s="318"/>
      <c r="E94" s="319"/>
      <c r="F94" s="319"/>
      <c r="G94" s="326"/>
      <c r="H94" s="319"/>
      <c r="I94" s="326"/>
      <c r="J94" s="353"/>
      <c r="L94" s="318"/>
      <c r="M94" s="324"/>
      <c r="N94" s="318"/>
    </row>
    <row r="95" spans="1:14" x14ac:dyDescent="0.4">
      <c r="A95" s="318"/>
      <c r="B95" s="318"/>
      <c r="C95" s="318" t="s">
        <v>1610</v>
      </c>
      <c r="D95" s="318"/>
      <c r="E95" s="319"/>
      <c r="F95" s="319"/>
      <c r="G95" s="326"/>
      <c r="H95" s="337">
        <f>-GETPIVOTDATA("AMT",'BS-Detail 03.21'!$L$5,"ACCOUNT TYPE","COMMON")</f>
        <v>14549</v>
      </c>
      <c r="I95" s="326"/>
      <c r="J95" s="353"/>
      <c r="L95" s="333">
        <v>14549</v>
      </c>
      <c r="M95" s="324"/>
      <c r="N95" s="318"/>
    </row>
    <row r="96" spans="1:14" x14ac:dyDescent="0.4">
      <c r="A96" s="318"/>
      <c r="B96" s="318"/>
      <c r="C96" s="318" t="s">
        <v>302</v>
      </c>
      <c r="D96" s="318"/>
      <c r="E96" s="319"/>
      <c r="F96" s="319"/>
      <c r="G96" s="326"/>
      <c r="H96" s="337">
        <f>-GETPIVOTDATA("AMT",'BS-Detail 03.21'!$L$5,"ACCOUNT TYPE","APIC")</f>
        <v>21545614</v>
      </c>
      <c r="I96" s="326"/>
      <c r="J96" s="318"/>
      <c r="L96" s="333">
        <v>21545614</v>
      </c>
      <c r="M96" s="324"/>
      <c r="N96" s="318"/>
    </row>
    <row r="97" spans="1:16" x14ac:dyDescent="0.4">
      <c r="A97" s="318"/>
      <c r="B97" s="318"/>
      <c r="C97" s="318" t="s">
        <v>303</v>
      </c>
      <c r="D97" s="318"/>
      <c r="E97" s="319"/>
      <c r="F97" s="319"/>
      <c r="G97" s="326"/>
      <c r="H97" s="337">
        <f>-GETPIVOTDATA("AMT",'BS-Detail 03.21'!$L$5,"ACCOUNT TYPE","RE")</f>
        <v>-19601604</v>
      </c>
      <c r="I97" s="326"/>
      <c r="J97" s="318"/>
      <c r="L97" s="333">
        <v>-19967433</v>
      </c>
      <c r="M97" s="324"/>
      <c r="N97" s="318"/>
    </row>
    <row r="98" spans="1:16" x14ac:dyDescent="0.4">
      <c r="A98" s="318"/>
      <c r="B98" s="318" t="s">
        <v>1436</v>
      </c>
      <c r="C98" s="318"/>
      <c r="D98" s="318"/>
      <c r="E98" s="319"/>
      <c r="F98" s="319"/>
      <c r="G98" s="326"/>
      <c r="H98" s="343">
        <f>SUM(H95:H97)</f>
        <v>1958559</v>
      </c>
      <c r="I98" s="326"/>
      <c r="J98" s="318"/>
      <c r="L98" s="334">
        <f>SUM(L95:L97)</f>
        <v>1592730</v>
      </c>
      <c r="M98" s="324"/>
      <c r="N98" s="318"/>
    </row>
    <row r="99" spans="1:16" x14ac:dyDescent="0.4">
      <c r="A99" s="318"/>
      <c r="B99" s="318"/>
      <c r="C99" s="318"/>
      <c r="D99" s="318"/>
      <c r="E99" s="319"/>
      <c r="F99" s="319"/>
      <c r="G99" s="326"/>
      <c r="H99" s="337"/>
      <c r="I99" s="326"/>
      <c r="J99" s="318"/>
      <c r="L99" s="333"/>
      <c r="M99" s="324"/>
      <c r="N99" s="318"/>
    </row>
    <row r="100" spans="1:16" ht="14" thickBot="1" x14ac:dyDescent="0.45">
      <c r="A100" s="325" t="s">
        <v>1437</v>
      </c>
      <c r="B100" s="325"/>
      <c r="C100" s="325"/>
      <c r="D100" s="318"/>
      <c r="E100" s="319"/>
      <c r="F100" s="319"/>
      <c r="G100" s="326" t="s">
        <v>1259</v>
      </c>
      <c r="H100" s="354">
        <f>SUM(H98,H85)</f>
        <v>13483248</v>
      </c>
      <c r="I100" s="326"/>
      <c r="J100" s="318"/>
      <c r="K100" s="326" t="s">
        <v>1259</v>
      </c>
      <c r="L100" s="354">
        <f>SUM(L98,L85)</f>
        <v>12520102</v>
      </c>
      <c r="M100" s="324"/>
      <c r="N100" s="318"/>
    </row>
    <row r="101" spans="1:16" ht="14" thickTop="1" x14ac:dyDescent="0.4">
      <c r="A101" s="318"/>
      <c r="B101" s="318"/>
      <c r="C101" s="318"/>
      <c r="D101" s="318"/>
      <c r="E101" s="319"/>
      <c r="F101" s="319"/>
      <c r="G101" s="326"/>
      <c r="H101" s="337"/>
      <c r="I101" s="326"/>
      <c r="J101" s="318"/>
      <c r="L101" s="333"/>
      <c r="M101" s="324"/>
      <c r="N101" s="318"/>
    </row>
    <row r="102" spans="1:16" x14ac:dyDescent="0.4">
      <c r="A102" s="318"/>
      <c r="B102" s="318"/>
      <c r="C102" s="318"/>
      <c r="D102" s="318"/>
      <c r="E102" s="319"/>
      <c r="F102" s="319"/>
      <c r="G102" s="326"/>
      <c r="H102" s="337">
        <f>H100-H66</f>
        <v>0</v>
      </c>
      <c r="I102" s="326"/>
      <c r="J102" s="318"/>
      <c r="L102" s="337">
        <f>L100-L66</f>
        <v>0</v>
      </c>
      <c r="M102" s="324"/>
      <c r="N102" s="318"/>
    </row>
    <row r="103" spans="1:16" x14ac:dyDescent="0.4">
      <c r="A103" s="318"/>
      <c r="B103" s="318"/>
      <c r="C103" s="318"/>
      <c r="D103" s="318"/>
      <c r="E103" s="319"/>
      <c r="F103" s="319"/>
      <c r="G103" s="326"/>
      <c r="H103" s="337"/>
      <c r="I103" s="326"/>
      <c r="J103" s="318"/>
      <c r="L103" s="333"/>
      <c r="M103" s="324"/>
      <c r="N103" s="318"/>
    </row>
    <row r="104" spans="1:16" x14ac:dyDescent="0.4">
      <c r="A104" s="318"/>
      <c r="B104" s="318"/>
      <c r="C104" s="318"/>
      <c r="D104" s="318"/>
      <c r="E104" s="319"/>
      <c r="F104" s="319"/>
      <c r="G104" s="326"/>
      <c r="H104" s="337"/>
      <c r="I104" s="326"/>
      <c r="J104" s="318"/>
      <c r="L104" s="333"/>
      <c r="M104" s="324"/>
      <c r="N104" s="318"/>
    </row>
    <row r="105" spans="1:16" s="389" customFormat="1" ht="15" x14ac:dyDescent="0.45">
      <c r="A105" s="424" t="s">
        <v>1254</v>
      </c>
      <c r="B105" s="424"/>
      <c r="C105" s="424"/>
      <c r="D105" s="424"/>
      <c r="E105" s="424"/>
      <c r="F105" s="424"/>
      <c r="G105" s="424"/>
      <c r="H105" s="424"/>
      <c r="I105" s="424"/>
      <c r="J105" s="424"/>
      <c r="K105" s="424"/>
      <c r="L105" s="424"/>
      <c r="M105" s="424"/>
      <c r="N105" s="424"/>
    </row>
    <row r="106" spans="1:16" s="389" customFormat="1" ht="15" x14ac:dyDescent="0.45">
      <c r="A106" s="424" t="s">
        <v>1577</v>
      </c>
      <c r="B106" s="424"/>
      <c r="C106" s="424"/>
      <c r="D106" s="424"/>
      <c r="E106" s="424"/>
      <c r="F106" s="424"/>
      <c r="G106" s="424"/>
      <c r="H106" s="424"/>
      <c r="I106" s="424"/>
      <c r="J106" s="424"/>
      <c r="K106" s="424"/>
      <c r="L106" s="424"/>
      <c r="M106" s="424"/>
      <c r="N106" s="424"/>
    </row>
    <row r="107" spans="1:16" s="389" customFormat="1" ht="15" x14ac:dyDescent="0.45">
      <c r="A107" s="425" t="s">
        <v>1585</v>
      </c>
      <c r="B107" s="425"/>
      <c r="C107" s="425"/>
      <c r="D107" s="425"/>
      <c r="E107" s="425"/>
      <c r="F107" s="425"/>
      <c r="G107" s="425"/>
      <c r="H107" s="425"/>
      <c r="I107" s="425"/>
      <c r="J107" s="425"/>
      <c r="K107" s="425"/>
      <c r="L107" s="425"/>
      <c r="M107" s="425"/>
      <c r="N107" s="425"/>
    </row>
    <row r="108" spans="1:16" x14ac:dyDescent="0.4">
      <c r="A108" s="431"/>
      <c r="B108" s="431"/>
      <c r="C108" s="431"/>
      <c r="D108" s="431"/>
      <c r="E108" s="431"/>
      <c r="F108" s="431"/>
      <c r="G108" s="431"/>
      <c r="H108" s="431"/>
      <c r="I108" s="431"/>
      <c r="J108" s="431"/>
      <c r="K108" s="431"/>
      <c r="L108" s="431"/>
      <c r="M108" s="431"/>
      <c r="N108" s="318"/>
    </row>
    <row r="109" spans="1:16" x14ac:dyDescent="0.4">
      <c r="A109" s="318"/>
      <c r="B109" s="318"/>
      <c r="C109" s="318"/>
      <c r="D109" s="318"/>
      <c r="E109" s="319"/>
      <c r="F109" s="319"/>
      <c r="G109" s="326"/>
      <c r="H109" s="322" t="s">
        <v>1576</v>
      </c>
      <c r="I109" s="321"/>
      <c r="J109" s="390"/>
      <c r="K109" s="321"/>
      <c r="L109" s="322" t="s">
        <v>1518</v>
      </c>
      <c r="M109" s="324"/>
      <c r="N109" s="318"/>
    </row>
    <row r="110" spans="1:16" x14ac:dyDescent="0.4">
      <c r="A110" s="325" t="s">
        <v>1442</v>
      </c>
      <c r="B110" s="318"/>
      <c r="C110" s="318"/>
      <c r="D110" s="318"/>
      <c r="E110" s="319"/>
      <c r="F110" s="319"/>
      <c r="G110" s="326"/>
      <c r="H110" s="319"/>
      <c r="I110" s="326"/>
      <c r="J110" s="349"/>
      <c r="L110" s="318"/>
      <c r="M110" s="324"/>
      <c r="N110" s="318"/>
    </row>
    <row r="111" spans="1:16" x14ac:dyDescent="0.4">
      <c r="A111" s="318"/>
      <c r="B111" s="318" t="s">
        <v>1566</v>
      </c>
      <c r="C111" s="318"/>
      <c r="D111" s="318"/>
      <c r="E111" s="319"/>
      <c r="F111" s="319"/>
      <c r="G111" s="326" t="s">
        <v>1259</v>
      </c>
      <c r="H111" s="333">
        <f>'CF WB 03.21'!I40</f>
        <v>365829</v>
      </c>
      <c r="I111" s="326"/>
      <c r="J111" s="332"/>
      <c r="K111" s="326" t="s">
        <v>1259</v>
      </c>
      <c r="L111" s="333">
        <v>-128079</v>
      </c>
      <c r="M111" s="324"/>
      <c r="N111" s="318"/>
      <c r="P111" s="287">
        <f>L111-H111</f>
        <v>-493908</v>
      </c>
    </row>
    <row r="112" spans="1:16" x14ac:dyDescent="0.4">
      <c r="A112" s="318"/>
      <c r="B112" s="318"/>
      <c r="C112" s="318" t="s">
        <v>1438</v>
      </c>
      <c r="D112" s="318"/>
      <c r="E112" s="319"/>
      <c r="F112" s="319"/>
      <c r="G112" s="326"/>
      <c r="H112" s="319"/>
      <c r="I112" s="326"/>
      <c r="J112" s="349"/>
      <c r="L112" s="318"/>
      <c r="M112" s="324"/>
      <c r="N112" s="318"/>
    </row>
    <row r="113" spans="1:14" x14ac:dyDescent="0.4">
      <c r="A113" s="318"/>
      <c r="B113" s="318"/>
      <c r="C113" s="318" t="s">
        <v>1443</v>
      </c>
      <c r="D113" s="318"/>
      <c r="E113" s="319"/>
      <c r="F113" s="319"/>
      <c r="G113" s="326"/>
      <c r="H113" s="333"/>
      <c r="I113" s="326"/>
      <c r="J113" s="332"/>
      <c r="L113" s="333"/>
      <c r="M113" s="324"/>
      <c r="N113" s="318"/>
    </row>
    <row r="114" spans="1:14" x14ac:dyDescent="0.4">
      <c r="A114" s="318"/>
      <c r="B114" s="318"/>
      <c r="C114" s="318"/>
      <c r="D114" s="318" t="s">
        <v>1439</v>
      </c>
      <c r="E114" s="319"/>
      <c r="F114" s="319"/>
      <c r="G114" s="326"/>
      <c r="H114" s="333">
        <f>'CF WB 03.21'!I42</f>
        <v>220810</v>
      </c>
      <c r="I114" s="326"/>
      <c r="J114" s="332"/>
      <c r="L114" s="333">
        <v>337673</v>
      </c>
      <c r="M114" s="324"/>
      <c r="N114" s="318"/>
    </row>
    <row r="115" spans="1:14" x14ac:dyDescent="0.4">
      <c r="A115" s="318"/>
      <c r="B115" s="318"/>
      <c r="C115" s="318"/>
      <c r="D115" s="318" t="s">
        <v>1593</v>
      </c>
      <c r="E115" s="319"/>
      <c r="F115" s="319"/>
      <c r="G115" s="326"/>
      <c r="H115" s="333">
        <f>'CF WB 03.21'!I52</f>
        <v>-4249</v>
      </c>
      <c r="I115" s="326"/>
      <c r="J115" s="332"/>
      <c r="L115" s="333">
        <v>-46176</v>
      </c>
      <c r="M115" s="324"/>
      <c r="N115" s="318"/>
    </row>
    <row r="116" spans="1:14" x14ac:dyDescent="0.4">
      <c r="A116" s="318"/>
      <c r="B116" s="318"/>
      <c r="C116" s="318"/>
      <c r="D116" s="318" t="s">
        <v>1441</v>
      </c>
      <c r="E116" s="319"/>
      <c r="F116" s="319"/>
      <c r="G116" s="326"/>
      <c r="H116" s="333">
        <f>'CF WB 03.21'!I53</f>
        <v>12333</v>
      </c>
      <c r="I116" s="326"/>
      <c r="J116" s="332"/>
      <c r="L116" s="333">
        <v>0</v>
      </c>
      <c r="M116" s="324"/>
      <c r="N116" s="318"/>
    </row>
    <row r="117" spans="1:14" x14ac:dyDescent="0.4">
      <c r="A117" s="318"/>
      <c r="B117" s="318"/>
      <c r="C117" s="318" t="s">
        <v>1444</v>
      </c>
      <c r="D117" s="318"/>
      <c r="E117" s="319"/>
      <c r="F117" s="319"/>
      <c r="G117" s="326"/>
      <c r="H117" s="333"/>
      <c r="I117" s="326"/>
      <c r="J117" s="332"/>
      <c r="L117" s="333"/>
      <c r="M117" s="324"/>
      <c r="N117" s="318"/>
    </row>
    <row r="118" spans="1:14" x14ac:dyDescent="0.4">
      <c r="A118" s="318"/>
      <c r="B118" s="318"/>
      <c r="C118" s="318"/>
      <c r="D118" s="318" t="s">
        <v>649</v>
      </c>
      <c r="E118" s="319"/>
      <c r="F118" s="319"/>
      <c r="G118" s="326"/>
      <c r="H118" s="333">
        <f>'CF WB 03.21'!I46</f>
        <v>-994910</v>
      </c>
      <c r="I118" s="326"/>
      <c r="J118" s="332"/>
      <c r="L118" s="333">
        <v>110486</v>
      </c>
      <c r="M118" s="324"/>
      <c r="N118" s="318"/>
    </row>
    <row r="119" spans="1:14" x14ac:dyDescent="0.4">
      <c r="A119" s="318"/>
      <c r="B119" s="318"/>
      <c r="C119" s="318"/>
      <c r="D119" s="318" t="s">
        <v>651</v>
      </c>
      <c r="E119" s="319"/>
      <c r="F119" s="319"/>
      <c r="G119" s="326"/>
      <c r="H119" s="333">
        <f>'CF WB 03.21'!I47</f>
        <v>-757248</v>
      </c>
      <c r="I119" s="326"/>
      <c r="J119" s="332"/>
      <c r="L119" s="333">
        <v>-1943023</v>
      </c>
      <c r="M119" s="324"/>
      <c r="N119" s="318"/>
    </row>
    <row r="120" spans="1:14" x14ac:dyDescent="0.4">
      <c r="A120" s="318"/>
      <c r="B120" s="318"/>
      <c r="C120" s="318"/>
      <c r="D120" s="318" t="s">
        <v>1260</v>
      </c>
      <c r="E120" s="319"/>
      <c r="F120" s="319"/>
      <c r="G120" s="326"/>
      <c r="H120" s="333">
        <f>'CF WB 03.21'!I48+'CF WB 03.21'!I49</f>
        <v>-16212</v>
      </c>
      <c r="I120" s="326"/>
      <c r="J120" s="332"/>
      <c r="L120" s="333">
        <v>25417</v>
      </c>
      <c r="M120" s="324"/>
      <c r="N120" s="318"/>
    </row>
    <row r="121" spans="1:14" x14ac:dyDescent="0.4">
      <c r="A121" s="318"/>
      <c r="B121" s="318"/>
      <c r="C121" s="318"/>
      <c r="D121" s="318" t="s">
        <v>64</v>
      </c>
      <c r="E121" s="319"/>
      <c r="F121" s="319"/>
      <c r="G121" s="326"/>
      <c r="H121" s="333">
        <f>'CF WB 03.21'!I50</f>
        <v>633213</v>
      </c>
      <c r="I121" s="326"/>
      <c r="J121" s="332"/>
      <c r="L121" s="333">
        <v>107097</v>
      </c>
      <c r="M121" s="324"/>
      <c r="N121" s="318"/>
    </row>
    <row r="122" spans="1:14" x14ac:dyDescent="0.4">
      <c r="A122" s="318"/>
      <c r="B122" s="318"/>
      <c r="C122" s="318"/>
      <c r="D122" s="318" t="s">
        <v>65</v>
      </c>
      <c r="E122" s="319"/>
      <c r="F122" s="319"/>
      <c r="G122" s="326"/>
      <c r="H122" s="333">
        <f>'CF WB 03.21'!I51</f>
        <v>115987</v>
      </c>
      <c r="I122" s="326"/>
      <c r="J122" s="332"/>
      <c r="L122" s="333">
        <v>-25232</v>
      </c>
      <c r="M122" s="324"/>
      <c r="N122" s="318"/>
    </row>
    <row r="123" spans="1:14" x14ac:dyDescent="0.4">
      <c r="A123" s="355" t="s">
        <v>1440</v>
      </c>
      <c r="B123" s="355"/>
      <c r="C123" s="355"/>
      <c r="D123" s="355"/>
      <c r="E123" s="355"/>
      <c r="F123" s="355"/>
      <c r="G123" s="339"/>
      <c r="H123" s="334">
        <f>SUM(H111:H122)</f>
        <v>-424447</v>
      </c>
      <c r="I123" s="339"/>
      <c r="J123" s="332"/>
      <c r="K123" s="339"/>
      <c r="L123" s="334">
        <f>SUM(L111:L122)</f>
        <v>-1561837</v>
      </c>
      <c r="M123" s="324"/>
      <c r="N123" s="318"/>
    </row>
    <row r="124" spans="1:14" x14ac:dyDescent="0.4">
      <c r="A124" s="318"/>
      <c r="B124" s="318"/>
      <c r="C124" s="318"/>
      <c r="D124" s="318"/>
      <c r="E124" s="319"/>
      <c r="F124" s="319"/>
      <c r="G124" s="326"/>
      <c r="H124" s="333"/>
      <c r="I124" s="326"/>
      <c r="J124" s="332"/>
      <c r="L124" s="333"/>
      <c r="M124" s="324"/>
      <c r="N124" s="318"/>
    </row>
    <row r="125" spans="1:14" x14ac:dyDescent="0.4">
      <c r="A125" s="325" t="s">
        <v>1265</v>
      </c>
      <c r="B125" s="318"/>
      <c r="C125" s="318"/>
      <c r="D125" s="318"/>
      <c r="E125" s="319"/>
      <c r="F125" s="319"/>
      <c r="G125" s="326"/>
      <c r="H125" s="333"/>
      <c r="I125" s="326"/>
      <c r="J125" s="332"/>
      <c r="L125" s="333"/>
      <c r="M125" s="324"/>
      <c r="N125" s="318"/>
    </row>
    <row r="126" spans="1:14" x14ac:dyDescent="0.4">
      <c r="A126" s="318"/>
      <c r="B126" s="318"/>
      <c r="C126" s="318"/>
      <c r="D126" s="318" t="s">
        <v>1356</v>
      </c>
      <c r="E126" s="319"/>
      <c r="F126" s="319"/>
      <c r="G126" s="326"/>
      <c r="H126" s="333">
        <f>'CF WB 03.21'!I58</f>
        <v>-6501</v>
      </c>
      <c r="I126" s="326"/>
      <c r="J126" s="332"/>
      <c r="L126" s="333">
        <v>-20416</v>
      </c>
      <c r="M126" s="324"/>
      <c r="N126" s="318"/>
    </row>
    <row r="127" spans="1:14" x14ac:dyDescent="0.4">
      <c r="A127" s="318"/>
      <c r="B127" s="318"/>
      <c r="C127" s="318"/>
      <c r="D127" s="318" t="s">
        <v>1357</v>
      </c>
      <c r="E127" s="319"/>
      <c r="F127" s="319"/>
      <c r="G127" s="326"/>
      <c r="H127" s="333">
        <f>'CF WB 03.21'!I59</f>
        <v>362510</v>
      </c>
      <c r="I127" s="326"/>
      <c r="J127" s="332"/>
      <c r="L127" s="333">
        <v>-18589</v>
      </c>
      <c r="M127" s="324"/>
      <c r="N127" s="318"/>
    </row>
    <row r="128" spans="1:14" x14ac:dyDescent="0.4">
      <c r="A128" s="318"/>
      <c r="B128" s="318"/>
      <c r="C128" s="318"/>
      <c r="D128" s="318" t="s">
        <v>1358</v>
      </c>
      <c r="E128" s="319"/>
      <c r="F128" s="319"/>
      <c r="G128" s="326"/>
      <c r="H128" s="333">
        <v>0</v>
      </c>
      <c r="I128" s="326"/>
      <c r="J128" s="332"/>
      <c r="L128" s="333">
        <v>0</v>
      </c>
      <c r="M128" s="324"/>
      <c r="N128" s="318"/>
    </row>
    <row r="129" spans="1:14" x14ac:dyDescent="0.4">
      <c r="A129" s="355" t="s">
        <v>1567</v>
      </c>
      <c r="B129" s="355"/>
      <c r="C129" s="355"/>
      <c r="D129" s="355"/>
      <c r="E129" s="355"/>
      <c r="F129" s="355"/>
      <c r="G129" s="339"/>
      <c r="H129" s="334">
        <f>SUM(H126:H127)</f>
        <v>356009</v>
      </c>
      <c r="I129" s="339"/>
      <c r="J129" s="332"/>
      <c r="K129" s="339"/>
      <c r="L129" s="334">
        <f>SUM(L126:L128)</f>
        <v>-39005</v>
      </c>
      <c r="M129" s="324"/>
      <c r="N129" s="318"/>
    </row>
    <row r="130" spans="1:14" x14ac:dyDescent="0.4">
      <c r="A130" s="318"/>
      <c r="B130" s="318"/>
      <c r="C130" s="318"/>
      <c r="D130" s="318"/>
      <c r="E130" s="319"/>
      <c r="F130" s="319"/>
      <c r="G130" s="326"/>
      <c r="H130" s="333"/>
      <c r="I130" s="326"/>
      <c r="J130" s="332"/>
      <c r="L130" s="333"/>
      <c r="M130" s="324"/>
      <c r="N130" s="318"/>
    </row>
    <row r="131" spans="1:14" x14ac:dyDescent="0.4">
      <c r="A131" s="325" t="s">
        <v>1266</v>
      </c>
      <c r="B131" s="318"/>
      <c r="C131" s="318"/>
      <c r="D131" s="318"/>
      <c r="E131" s="319"/>
      <c r="F131" s="319"/>
      <c r="G131" s="326"/>
      <c r="H131" s="333"/>
      <c r="I131" s="326"/>
      <c r="J131" s="332"/>
      <c r="L131" s="333"/>
      <c r="M131" s="324"/>
      <c r="N131" s="318"/>
    </row>
    <row r="132" spans="1:14" x14ac:dyDescent="0.4">
      <c r="A132" s="318"/>
      <c r="B132" s="318"/>
      <c r="C132" s="318"/>
      <c r="D132" s="318" t="s">
        <v>1359</v>
      </c>
      <c r="E132" s="319"/>
      <c r="F132" s="319"/>
      <c r="G132" s="326"/>
      <c r="H132" s="333">
        <f>'CF WB 03.21'!I67</f>
        <v>700940</v>
      </c>
      <c r="I132" s="326"/>
      <c r="J132" s="332"/>
      <c r="L132" s="333">
        <v>2900600</v>
      </c>
      <c r="M132" s="324"/>
      <c r="N132" s="318"/>
    </row>
    <row r="133" spans="1:14" x14ac:dyDescent="0.4">
      <c r="A133" s="318"/>
      <c r="B133" s="318"/>
      <c r="C133" s="318"/>
      <c r="D133" s="318" t="s">
        <v>1360</v>
      </c>
      <c r="E133" s="319"/>
      <c r="F133" s="319"/>
      <c r="G133" s="326"/>
      <c r="H133" s="333">
        <f>'CF WB 03.21'!I68</f>
        <v>-286537</v>
      </c>
      <c r="I133" s="326"/>
      <c r="J133" s="332"/>
      <c r="L133" s="333">
        <v>-129950</v>
      </c>
      <c r="M133" s="324"/>
      <c r="N133" s="318"/>
    </row>
    <row r="134" spans="1:14" x14ac:dyDescent="0.4">
      <c r="A134" s="318"/>
      <c r="B134" s="318"/>
      <c r="C134" s="318"/>
      <c r="D134" s="318" t="s">
        <v>1361</v>
      </c>
      <c r="E134" s="319"/>
      <c r="F134" s="319"/>
      <c r="G134" s="326"/>
      <c r="H134" s="333">
        <f>'CF WB 03.21'!I69</f>
        <v>12753</v>
      </c>
      <c r="I134" s="326"/>
      <c r="J134" s="332"/>
      <c r="L134" s="333">
        <v>-4568</v>
      </c>
      <c r="M134" s="324"/>
      <c r="N134" s="318"/>
    </row>
    <row r="135" spans="1:14" x14ac:dyDescent="0.4">
      <c r="A135" s="318"/>
      <c r="B135" s="318"/>
      <c r="C135" s="318"/>
      <c r="D135" s="318" t="s">
        <v>1514</v>
      </c>
      <c r="E135" s="319"/>
      <c r="F135" s="319"/>
      <c r="G135" s="326"/>
      <c r="H135" s="333">
        <f>'CF WB 03.21'!I66</f>
        <v>155247</v>
      </c>
      <c r="I135" s="326"/>
      <c r="J135" s="332"/>
      <c r="L135" s="333">
        <v>-17500</v>
      </c>
      <c r="M135" s="324"/>
      <c r="N135" s="318"/>
    </row>
    <row r="136" spans="1:14" x14ac:dyDescent="0.4">
      <c r="A136" s="318"/>
      <c r="B136" s="318"/>
      <c r="C136" s="318"/>
      <c r="D136" s="318" t="s">
        <v>1505</v>
      </c>
      <c r="E136" s="319"/>
      <c r="F136" s="319"/>
      <c r="G136" s="326"/>
      <c r="H136" s="333">
        <f>'CF WB 03.21'!I65</f>
        <v>-584246</v>
      </c>
      <c r="I136" s="326"/>
      <c r="J136" s="332"/>
      <c r="L136" s="333">
        <v>-1075247</v>
      </c>
      <c r="M136" s="324"/>
      <c r="N136" s="318"/>
    </row>
    <row r="137" spans="1:14" x14ac:dyDescent="0.4">
      <c r="A137" s="355" t="s">
        <v>1597</v>
      </c>
      <c r="B137" s="355"/>
      <c r="C137" s="355"/>
      <c r="D137" s="355"/>
      <c r="E137" s="355"/>
      <c r="F137" s="355"/>
      <c r="G137" s="339"/>
      <c r="H137" s="334">
        <f>SUM(H132:H136)</f>
        <v>-1843</v>
      </c>
      <c r="I137" s="339"/>
      <c r="J137" s="332"/>
      <c r="K137" s="339"/>
      <c r="L137" s="334">
        <f>SUM(L132:L136)</f>
        <v>1673335</v>
      </c>
      <c r="M137" s="324"/>
      <c r="N137" s="318"/>
    </row>
    <row r="138" spans="1:14" x14ac:dyDescent="0.4">
      <c r="A138" s="318"/>
      <c r="B138" s="318"/>
      <c r="C138" s="318"/>
      <c r="D138" s="318"/>
      <c r="E138" s="319"/>
      <c r="F138" s="319"/>
      <c r="G138" s="326"/>
      <c r="H138" s="333"/>
      <c r="I138" s="326"/>
      <c r="J138" s="332"/>
      <c r="L138" s="333"/>
      <c r="M138" s="324"/>
      <c r="N138" s="318"/>
    </row>
    <row r="139" spans="1:14" x14ac:dyDescent="0.4">
      <c r="A139" s="355" t="s">
        <v>1558</v>
      </c>
      <c r="B139" s="355"/>
      <c r="C139" s="355"/>
      <c r="D139" s="355"/>
      <c r="E139" s="355"/>
      <c r="F139" s="355"/>
      <c r="G139" s="339"/>
      <c r="H139" s="334">
        <f>SUM(H137,H129,H123)</f>
        <v>-70281</v>
      </c>
      <c r="I139" s="339"/>
      <c r="J139" s="332"/>
      <c r="K139" s="339"/>
      <c r="L139" s="334">
        <f>SUM(L137,L129,L123)</f>
        <v>72493</v>
      </c>
      <c r="M139" s="324"/>
      <c r="N139" s="318"/>
    </row>
    <row r="140" spans="1:14" x14ac:dyDescent="0.4">
      <c r="A140" s="318"/>
      <c r="B140" s="318"/>
      <c r="C140" s="318"/>
      <c r="D140" s="318"/>
      <c r="E140" s="319"/>
      <c r="F140" s="319"/>
      <c r="G140" s="326"/>
      <c r="H140" s="333"/>
      <c r="I140" s="326"/>
      <c r="J140" s="332"/>
      <c r="L140" s="333"/>
      <c r="M140" s="324"/>
      <c r="N140" s="318"/>
    </row>
    <row r="141" spans="1:14" x14ac:dyDescent="0.4">
      <c r="A141" s="325" t="s">
        <v>1445</v>
      </c>
      <c r="B141" s="325"/>
      <c r="C141" s="325"/>
      <c r="D141" s="318"/>
      <c r="E141" s="319"/>
      <c r="F141" s="319"/>
      <c r="G141" s="339"/>
      <c r="H141" s="342">
        <f>'CF WB 03.21'!I74</f>
        <v>407881</v>
      </c>
      <c r="I141" s="339"/>
      <c r="J141" s="332"/>
      <c r="K141" s="339"/>
      <c r="L141" s="342">
        <v>114504</v>
      </c>
      <c r="M141" s="324"/>
      <c r="N141" s="318"/>
    </row>
    <row r="142" spans="1:14" ht="14" thickBot="1" x14ac:dyDescent="0.45">
      <c r="A142" s="325" t="s">
        <v>1446</v>
      </c>
      <c r="B142" s="325"/>
      <c r="C142" s="325"/>
      <c r="D142" s="318"/>
      <c r="E142" s="319"/>
      <c r="F142" s="319"/>
      <c r="G142" s="339" t="s">
        <v>1259</v>
      </c>
      <c r="H142" s="344">
        <f>SUM(H139:H141)</f>
        <v>337600</v>
      </c>
      <c r="I142" s="339"/>
      <c r="J142" s="332"/>
      <c r="K142" s="339" t="s">
        <v>1259</v>
      </c>
      <c r="L142" s="344">
        <f>SUM(L139:L141)</f>
        <v>186997</v>
      </c>
      <c r="M142" s="324"/>
      <c r="N142" s="318"/>
    </row>
    <row r="143" spans="1:14" ht="14" thickTop="1" x14ac:dyDescent="0.4">
      <c r="A143" s="318"/>
      <c r="B143" s="318"/>
      <c r="C143" s="318"/>
      <c r="D143" s="318"/>
      <c r="E143" s="319"/>
      <c r="F143" s="319"/>
      <c r="G143" s="339"/>
      <c r="H143" s="319"/>
      <c r="I143" s="326"/>
      <c r="J143" s="349"/>
      <c r="L143" s="318"/>
      <c r="M143" s="324"/>
      <c r="N143" s="318"/>
    </row>
    <row r="144" spans="1:14" x14ac:dyDescent="0.4">
      <c r="A144" s="325" t="s">
        <v>1447</v>
      </c>
      <c r="B144" s="318"/>
      <c r="C144" s="318"/>
      <c r="D144" s="318"/>
      <c r="E144" s="319"/>
      <c r="F144" s="319"/>
      <c r="G144" s="339"/>
      <c r="H144" s="319"/>
      <c r="I144" s="326"/>
      <c r="J144" s="349"/>
      <c r="L144" s="318"/>
      <c r="M144" s="324"/>
      <c r="N144" s="318"/>
    </row>
    <row r="145" spans="1:14" x14ac:dyDescent="0.4">
      <c r="A145" s="325" t="s">
        <v>1448</v>
      </c>
      <c r="B145" s="318"/>
      <c r="C145" s="318"/>
      <c r="D145" s="318"/>
      <c r="E145" s="319"/>
      <c r="F145" s="319"/>
      <c r="G145" s="339"/>
      <c r="H145" s="319"/>
      <c r="I145" s="326"/>
      <c r="J145" s="349"/>
      <c r="L145" s="318"/>
      <c r="M145" s="324"/>
      <c r="N145" s="318"/>
    </row>
    <row r="146" spans="1:14" ht="14" thickBot="1" x14ac:dyDescent="0.45">
      <c r="A146" s="318"/>
      <c r="B146" s="318"/>
      <c r="C146" s="318"/>
      <c r="D146" s="318" t="s">
        <v>1449</v>
      </c>
      <c r="E146" s="319"/>
      <c r="F146" s="319"/>
      <c r="G146" s="339" t="s">
        <v>1259</v>
      </c>
      <c r="H146" s="356">
        <f>-GETPIVOTDATA("AMT",' P&amp;L-03.21'!$L$5,"ACCOUNT TYPE","INTERESTEXP")+' P&amp;L-03.21'!I110+' P&amp;L-03.21'!I64-' P&amp;L-03.21'!J62</f>
        <v>201278</v>
      </c>
      <c r="I146" s="339"/>
      <c r="J146" s="332"/>
      <c r="K146" s="339" t="s">
        <v>1259</v>
      </c>
      <c r="L146" s="356">
        <v>259808</v>
      </c>
      <c r="M146" s="324"/>
      <c r="N146" s="318"/>
    </row>
    <row r="147" spans="1:14" ht="14.35" thickTop="1" thickBot="1" x14ac:dyDescent="0.45">
      <c r="A147" s="318"/>
      <c r="B147" s="318"/>
      <c r="C147" s="318"/>
      <c r="D147" s="318" t="s">
        <v>1450</v>
      </c>
      <c r="E147" s="319"/>
      <c r="F147" s="319"/>
      <c r="G147" s="339" t="s">
        <v>1259</v>
      </c>
      <c r="H147" s="344">
        <v>0</v>
      </c>
      <c r="I147" s="339"/>
      <c r="J147" s="332"/>
      <c r="K147" s="339" t="s">
        <v>1259</v>
      </c>
      <c r="L147" s="344">
        <v>0</v>
      </c>
      <c r="M147" s="324"/>
      <c r="N147" s="318"/>
    </row>
    <row r="148" spans="1:14" ht="14" thickTop="1" x14ac:dyDescent="0.4">
      <c r="A148" s="318"/>
      <c r="B148" s="318"/>
      <c r="C148" s="318"/>
      <c r="D148" s="318"/>
      <c r="E148" s="319"/>
      <c r="F148" s="319"/>
      <c r="G148" s="339"/>
      <c r="H148" s="333"/>
      <c r="I148" s="339"/>
      <c r="J148" s="332"/>
      <c r="K148" s="339"/>
      <c r="L148" s="333"/>
      <c r="M148" s="324"/>
      <c r="N148" s="318"/>
    </row>
    <row r="149" spans="1:14" x14ac:dyDescent="0.4">
      <c r="A149" s="325" t="s">
        <v>1455</v>
      </c>
      <c r="B149" s="318"/>
      <c r="C149" s="318"/>
      <c r="D149" s="318"/>
      <c r="E149" s="319"/>
      <c r="F149" s="319"/>
      <c r="G149" s="326"/>
      <c r="H149" s="333"/>
      <c r="I149" s="339"/>
      <c r="J149" s="332"/>
      <c r="K149" s="339"/>
      <c r="L149" s="333"/>
      <c r="M149" s="324"/>
      <c r="N149" s="318"/>
    </row>
    <row r="150" spans="1:14" x14ac:dyDescent="0.4">
      <c r="A150" s="325" t="s">
        <v>1451</v>
      </c>
      <c r="B150" s="318"/>
      <c r="C150" s="318"/>
      <c r="D150" s="318"/>
      <c r="E150" s="319"/>
      <c r="F150" s="319"/>
      <c r="G150" s="326"/>
      <c r="H150" s="333"/>
      <c r="I150" s="339"/>
      <c r="J150" s="332"/>
      <c r="K150" s="339"/>
      <c r="L150" s="333"/>
      <c r="M150" s="324"/>
      <c r="N150" s="318"/>
    </row>
    <row r="151" spans="1:14" ht="14" thickBot="1" x14ac:dyDescent="0.45">
      <c r="A151" s="318"/>
      <c r="B151" s="318"/>
      <c r="C151" s="318"/>
      <c r="D151" s="318" t="s">
        <v>1452</v>
      </c>
      <c r="E151" s="319"/>
      <c r="F151" s="319"/>
      <c r="G151" s="339" t="s">
        <v>1259</v>
      </c>
      <c r="H151" s="356">
        <v>508000</v>
      </c>
      <c r="I151" s="339"/>
      <c r="J151" s="332"/>
      <c r="K151" s="339" t="s">
        <v>1259</v>
      </c>
      <c r="L151" s="356">
        <v>0</v>
      </c>
      <c r="M151" s="324"/>
      <c r="N151" s="318"/>
    </row>
    <row r="152" spans="1:14" ht="14.35" thickTop="1" thickBot="1" x14ac:dyDescent="0.45">
      <c r="A152" s="318"/>
      <c r="B152" s="318"/>
      <c r="C152" s="318"/>
      <c r="D152" s="318" t="s">
        <v>1519</v>
      </c>
      <c r="E152" s="319"/>
      <c r="F152" s="319"/>
      <c r="G152" s="339" t="s">
        <v>1259</v>
      </c>
      <c r="H152" s="341">
        <f>-'BS-Detail 03.21'!I89-'BS-Detail 03.21'!I85</f>
        <v>197186</v>
      </c>
      <c r="I152" s="339"/>
      <c r="J152" s="332"/>
      <c r="K152" s="339" t="s">
        <v>1259</v>
      </c>
      <c r="L152" s="341">
        <v>0</v>
      </c>
      <c r="M152" s="324"/>
      <c r="N152" s="318"/>
    </row>
    <row r="153" spans="1:14" ht="14.35" thickTop="1" thickBot="1" x14ac:dyDescent="0.45">
      <c r="A153" s="318"/>
      <c r="B153" s="318"/>
      <c r="C153" s="318"/>
      <c r="D153" s="318" t="s">
        <v>1453</v>
      </c>
      <c r="E153" s="319"/>
      <c r="F153" s="319"/>
      <c r="G153" s="339" t="s">
        <v>1259</v>
      </c>
      <c r="H153" s="344">
        <v>964600</v>
      </c>
      <c r="I153" s="339"/>
      <c r="J153" s="332"/>
      <c r="K153" s="339" t="s">
        <v>1259</v>
      </c>
      <c r="L153" s="344">
        <v>0</v>
      </c>
      <c r="M153" s="324"/>
      <c r="N153" s="318"/>
    </row>
    <row r="154" spans="1:14" ht="14" thickTop="1" x14ac:dyDescent="0.4">
      <c r="A154" s="318"/>
      <c r="B154" s="318"/>
      <c r="C154" s="318"/>
      <c r="D154" s="318"/>
      <c r="E154" s="319"/>
      <c r="F154" s="319"/>
      <c r="G154" s="326"/>
      <c r="H154" s="333"/>
      <c r="I154" s="326"/>
      <c r="J154" s="333"/>
      <c r="L154" s="318"/>
      <c r="M154" s="324"/>
      <c r="N154" s="318"/>
    </row>
    <row r="155" spans="1:14" x14ac:dyDescent="0.4">
      <c r="A155" s="318"/>
      <c r="B155" s="318"/>
      <c r="C155" s="318"/>
      <c r="D155" s="318"/>
      <c r="E155" s="319"/>
      <c r="F155" s="319"/>
      <c r="G155" s="326"/>
      <c r="H155" s="333"/>
      <c r="I155" s="326"/>
      <c r="J155" s="333"/>
      <c r="L155" s="318"/>
      <c r="M155" s="324"/>
      <c r="N155" s="318"/>
    </row>
    <row r="156" spans="1:14" x14ac:dyDescent="0.4">
      <c r="A156" s="318"/>
      <c r="B156" s="318"/>
      <c r="C156" s="318"/>
      <c r="D156" s="318"/>
      <c r="E156" s="319"/>
      <c r="F156" s="319"/>
      <c r="G156" s="326"/>
      <c r="H156" s="333"/>
      <c r="I156" s="326"/>
      <c r="J156" s="333"/>
      <c r="L156" s="318"/>
      <c r="M156" s="324"/>
      <c r="N156" s="318"/>
    </row>
    <row r="157" spans="1:14" ht="15" x14ac:dyDescent="0.45">
      <c r="A157" s="424" t="s">
        <v>1254</v>
      </c>
      <c r="B157" s="424"/>
      <c r="C157" s="424"/>
      <c r="D157" s="424"/>
      <c r="E157" s="424"/>
      <c r="F157" s="424"/>
      <c r="G157" s="424"/>
      <c r="H157" s="424"/>
      <c r="I157" s="424"/>
      <c r="J157" s="424"/>
      <c r="K157" s="424"/>
      <c r="L157" s="424"/>
      <c r="M157" s="424"/>
      <c r="N157" s="424"/>
    </row>
    <row r="158" spans="1:14" ht="15" x14ac:dyDescent="0.45">
      <c r="A158" s="424" t="s">
        <v>1578</v>
      </c>
      <c r="B158" s="424"/>
      <c r="C158" s="424"/>
      <c r="D158" s="424"/>
      <c r="E158" s="424"/>
      <c r="F158" s="424"/>
      <c r="G158" s="424"/>
      <c r="H158" s="424"/>
      <c r="I158" s="424"/>
      <c r="J158" s="424"/>
      <c r="K158" s="424"/>
      <c r="L158" s="424"/>
      <c r="M158" s="424"/>
      <c r="N158" s="424"/>
    </row>
    <row r="159" spans="1:14" ht="15" x14ac:dyDescent="0.45">
      <c r="A159" s="425" t="s">
        <v>1575</v>
      </c>
      <c r="B159" s="425"/>
      <c r="C159" s="425"/>
      <c r="D159" s="425"/>
      <c r="E159" s="425"/>
      <c r="F159" s="425"/>
      <c r="G159" s="425"/>
      <c r="H159" s="425"/>
      <c r="I159" s="425"/>
      <c r="J159" s="425"/>
      <c r="K159" s="425"/>
      <c r="L159" s="425"/>
      <c r="M159" s="425"/>
      <c r="N159" s="425"/>
    </row>
    <row r="160" spans="1:14" x14ac:dyDescent="0.4">
      <c r="A160" s="357"/>
      <c r="B160" s="358"/>
      <c r="C160" s="358"/>
      <c r="D160" s="358"/>
      <c r="E160" s="358"/>
      <c r="F160" s="358"/>
      <c r="G160" s="358"/>
      <c r="H160" s="358"/>
      <c r="I160" s="358"/>
      <c r="J160" s="358"/>
      <c r="K160" s="358"/>
      <c r="L160" s="358"/>
      <c r="M160" s="358"/>
      <c r="N160" s="359" t="s">
        <v>1412</v>
      </c>
    </row>
    <row r="161" spans="1:16" x14ac:dyDescent="0.4">
      <c r="A161" s="360"/>
      <c r="B161" s="358"/>
      <c r="C161" s="358"/>
      <c r="D161" s="358"/>
      <c r="E161" s="358"/>
      <c r="F161" s="358"/>
      <c r="G161" s="358"/>
      <c r="H161" s="359" t="s">
        <v>1413</v>
      </c>
      <c r="I161" s="358"/>
      <c r="J161" s="358"/>
      <c r="K161" s="358"/>
      <c r="L161" s="358"/>
      <c r="M161" s="358"/>
      <c r="N161" s="359" t="s">
        <v>1414</v>
      </c>
    </row>
    <row r="162" spans="1:16" x14ac:dyDescent="0.4">
      <c r="A162" s="318"/>
      <c r="B162" s="318"/>
      <c r="C162" s="318"/>
      <c r="D162" s="426" t="s">
        <v>301</v>
      </c>
      <c r="E162" s="426"/>
      <c r="F162" s="426"/>
      <c r="G162" s="361"/>
      <c r="H162" s="359" t="s">
        <v>1415</v>
      </c>
      <c r="I162" s="361"/>
      <c r="J162" s="359" t="s">
        <v>1416</v>
      </c>
      <c r="K162" s="361"/>
      <c r="L162" s="359" t="s">
        <v>1417</v>
      </c>
      <c r="M162" s="361"/>
      <c r="N162" s="359" t="s">
        <v>1418</v>
      </c>
    </row>
    <row r="163" spans="1:16" ht="14" thickBot="1" x14ac:dyDescent="0.45">
      <c r="A163" s="429" t="s">
        <v>1424</v>
      </c>
      <c r="B163" s="429"/>
      <c r="C163" s="362"/>
      <c r="D163" s="363" t="s">
        <v>1419</v>
      </c>
      <c r="E163" s="364"/>
      <c r="F163" s="365" t="s">
        <v>1420</v>
      </c>
      <c r="G163" s="366"/>
      <c r="H163" s="365" t="s">
        <v>1421</v>
      </c>
      <c r="I163" s="364"/>
      <c r="J163" s="365" t="s">
        <v>139</v>
      </c>
      <c r="K163" s="366"/>
      <c r="L163" s="365" t="s">
        <v>1422</v>
      </c>
      <c r="M163" s="359"/>
      <c r="N163" s="365" t="s">
        <v>1423</v>
      </c>
    </row>
    <row r="164" spans="1:16" x14ac:dyDescent="0.4">
      <c r="A164" s="318"/>
      <c r="B164" s="367"/>
      <c r="C164" s="368"/>
      <c r="D164" s="367"/>
      <c r="E164" s="319"/>
      <c r="F164" s="319"/>
      <c r="G164" s="326"/>
      <c r="H164" s="319"/>
      <c r="I164" s="326"/>
      <c r="J164" s="318"/>
      <c r="L164" s="318"/>
      <c r="M164" s="324"/>
      <c r="N164" s="318"/>
    </row>
    <row r="165" spans="1:16" s="372" customFormat="1" ht="12.7" x14ac:dyDescent="0.4">
      <c r="A165" s="427" t="s">
        <v>1512</v>
      </c>
      <c r="B165" s="427"/>
      <c r="C165" s="369"/>
      <c r="D165" s="370">
        <v>15068318</v>
      </c>
      <c r="E165" s="370"/>
      <c r="F165" s="371">
        <v>15068</v>
      </c>
      <c r="G165" s="370"/>
      <c r="H165" s="371">
        <f>21519435</f>
        <v>21519435</v>
      </c>
      <c r="I165" s="370"/>
      <c r="J165" s="371">
        <v>0</v>
      </c>
      <c r="K165" s="370"/>
      <c r="L165" s="371">
        <f>-19384743</f>
        <v>-19384743</v>
      </c>
      <c r="M165" s="370"/>
      <c r="N165" s="371">
        <f>2149760</f>
        <v>2149760</v>
      </c>
      <c r="P165" s="373"/>
    </row>
    <row r="166" spans="1:16" s="372" customFormat="1" ht="12.7" x14ac:dyDescent="0.4">
      <c r="A166" s="374"/>
      <c r="B166" s="374"/>
      <c r="C166" s="369"/>
      <c r="D166" s="370"/>
      <c r="E166" s="370"/>
      <c r="F166" s="370"/>
      <c r="G166" s="370"/>
      <c r="H166" s="370"/>
      <c r="I166" s="370"/>
      <c r="J166" s="370"/>
      <c r="K166" s="370"/>
      <c r="L166" s="370"/>
      <c r="M166" s="370"/>
      <c r="N166" s="370"/>
    </row>
    <row r="167" spans="1:16" s="372" customFormat="1" ht="12.7" x14ac:dyDescent="0.4">
      <c r="A167" s="428" t="s">
        <v>142</v>
      </c>
      <c r="B167" s="428"/>
      <c r="C167" s="358"/>
      <c r="D167" s="375"/>
      <c r="E167" s="375"/>
      <c r="F167" s="375"/>
      <c r="G167" s="375"/>
      <c r="H167" s="375"/>
      <c r="I167" s="375"/>
      <c r="J167" s="375"/>
      <c r="K167" s="375"/>
      <c r="L167" s="375">
        <v>-128079</v>
      </c>
      <c r="M167" s="370"/>
      <c r="N167" s="375">
        <f>SUM(F167:L167)</f>
        <v>-128079</v>
      </c>
    </row>
    <row r="168" spans="1:16" s="372" customFormat="1" ht="13" thickBot="1" x14ac:dyDescent="0.45">
      <c r="A168" s="376"/>
      <c r="B168" s="377"/>
      <c r="C168" s="358"/>
      <c r="D168" s="375"/>
      <c r="E168" s="375"/>
      <c r="F168" s="375"/>
      <c r="G168" s="375"/>
      <c r="H168" s="375"/>
      <c r="I168" s="375"/>
      <c r="J168" s="375"/>
      <c r="K168" s="375"/>
      <c r="L168" s="375"/>
      <c r="M168" s="370"/>
      <c r="N168" s="375"/>
    </row>
    <row r="169" spans="1:16" s="372" customFormat="1" ht="12.7" x14ac:dyDescent="0.4">
      <c r="A169" s="427">
        <v>43921</v>
      </c>
      <c r="B169" s="427"/>
      <c r="C169" s="369"/>
      <c r="D169" s="378">
        <f>SUM(D165:D168)</f>
        <v>15068318</v>
      </c>
      <c r="E169" s="375"/>
      <c r="F169" s="378">
        <f>SUM(F165:F168)</f>
        <v>15068</v>
      </c>
      <c r="G169" s="375"/>
      <c r="H169" s="378">
        <f>SUM(H165:H168)</f>
        <v>21519435</v>
      </c>
      <c r="I169" s="375"/>
      <c r="J169" s="378">
        <f>SUM(J165:J168)</f>
        <v>0</v>
      </c>
      <c r="K169" s="375"/>
      <c r="L169" s="378">
        <f>SUM(L165:L168)</f>
        <v>-19512822</v>
      </c>
      <c r="M169" s="375"/>
      <c r="N169" s="378">
        <f>SUM(N165:N168)</f>
        <v>2021681</v>
      </c>
      <c r="P169" s="379"/>
    </row>
    <row r="170" spans="1:16" s="372" customFormat="1" ht="12.7" x14ac:dyDescent="0.4">
      <c r="A170" s="374"/>
      <c r="B170" s="374"/>
      <c r="C170" s="369"/>
      <c r="D170" s="375"/>
      <c r="E170" s="375"/>
      <c r="F170" s="375"/>
      <c r="G170" s="375"/>
      <c r="H170" s="375"/>
      <c r="I170" s="375"/>
      <c r="J170" s="375"/>
      <c r="K170" s="375"/>
      <c r="L170" s="375"/>
      <c r="M170" s="375"/>
      <c r="N170" s="375"/>
    </row>
    <row r="171" spans="1:16" s="372" customFormat="1" ht="22" customHeight="1" x14ac:dyDescent="0.4">
      <c r="A171" s="430" t="s">
        <v>1592</v>
      </c>
      <c r="B171" s="430"/>
      <c r="C171" s="369"/>
      <c r="D171" s="375">
        <v>40000</v>
      </c>
      <c r="E171" s="375"/>
      <c r="F171" s="375">
        <v>40</v>
      </c>
      <c r="G171" s="375"/>
      <c r="H171" s="375">
        <v>25620</v>
      </c>
      <c r="I171" s="375"/>
      <c r="J171" s="375"/>
      <c r="K171" s="375"/>
      <c r="L171" s="375">
        <v>0</v>
      </c>
      <c r="M171" s="375"/>
      <c r="N171" s="375">
        <f>SUM(F171:L171)</f>
        <v>25660</v>
      </c>
    </row>
    <row r="172" spans="1:16" s="372" customFormat="1" ht="12.7" x14ac:dyDescent="0.4">
      <c r="A172" s="374"/>
      <c r="B172" s="374"/>
      <c r="C172" s="369"/>
      <c r="D172" s="375"/>
      <c r="E172" s="375"/>
      <c r="F172" s="375"/>
      <c r="G172" s="375"/>
      <c r="H172" s="375"/>
      <c r="I172" s="375"/>
      <c r="J172" s="375"/>
      <c r="K172" s="375"/>
      <c r="L172" s="375"/>
      <c r="M172" s="375"/>
      <c r="N172" s="375"/>
    </row>
    <row r="173" spans="1:16" s="372" customFormat="1" ht="22.5" customHeight="1" x14ac:dyDescent="0.4">
      <c r="A173" s="430" t="s">
        <v>1596</v>
      </c>
      <c r="B173" s="430"/>
      <c r="C173" s="380"/>
      <c r="D173" s="370">
        <v>-559163</v>
      </c>
      <c r="E173" s="381"/>
      <c r="F173" s="381">
        <v>-559</v>
      </c>
      <c r="G173" s="381"/>
      <c r="H173" s="381">
        <v>559</v>
      </c>
      <c r="I173" s="381"/>
      <c r="J173" s="370"/>
      <c r="K173" s="381"/>
      <c r="L173" s="370"/>
      <c r="M173" s="370"/>
      <c r="N173" s="375">
        <f>SUM(F173:M173)</f>
        <v>0</v>
      </c>
    </row>
    <row r="174" spans="1:16" s="372" customFormat="1" ht="12.7" x14ac:dyDescent="0.4">
      <c r="A174" s="382"/>
      <c r="B174" s="382"/>
      <c r="C174" s="380"/>
      <c r="D174" s="370"/>
      <c r="E174" s="381"/>
      <c r="F174" s="381"/>
      <c r="G174" s="381"/>
      <c r="H174" s="381"/>
      <c r="I174" s="381"/>
      <c r="J174" s="370"/>
      <c r="K174" s="381"/>
      <c r="L174" s="370"/>
      <c r="M174" s="370"/>
      <c r="N174" s="370"/>
    </row>
    <row r="175" spans="1:16" s="372" customFormat="1" ht="12.7" x14ac:dyDescent="0.4">
      <c r="A175" s="428" t="s">
        <v>142</v>
      </c>
      <c r="B175" s="428"/>
      <c r="C175" s="380"/>
      <c r="D175" s="370"/>
      <c r="E175" s="381"/>
      <c r="F175" s="381"/>
      <c r="G175" s="381"/>
      <c r="H175" s="381"/>
      <c r="I175" s="381"/>
      <c r="J175" s="370"/>
      <c r="K175" s="381"/>
      <c r="L175" s="370">
        <f>-454611</f>
        <v>-454611</v>
      </c>
      <c r="M175" s="370"/>
      <c r="N175" s="375">
        <f>SUM(F175:L175)</f>
        <v>-454611</v>
      </c>
    </row>
    <row r="176" spans="1:16" s="372" customFormat="1" ht="13" thickBot="1" x14ac:dyDescent="0.45">
      <c r="A176" s="382"/>
      <c r="B176" s="382"/>
      <c r="C176" s="380"/>
      <c r="D176" s="370"/>
      <c r="E176" s="381"/>
      <c r="F176" s="381"/>
      <c r="G176" s="381"/>
      <c r="H176" s="381"/>
      <c r="I176" s="381"/>
      <c r="J176" s="370"/>
      <c r="K176" s="381"/>
      <c r="L176" s="370"/>
      <c r="M176" s="370"/>
      <c r="N176" s="370"/>
    </row>
    <row r="177" spans="1:14" s="372" customFormat="1" ht="12.7" x14ac:dyDescent="0.4">
      <c r="A177" s="427" t="s">
        <v>1520</v>
      </c>
      <c r="B177" s="427"/>
      <c r="C177" s="369"/>
      <c r="D177" s="378">
        <f>SUM(D169:D176)</f>
        <v>14549155</v>
      </c>
      <c r="E177" s="375"/>
      <c r="F177" s="398">
        <f>SUM(F169:F176)</f>
        <v>14549</v>
      </c>
      <c r="G177" s="375"/>
      <c r="H177" s="398">
        <f>SUM(H169:H176)</f>
        <v>21545614</v>
      </c>
      <c r="I177" s="375"/>
      <c r="J177" s="398">
        <f>SUM(J169:J176)</f>
        <v>0</v>
      </c>
      <c r="K177" s="375"/>
      <c r="L177" s="398">
        <f>SUM(L169:L176)</f>
        <v>-19967433</v>
      </c>
      <c r="M177" s="375"/>
      <c r="N177" s="398">
        <f>SUM(N169:N176)</f>
        <v>1592730</v>
      </c>
    </row>
    <row r="178" spans="1:14" x14ac:dyDescent="0.4">
      <c r="A178" s="382"/>
      <c r="B178" s="382"/>
      <c r="C178" s="380"/>
      <c r="D178" s="370"/>
      <c r="E178" s="381"/>
      <c r="F178" s="381"/>
      <c r="G178" s="381"/>
      <c r="H178" s="381"/>
      <c r="I178" s="381"/>
      <c r="J178" s="370"/>
      <c r="K178" s="381"/>
      <c r="L178" s="370"/>
      <c r="M178" s="370"/>
      <c r="N178" s="370"/>
    </row>
    <row r="179" spans="1:14" x14ac:dyDescent="0.4">
      <c r="A179" s="428" t="s">
        <v>142</v>
      </c>
      <c r="B179" s="428"/>
      <c r="C179" s="380"/>
      <c r="D179" s="370"/>
      <c r="E179" s="381"/>
      <c r="F179" s="381"/>
      <c r="G179" s="381"/>
      <c r="H179" s="381"/>
      <c r="I179" s="381"/>
      <c r="J179" s="370"/>
      <c r="K179" s="381"/>
      <c r="L179" s="370">
        <f>H35</f>
        <v>365829</v>
      </c>
      <c r="M179" s="370"/>
      <c r="N179" s="375">
        <f>SUM(F179:L179)</f>
        <v>365829</v>
      </c>
    </row>
    <row r="180" spans="1:14" x14ac:dyDescent="0.4">
      <c r="A180" s="382"/>
      <c r="B180" s="382"/>
      <c r="C180" s="380"/>
      <c r="D180" s="370"/>
      <c r="E180" s="381"/>
      <c r="F180" s="381"/>
      <c r="G180" s="381"/>
      <c r="H180" s="381"/>
      <c r="I180" s="381"/>
      <c r="J180" s="370"/>
      <c r="K180" s="381"/>
      <c r="L180" s="370"/>
      <c r="M180" s="370"/>
      <c r="N180" s="370"/>
    </row>
    <row r="181" spans="1:14" ht="14" thickBot="1" x14ac:dyDescent="0.45">
      <c r="A181" s="427" t="s">
        <v>1573</v>
      </c>
      <c r="B181" s="427"/>
      <c r="C181" s="369"/>
      <c r="D181" s="383">
        <f>SUM(D177:D180)</f>
        <v>14549155</v>
      </c>
      <c r="E181" s="375"/>
      <c r="F181" s="384">
        <f>SUM(F177:F180)</f>
        <v>14549</v>
      </c>
      <c r="G181" s="375"/>
      <c r="H181" s="384">
        <f>SUM(H177:H180)</f>
        <v>21545614</v>
      </c>
      <c r="I181" s="375"/>
      <c r="J181" s="384">
        <f>SUM(J177:J180)</f>
        <v>0</v>
      </c>
      <c r="K181" s="375"/>
      <c r="L181" s="384">
        <f>SUM(L177:L180)</f>
        <v>-19601604</v>
      </c>
      <c r="M181" s="375"/>
      <c r="N181" s="384">
        <f>SUM(N177:R180)</f>
        <v>1958559</v>
      </c>
    </row>
    <row r="182" spans="1:14" ht="14" thickTop="1" x14ac:dyDescent="0.4">
      <c r="A182" s="380"/>
      <c r="B182" s="380"/>
      <c r="C182" s="380"/>
      <c r="D182" s="385">
        <f>H38</f>
        <v>14549155</v>
      </c>
      <c r="E182" s="385"/>
      <c r="F182" s="385">
        <f>H95</f>
        <v>14549</v>
      </c>
      <c r="G182" s="385"/>
      <c r="H182" s="385">
        <f>H96</f>
        <v>21545614</v>
      </c>
      <c r="I182" s="385"/>
      <c r="J182" s="385">
        <f>H110</f>
        <v>0</v>
      </c>
      <c r="K182" s="385"/>
      <c r="L182" s="385">
        <f>H97</f>
        <v>-19601604</v>
      </c>
      <c r="M182" s="385"/>
      <c r="N182" s="385">
        <f>H98</f>
        <v>1958559</v>
      </c>
    </row>
    <row r="183" spans="1:14" x14ac:dyDescent="0.4">
      <c r="A183" s="380"/>
      <c r="B183" s="380"/>
      <c r="C183" s="380"/>
      <c r="D183" s="385">
        <f>D181-D182</f>
        <v>0</v>
      </c>
      <c r="E183" s="385"/>
      <c r="F183" s="385">
        <f>F181-F182</f>
        <v>0</v>
      </c>
      <c r="G183" s="385"/>
      <c r="H183" s="385">
        <f>H181-H182</f>
        <v>0</v>
      </c>
      <c r="I183" s="385"/>
      <c r="J183" s="385">
        <f>J181-J182</f>
        <v>0</v>
      </c>
      <c r="K183" s="385"/>
      <c r="L183" s="385">
        <f>L181-L182</f>
        <v>0</v>
      </c>
      <c r="M183" s="385"/>
      <c r="N183" s="385">
        <f>N181-N182</f>
        <v>0</v>
      </c>
    </row>
  </sheetData>
  <mergeCells count="26">
    <mergeCell ref="A108:M108"/>
    <mergeCell ref="A1:N1"/>
    <mergeCell ref="A2:N2"/>
    <mergeCell ref="A3:N3"/>
    <mergeCell ref="A46:N46"/>
    <mergeCell ref="A47:N47"/>
    <mergeCell ref="A4:L4"/>
    <mergeCell ref="A48:N48"/>
    <mergeCell ref="A105:N105"/>
    <mergeCell ref="A106:N106"/>
    <mergeCell ref="A107:N107"/>
    <mergeCell ref="A49:M49"/>
    <mergeCell ref="A157:N157"/>
    <mergeCell ref="A158:N158"/>
    <mergeCell ref="A159:N159"/>
    <mergeCell ref="D162:F162"/>
    <mergeCell ref="A181:B181"/>
    <mergeCell ref="A179:B179"/>
    <mergeCell ref="A163:B163"/>
    <mergeCell ref="A165:B165"/>
    <mergeCell ref="A167:B167"/>
    <mergeCell ref="A177:B177"/>
    <mergeCell ref="A175:B175"/>
    <mergeCell ref="A169:B169"/>
    <mergeCell ref="A173:B173"/>
    <mergeCell ref="A171:B171"/>
  </mergeCells>
  <printOptions horizontalCentered="1"/>
  <pageMargins left="0.45" right="0.45" top="0.75" bottom="0.75" header="0.3" footer="0.3"/>
  <pageSetup scale="67" fitToHeight="0" orientation="portrait" r:id="rId1"/>
  <rowBreaks count="3" manualBreakCount="3">
    <brk id="44" max="16383" man="1"/>
    <brk id="102" max="16383" man="1"/>
    <brk id="15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526"/>
  <sheetViews>
    <sheetView workbookViewId="0"/>
  </sheetViews>
  <sheetFormatPr defaultColWidth="9.05859375" defaultRowHeight="12.7" outlineLevelCol="1" x14ac:dyDescent="0.4"/>
  <cols>
    <col min="1" max="1" width="11.05859375" style="76" customWidth="1"/>
    <col min="2" max="2" width="31" style="76" bestFit="1" customWidth="1"/>
    <col min="3" max="5" width="13.52734375" style="78" hidden="1" customWidth="1" outlineLevel="1"/>
    <col min="6" max="6" width="11" style="78" hidden="1" customWidth="1" outlineLevel="1"/>
    <col min="7" max="7" width="13.52734375" style="78" hidden="1" customWidth="1" outlineLevel="1"/>
    <col min="8" max="8" width="12" style="78" hidden="1" customWidth="1" outlineLevel="1"/>
    <col min="9" max="9" width="14.87890625" style="79" hidden="1" customWidth="1" outlineLevel="1"/>
    <col min="10" max="10" width="19" style="76" hidden="1" customWidth="1" outlineLevel="1"/>
    <col min="11" max="11" width="14.52734375" style="79" customWidth="1" collapsed="1"/>
    <col min="12" max="12" width="14.52734375" style="76" customWidth="1"/>
    <col min="13" max="13" width="13.87890625" style="76" customWidth="1"/>
    <col min="14" max="14" width="17.8203125" style="76" customWidth="1"/>
    <col min="15" max="15" width="10.703125" style="76" customWidth="1"/>
    <col min="16" max="16384" width="9.05859375" style="76"/>
  </cols>
  <sheetData>
    <row r="1" spans="1:15" x14ac:dyDescent="0.4">
      <c r="A1" s="75" t="s">
        <v>0</v>
      </c>
    </row>
    <row r="2" spans="1:15" x14ac:dyDescent="0.4">
      <c r="A2" s="75" t="s">
        <v>482</v>
      </c>
    </row>
    <row r="3" spans="1:15" x14ac:dyDescent="0.4">
      <c r="A3" s="3">
        <v>43312</v>
      </c>
      <c r="F3" s="14" t="s">
        <v>261</v>
      </c>
      <c r="G3" s="14"/>
      <c r="H3" s="14"/>
      <c r="I3" s="19"/>
      <c r="J3" s="4"/>
    </row>
    <row r="5" spans="1:15" x14ac:dyDescent="0.4">
      <c r="A5" s="76" t="s">
        <v>484</v>
      </c>
      <c r="B5" s="68" t="s">
        <v>279</v>
      </c>
      <c r="C5" s="15" t="s">
        <v>0</v>
      </c>
      <c r="D5" s="15" t="s">
        <v>2</v>
      </c>
      <c r="E5" s="15" t="s">
        <v>3</v>
      </c>
      <c r="F5" s="15" t="s">
        <v>485</v>
      </c>
      <c r="G5" s="15" t="s">
        <v>486</v>
      </c>
      <c r="H5" s="15" t="s">
        <v>487</v>
      </c>
      <c r="I5" s="79" t="s">
        <v>1</v>
      </c>
      <c r="J5" s="76" t="s">
        <v>280</v>
      </c>
      <c r="K5" s="19" t="s">
        <v>281</v>
      </c>
      <c r="N5" s="416" t="s">
        <v>282</v>
      </c>
      <c r="O5" s="416" t="s">
        <v>284</v>
      </c>
    </row>
    <row r="6" spans="1:15" ht="14.35" x14ac:dyDescent="0.5">
      <c r="A6" s="68" t="s">
        <v>305</v>
      </c>
      <c r="B6" s="68" t="s">
        <v>5</v>
      </c>
      <c r="C6" s="82"/>
      <c r="D6" s="80"/>
      <c r="E6" s="80"/>
      <c r="I6" s="79">
        <f>SUM(C6:H6)</f>
        <v>0</v>
      </c>
      <c r="J6" s="78" t="s">
        <v>264</v>
      </c>
      <c r="K6" s="79">
        <f>I6</f>
        <v>0</v>
      </c>
      <c r="N6" s="417" t="s">
        <v>264</v>
      </c>
      <c r="O6" s="418">
        <v>0</v>
      </c>
    </row>
    <row r="7" spans="1:15" ht="14.35" x14ac:dyDescent="0.5">
      <c r="A7" s="68" t="s">
        <v>306</v>
      </c>
      <c r="B7" s="68" t="s">
        <v>6</v>
      </c>
      <c r="C7" s="82"/>
      <c r="D7" s="80"/>
      <c r="E7" s="80"/>
      <c r="I7" s="79">
        <f t="shared" ref="I7:I73" si="0">SUM(C7:H7)</f>
        <v>0</v>
      </c>
      <c r="J7" s="78" t="s">
        <v>264</v>
      </c>
      <c r="K7" s="79">
        <f t="shared" ref="K7:K73" si="1">I7</f>
        <v>0</v>
      </c>
      <c r="N7" s="417" t="s">
        <v>265</v>
      </c>
      <c r="O7" s="418">
        <v>0</v>
      </c>
    </row>
    <row r="8" spans="1:15" ht="14.35" x14ac:dyDescent="0.5">
      <c r="A8" s="68" t="s">
        <v>668</v>
      </c>
      <c r="B8" s="68" t="s">
        <v>250</v>
      </c>
      <c r="C8" s="82"/>
      <c r="D8" s="80"/>
      <c r="E8" s="80"/>
      <c r="I8" s="79">
        <f t="shared" si="0"/>
        <v>0</v>
      </c>
      <c r="J8" s="78" t="s">
        <v>264</v>
      </c>
      <c r="K8" s="79">
        <f t="shared" si="1"/>
        <v>0</v>
      </c>
      <c r="N8" s="417" t="s">
        <v>268</v>
      </c>
      <c r="O8" s="418">
        <v>0</v>
      </c>
    </row>
    <row r="9" spans="1:15" ht="14.35" x14ac:dyDescent="0.5">
      <c r="A9" s="100" t="s">
        <v>786</v>
      </c>
      <c r="B9" s="100" t="s">
        <v>787</v>
      </c>
      <c r="C9" s="82"/>
      <c r="D9" s="80"/>
      <c r="E9" s="80"/>
      <c r="I9" s="79">
        <f t="shared" si="0"/>
        <v>0</v>
      </c>
      <c r="J9" s="78" t="s">
        <v>264</v>
      </c>
      <c r="K9" s="79">
        <f t="shared" si="1"/>
        <v>0</v>
      </c>
      <c r="N9" s="417" t="s">
        <v>271</v>
      </c>
      <c r="O9" s="418">
        <v>0</v>
      </c>
    </row>
    <row r="10" spans="1:15" ht="14.35" x14ac:dyDescent="0.5">
      <c r="A10" s="68" t="s">
        <v>307</v>
      </c>
      <c r="B10" s="68" t="s">
        <v>7</v>
      </c>
      <c r="C10" s="82"/>
      <c r="D10" s="80"/>
      <c r="E10" s="80"/>
      <c r="I10" s="79">
        <f t="shared" si="0"/>
        <v>0</v>
      </c>
      <c r="J10" s="78" t="s">
        <v>264</v>
      </c>
      <c r="K10" s="79">
        <f t="shared" si="1"/>
        <v>0</v>
      </c>
      <c r="N10" s="417" t="s">
        <v>266</v>
      </c>
      <c r="O10" s="418">
        <v>0</v>
      </c>
    </row>
    <row r="11" spans="1:15" ht="14.35" x14ac:dyDescent="0.5">
      <c r="A11" s="69"/>
      <c r="B11" s="68" t="s">
        <v>781</v>
      </c>
      <c r="C11" s="82"/>
      <c r="E11" s="80"/>
      <c r="I11" s="79">
        <f t="shared" si="0"/>
        <v>0</v>
      </c>
      <c r="J11" s="78" t="s">
        <v>264</v>
      </c>
      <c r="K11" s="79">
        <f t="shared" si="1"/>
        <v>0</v>
      </c>
      <c r="N11" s="417" t="s">
        <v>270</v>
      </c>
      <c r="O11" s="418">
        <v>0</v>
      </c>
    </row>
    <row r="12" spans="1:15" ht="14.35" x14ac:dyDescent="0.5">
      <c r="A12" s="68" t="s">
        <v>669</v>
      </c>
      <c r="B12" s="100" t="s">
        <v>670</v>
      </c>
      <c r="C12" s="82"/>
      <c r="D12" s="80"/>
      <c r="E12" s="80"/>
      <c r="I12" s="79">
        <f t="shared" si="0"/>
        <v>0</v>
      </c>
      <c r="J12" s="78" t="s">
        <v>264</v>
      </c>
      <c r="K12" s="79">
        <f t="shared" si="1"/>
        <v>0</v>
      </c>
      <c r="N12" s="417" t="s">
        <v>269</v>
      </c>
      <c r="O12" s="418">
        <v>0</v>
      </c>
    </row>
    <row r="13" spans="1:15" ht="14.35" x14ac:dyDescent="0.5">
      <c r="A13" s="68" t="s">
        <v>308</v>
      </c>
      <c r="B13" s="100" t="s">
        <v>671</v>
      </c>
      <c r="C13" s="82"/>
      <c r="D13" s="80"/>
      <c r="E13" s="80"/>
      <c r="I13" s="79">
        <f t="shared" si="0"/>
        <v>0</v>
      </c>
      <c r="J13" s="78" t="s">
        <v>264</v>
      </c>
      <c r="K13" s="79">
        <f t="shared" si="1"/>
        <v>0</v>
      </c>
      <c r="N13" s="417" t="s">
        <v>272</v>
      </c>
      <c r="O13" s="418">
        <v>0</v>
      </c>
    </row>
    <row r="14" spans="1:15" ht="14.35" x14ac:dyDescent="0.5">
      <c r="A14" s="68" t="s">
        <v>683</v>
      </c>
      <c r="B14" s="100" t="s">
        <v>682</v>
      </c>
      <c r="C14" s="82"/>
      <c r="D14" s="80"/>
      <c r="E14" s="80"/>
      <c r="I14" s="79">
        <f t="shared" si="0"/>
        <v>0</v>
      </c>
      <c r="J14" s="78" t="s">
        <v>264</v>
      </c>
      <c r="K14" s="79">
        <f t="shared" si="1"/>
        <v>0</v>
      </c>
      <c r="N14" s="417" t="s">
        <v>273</v>
      </c>
      <c r="O14" s="418">
        <v>0</v>
      </c>
    </row>
    <row r="15" spans="1:15" ht="14.35" x14ac:dyDescent="0.5">
      <c r="A15" s="68" t="s">
        <v>309</v>
      </c>
      <c r="B15" s="100" t="s">
        <v>672</v>
      </c>
      <c r="C15" s="82"/>
      <c r="D15" s="80"/>
      <c r="E15" s="80"/>
      <c r="I15" s="79">
        <f t="shared" si="0"/>
        <v>0</v>
      </c>
      <c r="J15" s="78" t="s">
        <v>264</v>
      </c>
      <c r="K15" s="79">
        <f t="shared" si="1"/>
        <v>0</v>
      </c>
      <c r="N15" s="417" t="s">
        <v>274</v>
      </c>
      <c r="O15" s="418">
        <v>0</v>
      </c>
    </row>
    <row r="16" spans="1:15" ht="14.35" x14ac:dyDescent="0.5">
      <c r="A16" s="68" t="s">
        <v>310</v>
      </c>
      <c r="B16" s="100" t="s">
        <v>673</v>
      </c>
      <c r="C16" s="82"/>
      <c r="E16" s="80"/>
      <c r="I16" s="79">
        <f t="shared" si="0"/>
        <v>0</v>
      </c>
      <c r="J16" s="78" t="s">
        <v>264</v>
      </c>
      <c r="K16" s="79">
        <f t="shared" si="1"/>
        <v>0</v>
      </c>
      <c r="L16" s="77"/>
      <c r="M16" s="77"/>
      <c r="N16" s="417" t="s">
        <v>267</v>
      </c>
      <c r="O16" s="418">
        <v>0</v>
      </c>
    </row>
    <row r="17" spans="1:15" ht="14.35" x14ac:dyDescent="0.5">
      <c r="A17" s="68" t="s">
        <v>684</v>
      </c>
      <c r="B17" s="100" t="s">
        <v>685</v>
      </c>
      <c r="C17" s="82"/>
      <c r="D17" s="80"/>
      <c r="E17" s="80"/>
      <c r="I17" s="79">
        <f t="shared" si="0"/>
        <v>0</v>
      </c>
      <c r="J17" s="78" t="s">
        <v>264</v>
      </c>
      <c r="K17" s="79">
        <f t="shared" si="1"/>
        <v>0</v>
      </c>
      <c r="L17" s="77"/>
      <c r="M17" s="77"/>
      <c r="N17" s="417" t="s">
        <v>650</v>
      </c>
      <c r="O17" s="418">
        <v>0</v>
      </c>
    </row>
    <row r="18" spans="1:15" ht="14.35" x14ac:dyDescent="0.5">
      <c r="A18" s="68" t="s">
        <v>311</v>
      </c>
      <c r="B18" s="68" t="s">
        <v>8</v>
      </c>
      <c r="C18" s="82"/>
      <c r="D18" s="80"/>
      <c r="E18" s="80"/>
      <c r="I18" s="79">
        <f t="shared" si="0"/>
        <v>0</v>
      </c>
      <c r="J18" s="78" t="s">
        <v>265</v>
      </c>
      <c r="K18" s="79">
        <f t="shared" si="1"/>
        <v>0</v>
      </c>
      <c r="N18" s="417" t="s">
        <v>278</v>
      </c>
      <c r="O18" s="418">
        <v>0</v>
      </c>
    </row>
    <row r="19" spans="1:15" ht="14.35" x14ac:dyDescent="0.5">
      <c r="A19" s="68" t="s">
        <v>312</v>
      </c>
      <c r="B19" s="68" t="s">
        <v>9</v>
      </c>
      <c r="C19" s="82"/>
      <c r="D19" s="80"/>
      <c r="E19" s="80"/>
      <c r="I19" s="79">
        <f t="shared" si="0"/>
        <v>0</v>
      </c>
      <c r="J19" s="78" t="s">
        <v>265</v>
      </c>
      <c r="K19" s="79">
        <f t="shared" si="1"/>
        <v>0</v>
      </c>
      <c r="N19" s="417" t="s">
        <v>276</v>
      </c>
      <c r="O19" s="418">
        <v>0</v>
      </c>
    </row>
    <row r="20" spans="1:15" ht="14.35" x14ac:dyDescent="0.5">
      <c r="A20" s="68" t="s">
        <v>313</v>
      </c>
      <c r="B20" s="68" t="s">
        <v>10</v>
      </c>
      <c r="C20" s="82"/>
      <c r="D20" s="80"/>
      <c r="E20" s="80"/>
      <c r="I20" s="79">
        <f t="shared" si="0"/>
        <v>0</v>
      </c>
      <c r="J20" s="78" t="s">
        <v>265</v>
      </c>
      <c r="K20" s="79">
        <f t="shared" si="1"/>
        <v>0</v>
      </c>
      <c r="N20" s="417" t="s">
        <v>275</v>
      </c>
      <c r="O20" s="418">
        <v>0</v>
      </c>
    </row>
    <row r="21" spans="1:15" ht="14.35" x14ac:dyDescent="0.5">
      <c r="A21" s="68" t="s">
        <v>314</v>
      </c>
      <c r="B21" s="68" t="s">
        <v>11</v>
      </c>
      <c r="C21" s="82"/>
      <c r="D21" s="80"/>
      <c r="E21" s="80"/>
      <c r="I21" s="79">
        <f t="shared" si="0"/>
        <v>0</v>
      </c>
      <c r="J21" s="78" t="s">
        <v>265</v>
      </c>
      <c r="K21" s="79">
        <f t="shared" si="1"/>
        <v>0</v>
      </c>
      <c r="N21" s="417" t="s">
        <v>277</v>
      </c>
      <c r="O21" s="418">
        <v>0</v>
      </c>
    </row>
    <row r="22" spans="1:15" ht="14.35" x14ac:dyDescent="0.5">
      <c r="A22" s="68" t="s">
        <v>315</v>
      </c>
      <c r="B22" s="68" t="s">
        <v>12</v>
      </c>
      <c r="C22" s="82"/>
      <c r="D22" s="80"/>
      <c r="E22" s="80"/>
      <c r="I22" s="79">
        <f t="shared" si="0"/>
        <v>0</v>
      </c>
      <c r="J22" s="78" t="s">
        <v>265</v>
      </c>
      <c r="K22" s="79">
        <f t="shared" si="1"/>
        <v>0</v>
      </c>
      <c r="N22" s="417" t="s">
        <v>858</v>
      </c>
      <c r="O22" s="418">
        <v>0</v>
      </c>
    </row>
    <row r="23" spans="1:15" ht="14.35" x14ac:dyDescent="0.5">
      <c r="A23" s="100" t="s">
        <v>696</v>
      </c>
      <c r="B23" s="100" t="s">
        <v>697</v>
      </c>
      <c r="C23" s="82"/>
      <c r="D23" s="80"/>
      <c r="E23" s="80"/>
      <c r="I23" s="79">
        <f t="shared" si="0"/>
        <v>0</v>
      </c>
      <c r="J23" s="78" t="s">
        <v>265</v>
      </c>
      <c r="K23" s="79">
        <f t="shared" si="1"/>
        <v>0</v>
      </c>
      <c r="N23" s="417" t="s">
        <v>859</v>
      </c>
      <c r="O23" s="418">
        <v>0</v>
      </c>
    </row>
    <row r="24" spans="1:15" ht="14.35" x14ac:dyDescent="0.5">
      <c r="A24" s="68" t="s">
        <v>316</v>
      </c>
      <c r="B24" s="68" t="s">
        <v>13</v>
      </c>
      <c r="C24" s="82"/>
      <c r="E24" s="80"/>
      <c r="I24" s="79">
        <f t="shared" si="0"/>
        <v>0</v>
      </c>
      <c r="J24" s="78" t="s">
        <v>265</v>
      </c>
      <c r="K24" s="79">
        <f t="shared" si="1"/>
        <v>0</v>
      </c>
      <c r="N24" s="417" t="s">
        <v>860</v>
      </c>
      <c r="O24" s="418">
        <v>0</v>
      </c>
    </row>
    <row r="25" spans="1:15" ht="14.35" x14ac:dyDescent="0.5">
      <c r="A25" s="68" t="s">
        <v>317</v>
      </c>
      <c r="B25" s="68" t="s">
        <v>14</v>
      </c>
      <c r="C25" s="82"/>
      <c r="D25" s="80"/>
      <c r="E25" s="80"/>
      <c r="I25" s="79">
        <f t="shared" si="0"/>
        <v>0</v>
      </c>
      <c r="J25" s="78" t="s">
        <v>265</v>
      </c>
      <c r="K25" s="79">
        <f t="shared" si="1"/>
        <v>0</v>
      </c>
      <c r="N25" s="417" t="s">
        <v>861</v>
      </c>
      <c r="O25" s="418">
        <v>0</v>
      </c>
    </row>
    <row r="26" spans="1:15" ht="14.35" x14ac:dyDescent="0.5">
      <c r="A26" s="68" t="s">
        <v>318</v>
      </c>
      <c r="B26" s="68" t="s">
        <v>15</v>
      </c>
      <c r="C26" s="82"/>
      <c r="D26" s="80"/>
      <c r="E26" s="80"/>
      <c r="I26" s="79">
        <f t="shared" si="0"/>
        <v>0</v>
      </c>
      <c r="J26" s="78" t="s">
        <v>271</v>
      </c>
      <c r="K26" s="79">
        <f t="shared" si="1"/>
        <v>0</v>
      </c>
      <c r="N26" s="417" t="s">
        <v>283</v>
      </c>
      <c r="O26" s="418">
        <v>0</v>
      </c>
    </row>
    <row r="27" spans="1:15" ht="14.35" x14ac:dyDescent="0.5">
      <c r="A27" s="68" t="s">
        <v>617</v>
      </c>
      <c r="B27" s="68" t="s">
        <v>618</v>
      </c>
      <c r="C27" s="82"/>
      <c r="D27" s="80"/>
      <c r="E27" s="80"/>
      <c r="I27" s="79">
        <f t="shared" si="0"/>
        <v>0</v>
      </c>
      <c r="J27" s="78" t="s">
        <v>858</v>
      </c>
      <c r="K27" s="79">
        <f t="shared" si="1"/>
        <v>0</v>
      </c>
      <c r="N27" s="80"/>
      <c r="O27" s="80"/>
    </row>
    <row r="28" spans="1:15" ht="14.35" x14ac:dyDescent="0.5">
      <c r="A28" s="69"/>
      <c r="B28" s="68" t="s">
        <v>614</v>
      </c>
      <c r="C28" s="82"/>
      <c r="E28" s="80"/>
      <c r="I28" s="79">
        <f t="shared" si="0"/>
        <v>0</v>
      </c>
      <c r="J28" s="78" t="s">
        <v>650</v>
      </c>
      <c r="K28" s="79">
        <f t="shared" si="1"/>
        <v>0</v>
      </c>
      <c r="N28" s="80"/>
      <c r="O28" s="80"/>
    </row>
    <row r="29" spans="1:15" ht="14.35" x14ac:dyDescent="0.5">
      <c r="A29" s="68" t="s">
        <v>319</v>
      </c>
      <c r="B29" s="68" t="s">
        <v>16</v>
      </c>
      <c r="C29" s="82"/>
      <c r="D29" s="80"/>
      <c r="E29" s="80"/>
      <c r="I29" s="79">
        <f t="shared" si="0"/>
        <v>0</v>
      </c>
      <c r="J29" s="78" t="s">
        <v>271</v>
      </c>
      <c r="K29" s="79">
        <f t="shared" si="1"/>
        <v>0</v>
      </c>
      <c r="N29" s="80"/>
      <c r="O29" s="80"/>
    </row>
    <row r="30" spans="1:15" ht="14.35" x14ac:dyDescent="0.5">
      <c r="A30" s="26" t="s">
        <v>652</v>
      </c>
      <c r="B30" s="26" t="s">
        <v>653</v>
      </c>
      <c r="C30" s="82"/>
      <c r="D30" s="80"/>
      <c r="E30" s="80"/>
      <c r="I30" s="79">
        <f t="shared" si="0"/>
        <v>0</v>
      </c>
      <c r="J30" s="78" t="s">
        <v>271</v>
      </c>
      <c r="K30" s="79">
        <f t="shared" si="1"/>
        <v>0</v>
      </c>
    </row>
    <row r="31" spans="1:15" ht="14.35" x14ac:dyDescent="0.5">
      <c r="A31" s="68" t="s">
        <v>320</v>
      </c>
      <c r="B31" s="68" t="s">
        <v>17</v>
      </c>
      <c r="C31" s="82"/>
      <c r="D31" s="80"/>
      <c r="E31" s="80"/>
      <c r="I31" s="79">
        <f t="shared" si="0"/>
        <v>0</v>
      </c>
      <c r="J31" s="78" t="s">
        <v>650</v>
      </c>
      <c r="K31" s="79">
        <f t="shared" si="1"/>
        <v>0</v>
      </c>
    </row>
    <row r="32" spans="1:15" ht="14.35" x14ac:dyDescent="0.5">
      <c r="A32" s="68" t="s">
        <v>321</v>
      </c>
      <c r="B32" s="68" t="s">
        <v>18</v>
      </c>
      <c r="C32" s="82"/>
      <c r="D32" s="80"/>
      <c r="E32" s="80"/>
      <c r="I32" s="79">
        <f t="shared" si="0"/>
        <v>0</v>
      </c>
      <c r="J32" s="78" t="s">
        <v>650</v>
      </c>
      <c r="K32" s="79">
        <f t="shared" si="1"/>
        <v>0</v>
      </c>
    </row>
    <row r="33" spans="1:15" ht="14.35" x14ac:dyDescent="0.5">
      <c r="A33" s="68" t="s">
        <v>322</v>
      </c>
      <c r="B33" s="68" t="s">
        <v>19</v>
      </c>
      <c r="C33" s="82"/>
      <c r="D33" s="80"/>
      <c r="E33" s="80"/>
      <c r="I33" s="79">
        <f t="shared" si="0"/>
        <v>0</v>
      </c>
      <c r="J33" s="78" t="s">
        <v>268</v>
      </c>
      <c r="K33" s="79">
        <f t="shared" si="1"/>
        <v>0</v>
      </c>
      <c r="M33" s="77"/>
    </row>
    <row r="34" spans="1:15" ht="14.35" x14ac:dyDescent="0.5">
      <c r="A34" s="68" t="s">
        <v>323</v>
      </c>
      <c r="B34" s="68" t="s">
        <v>20</v>
      </c>
      <c r="C34" s="82"/>
      <c r="D34" s="80"/>
      <c r="E34" s="80"/>
      <c r="I34" s="79">
        <f t="shared" si="0"/>
        <v>0</v>
      </c>
      <c r="J34" s="78" t="s">
        <v>268</v>
      </c>
      <c r="K34" s="79">
        <f t="shared" si="1"/>
        <v>0</v>
      </c>
    </row>
    <row r="35" spans="1:15" ht="14.35" x14ac:dyDescent="0.5">
      <c r="A35" s="100" t="s">
        <v>812</v>
      </c>
      <c r="B35" s="100" t="s">
        <v>813</v>
      </c>
      <c r="C35" s="82"/>
      <c r="D35" s="80"/>
      <c r="E35" s="80"/>
      <c r="I35" s="79">
        <f t="shared" si="0"/>
        <v>0</v>
      </c>
      <c r="J35" s="78" t="s">
        <v>268</v>
      </c>
      <c r="K35" s="79">
        <f t="shared" si="1"/>
        <v>0</v>
      </c>
    </row>
    <row r="36" spans="1:15" ht="14.35" x14ac:dyDescent="0.5">
      <c r="A36" s="68" t="s">
        <v>324</v>
      </c>
      <c r="B36" s="68" t="s">
        <v>21</v>
      </c>
      <c r="C36" s="82"/>
      <c r="D36" s="80"/>
      <c r="E36" s="80"/>
      <c r="I36" s="79">
        <f t="shared" si="0"/>
        <v>0</v>
      </c>
      <c r="J36" s="78" t="s">
        <v>266</v>
      </c>
      <c r="K36" s="79">
        <f t="shared" si="1"/>
        <v>0</v>
      </c>
    </row>
    <row r="37" spans="1:15" ht="14.35" x14ac:dyDescent="0.5">
      <c r="A37" s="100" t="s">
        <v>801</v>
      </c>
      <c r="B37" s="100" t="s">
        <v>802</v>
      </c>
      <c r="C37" s="82"/>
      <c r="D37" s="80"/>
      <c r="E37" s="80"/>
      <c r="I37" s="79">
        <f t="shared" si="0"/>
        <v>0</v>
      </c>
      <c r="J37" s="78" t="s">
        <v>650</v>
      </c>
      <c r="K37" s="79">
        <f t="shared" si="1"/>
        <v>0</v>
      </c>
    </row>
    <row r="38" spans="1:15" ht="14.35" x14ac:dyDescent="0.5">
      <c r="A38" s="68" t="s">
        <v>609</v>
      </c>
      <c r="B38" s="68" t="s">
        <v>608</v>
      </c>
      <c r="C38" s="82"/>
      <c r="D38" s="80"/>
      <c r="E38" s="80"/>
      <c r="I38" s="79">
        <f t="shared" si="0"/>
        <v>0</v>
      </c>
      <c r="J38" s="78" t="s">
        <v>266</v>
      </c>
      <c r="K38" s="79">
        <f t="shared" si="1"/>
        <v>0</v>
      </c>
    </row>
    <row r="39" spans="1:15" ht="14.35" x14ac:dyDescent="0.5">
      <c r="A39" s="69"/>
      <c r="B39" s="68" t="s">
        <v>604</v>
      </c>
      <c r="C39" s="86"/>
      <c r="D39" s="79"/>
      <c r="E39" s="104"/>
      <c r="F39" s="79"/>
      <c r="G39" s="79"/>
      <c r="H39" s="79">
        <f>-D39</f>
        <v>0</v>
      </c>
      <c r="I39" s="79">
        <f t="shared" si="0"/>
        <v>0</v>
      </c>
      <c r="J39" s="79" t="s">
        <v>266</v>
      </c>
      <c r="K39" s="79">
        <f t="shared" si="1"/>
        <v>0</v>
      </c>
      <c r="L39" s="103"/>
      <c r="M39" s="103"/>
      <c r="N39" s="103"/>
      <c r="O39" s="103"/>
    </row>
    <row r="40" spans="1:15" ht="14.35" x14ac:dyDescent="0.5">
      <c r="A40" s="68" t="s">
        <v>325</v>
      </c>
      <c r="B40" s="68" t="s">
        <v>23</v>
      </c>
      <c r="C40" s="82"/>
      <c r="E40" s="80"/>
      <c r="I40" s="79">
        <f t="shared" si="0"/>
        <v>0</v>
      </c>
      <c r="J40" s="78" t="s">
        <v>266</v>
      </c>
      <c r="K40" s="79">
        <f t="shared" si="1"/>
        <v>0</v>
      </c>
    </row>
    <row r="41" spans="1:15" ht="14.35" x14ac:dyDescent="0.5">
      <c r="A41" s="100" t="s">
        <v>794</v>
      </c>
      <c r="B41" s="100" t="s">
        <v>795</v>
      </c>
      <c r="C41" s="82"/>
      <c r="E41" s="80"/>
      <c r="I41" s="79">
        <f t="shared" si="0"/>
        <v>0</v>
      </c>
      <c r="J41" s="78" t="s">
        <v>266</v>
      </c>
      <c r="K41" s="79">
        <f t="shared" si="1"/>
        <v>0</v>
      </c>
    </row>
    <row r="42" spans="1:15" ht="14.35" x14ac:dyDescent="0.5">
      <c r="A42" s="68" t="s">
        <v>326</v>
      </c>
      <c r="B42" s="68" t="s">
        <v>24</v>
      </c>
      <c r="C42" s="82"/>
      <c r="D42" s="80"/>
      <c r="E42" s="80"/>
      <c r="H42" s="78">
        <f>-H39</f>
        <v>0</v>
      </c>
      <c r="I42" s="79">
        <f t="shared" si="0"/>
        <v>0</v>
      </c>
      <c r="J42" s="78" t="s">
        <v>266</v>
      </c>
      <c r="K42" s="79">
        <f t="shared" si="1"/>
        <v>0</v>
      </c>
    </row>
    <row r="43" spans="1:15" ht="14.35" x14ac:dyDescent="0.5">
      <c r="A43" s="68" t="s">
        <v>327</v>
      </c>
      <c r="B43" s="68" t="s">
        <v>25</v>
      </c>
      <c r="C43" s="82"/>
      <c r="D43" s="80"/>
      <c r="E43" s="80"/>
      <c r="I43" s="79">
        <f t="shared" si="0"/>
        <v>0</v>
      </c>
      <c r="J43" s="78" t="s">
        <v>266</v>
      </c>
      <c r="K43" s="79">
        <f t="shared" si="1"/>
        <v>0</v>
      </c>
    </row>
    <row r="44" spans="1:15" ht="14.35" x14ac:dyDescent="0.5">
      <c r="A44" s="68" t="s">
        <v>328</v>
      </c>
      <c r="B44" s="68" t="s">
        <v>26</v>
      </c>
      <c r="C44" s="82"/>
      <c r="E44" s="80"/>
      <c r="I44" s="79">
        <f t="shared" si="0"/>
        <v>0</v>
      </c>
      <c r="J44" s="78" t="s">
        <v>266</v>
      </c>
      <c r="K44" s="79">
        <f t="shared" si="1"/>
        <v>0</v>
      </c>
    </row>
    <row r="45" spans="1:15" ht="14.35" x14ac:dyDescent="0.5">
      <c r="A45" s="68" t="s">
        <v>329</v>
      </c>
      <c r="B45" s="68" t="s">
        <v>27</v>
      </c>
      <c r="C45" s="82"/>
      <c r="E45" s="80"/>
      <c r="I45" s="79">
        <f t="shared" si="0"/>
        <v>0</v>
      </c>
      <c r="J45" s="78" t="s">
        <v>266</v>
      </c>
      <c r="K45" s="79">
        <f t="shared" si="1"/>
        <v>0</v>
      </c>
    </row>
    <row r="46" spans="1:15" ht="14.35" x14ac:dyDescent="0.5">
      <c r="A46" s="68" t="s">
        <v>330</v>
      </c>
      <c r="B46" s="68" t="s">
        <v>28</v>
      </c>
      <c r="C46" s="82"/>
      <c r="E46" s="80"/>
      <c r="I46" s="79">
        <f t="shared" si="0"/>
        <v>0</v>
      </c>
      <c r="J46" s="78" t="s">
        <v>266</v>
      </c>
      <c r="K46" s="79">
        <f t="shared" si="1"/>
        <v>0</v>
      </c>
    </row>
    <row r="47" spans="1:15" ht="14.35" x14ac:dyDescent="0.5">
      <c r="A47" s="68" t="s">
        <v>331</v>
      </c>
      <c r="B47" s="68" t="s">
        <v>29</v>
      </c>
      <c r="C47" s="82"/>
      <c r="E47" s="80"/>
      <c r="I47" s="79">
        <f t="shared" si="0"/>
        <v>0</v>
      </c>
      <c r="J47" s="78" t="s">
        <v>266</v>
      </c>
      <c r="K47" s="79">
        <f t="shared" si="1"/>
        <v>0</v>
      </c>
    </row>
    <row r="48" spans="1:15" ht="14.35" x14ac:dyDescent="0.5">
      <c r="A48" s="68" t="s">
        <v>332</v>
      </c>
      <c r="B48" s="68" t="s">
        <v>30</v>
      </c>
      <c r="C48" s="82"/>
      <c r="D48" s="80"/>
      <c r="E48" s="80"/>
      <c r="I48" s="79">
        <f t="shared" si="0"/>
        <v>0</v>
      </c>
      <c r="J48" s="78" t="s">
        <v>266</v>
      </c>
      <c r="K48" s="79">
        <f t="shared" si="1"/>
        <v>0</v>
      </c>
    </row>
    <row r="49" spans="1:13" ht="14.35" x14ac:dyDescent="0.5">
      <c r="A49" s="68" t="s">
        <v>333</v>
      </c>
      <c r="B49" s="68" t="s">
        <v>31</v>
      </c>
      <c r="C49" s="82"/>
      <c r="D49" s="80"/>
      <c r="E49" s="80"/>
      <c r="I49" s="79">
        <f t="shared" si="0"/>
        <v>0</v>
      </c>
      <c r="J49" s="78" t="s">
        <v>266</v>
      </c>
      <c r="K49" s="79">
        <f t="shared" si="1"/>
        <v>0</v>
      </c>
    </row>
    <row r="50" spans="1:13" ht="14.35" x14ac:dyDescent="0.5">
      <c r="A50" s="68" t="s">
        <v>334</v>
      </c>
      <c r="B50" s="68" t="s">
        <v>32</v>
      </c>
      <c r="C50" s="82"/>
      <c r="D50" s="80"/>
      <c r="E50" s="80"/>
      <c r="I50" s="79">
        <f t="shared" si="0"/>
        <v>0</v>
      </c>
      <c r="J50" s="78" t="s">
        <v>266</v>
      </c>
      <c r="K50" s="79">
        <f t="shared" si="1"/>
        <v>0</v>
      </c>
    </row>
    <row r="51" spans="1:13" ht="14.35" x14ac:dyDescent="0.5">
      <c r="A51" s="68" t="s">
        <v>335</v>
      </c>
      <c r="B51" s="68" t="s">
        <v>33</v>
      </c>
      <c r="C51" s="82"/>
      <c r="E51" s="80"/>
      <c r="I51" s="79">
        <f t="shared" si="0"/>
        <v>0</v>
      </c>
      <c r="J51" s="78" t="s">
        <v>266</v>
      </c>
      <c r="K51" s="79">
        <f t="shared" si="1"/>
        <v>0</v>
      </c>
      <c r="M51" s="77"/>
    </row>
    <row r="52" spans="1:13" ht="14.35" x14ac:dyDescent="0.5">
      <c r="A52" s="68" t="s">
        <v>336</v>
      </c>
      <c r="B52" s="68" t="s">
        <v>34</v>
      </c>
      <c r="C52" s="82"/>
      <c r="E52" s="80"/>
      <c r="I52" s="79">
        <f t="shared" si="0"/>
        <v>0</v>
      </c>
      <c r="J52" s="78" t="s">
        <v>269</v>
      </c>
      <c r="K52" s="79">
        <f t="shared" si="1"/>
        <v>0</v>
      </c>
    </row>
    <row r="53" spans="1:13" ht="14.35" x14ac:dyDescent="0.5">
      <c r="A53" s="68" t="s">
        <v>337</v>
      </c>
      <c r="B53" s="68" t="s">
        <v>35</v>
      </c>
      <c r="C53" s="82"/>
      <c r="D53" s="80"/>
      <c r="E53" s="80"/>
      <c r="I53" s="79">
        <f t="shared" si="0"/>
        <v>0</v>
      </c>
      <c r="J53" s="78" t="s">
        <v>266</v>
      </c>
      <c r="K53" s="79">
        <f t="shared" si="1"/>
        <v>0</v>
      </c>
    </row>
    <row r="54" spans="1:13" ht="14.35" x14ac:dyDescent="0.5">
      <c r="A54" s="69" t="s">
        <v>768</v>
      </c>
      <c r="B54" s="68" t="s">
        <v>36</v>
      </c>
      <c r="C54" s="82"/>
      <c r="D54" s="80"/>
      <c r="I54" s="79">
        <f t="shared" si="0"/>
        <v>0</v>
      </c>
      <c r="J54" s="78" t="s">
        <v>266</v>
      </c>
      <c r="K54" s="79">
        <f t="shared" si="1"/>
        <v>0</v>
      </c>
    </row>
    <row r="55" spans="1:13" ht="14.35" x14ac:dyDescent="0.5">
      <c r="A55" s="68" t="s">
        <v>354</v>
      </c>
      <c r="B55" s="68" t="s">
        <v>55</v>
      </c>
      <c r="C55" s="82"/>
      <c r="E55" s="80"/>
      <c r="I55" s="79">
        <f t="shared" si="0"/>
        <v>0</v>
      </c>
      <c r="J55" s="78" t="s">
        <v>266</v>
      </c>
      <c r="K55" s="79">
        <f t="shared" si="1"/>
        <v>0</v>
      </c>
    </row>
    <row r="56" spans="1:13" ht="14.35" x14ac:dyDescent="0.5">
      <c r="A56" s="68" t="s">
        <v>338</v>
      </c>
      <c r="B56" s="68" t="s">
        <v>37</v>
      </c>
      <c r="C56" s="82"/>
      <c r="D56" s="80"/>
      <c r="E56" s="80"/>
      <c r="I56" s="79">
        <f t="shared" si="0"/>
        <v>0</v>
      </c>
      <c r="J56" s="78" t="s">
        <v>266</v>
      </c>
      <c r="K56" s="79">
        <f t="shared" si="1"/>
        <v>0</v>
      </c>
      <c r="M56" s="77"/>
    </row>
    <row r="57" spans="1:13" ht="14.35" x14ac:dyDescent="0.5">
      <c r="A57" s="68" t="s">
        <v>339</v>
      </c>
      <c r="B57" s="68" t="s">
        <v>38</v>
      </c>
      <c r="C57" s="82"/>
      <c r="E57" s="80"/>
      <c r="I57" s="79">
        <f t="shared" si="0"/>
        <v>0</v>
      </c>
      <c r="J57" s="78" t="s">
        <v>266</v>
      </c>
      <c r="K57" s="79">
        <f t="shared" si="1"/>
        <v>0</v>
      </c>
      <c r="M57" s="77"/>
    </row>
    <row r="58" spans="1:13" ht="14.35" x14ac:dyDescent="0.5">
      <c r="A58" s="68" t="s">
        <v>340</v>
      </c>
      <c r="B58" s="68" t="s">
        <v>39</v>
      </c>
      <c r="C58" s="82"/>
      <c r="D58" s="80"/>
      <c r="E58" s="80"/>
      <c r="I58" s="79">
        <f t="shared" si="0"/>
        <v>0</v>
      </c>
      <c r="J58" s="78" t="s">
        <v>266</v>
      </c>
      <c r="K58" s="79">
        <f t="shared" si="1"/>
        <v>0</v>
      </c>
      <c r="M58" s="77"/>
    </row>
    <row r="59" spans="1:13" ht="14.35" x14ac:dyDescent="0.5">
      <c r="A59" s="68" t="s">
        <v>341</v>
      </c>
      <c r="B59" s="68" t="s">
        <v>40</v>
      </c>
      <c r="C59" s="82"/>
      <c r="D59" s="80"/>
      <c r="E59" s="80"/>
      <c r="I59" s="79">
        <f t="shared" si="0"/>
        <v>0</v>
      </c>
      <c r="J59" s="78" t="s">
        <v>266</v>
      </c>
      <c r="K59" s="79">
        <f t="shared" si="1"/>
        <v>0</v>
      </c>
      <c r="M59" s="77"/>
    </row>
    <row r="60" spans="1:13" ht="14.35" x14ac:dyDescent="0.5">
      <c r="A60" s="69"/>
      <c r="B60" s="68" t="s">
        <v>41</v>
      </c>
      <c r="C60" s="82"/>
      <c r="D60" s="80"/>
      <c r="I60" s="79">
        <f t="shared" si="0"/>
        <v>0</v>
      </c>
      <c r="J60" s="78" t="s">
        <v>266</v>
      </c>
      <c r="K60" s="79">
        <f t="shared" si="1"/>
        <v>0</v>
      </c>
    </row>
    <row r="61" spans="1:13" ht="14.35" x14ac:dyDescent="0.5">
      <c r="A61" s="68" t="s">
        <v>342</v>
      </c>
      <c r="B61" s="68" t="s">
        <v>42</v>
      </c>
      <c r="C61" s="82"/>
      <c r="D61" s="80"/>
      <c r="E61" s="80"/>
      <c r="I61" s="79">
        <f t="shared" si="0"/>
        <v>0</v>
      </c>
      <c r="J61" s="78" t="s">
        <v>266</v>
      </c>
      <c r="K61" s="79">
        <f t="shared" si="1"/>
        <v>0</v>
      </c>
    </row>
    <row r="62" spans="1:13" ht="14.35" x14ac:dyDescent="0.5">
      <c r="A62" s="68" t="s">
        <v>343</v>
      </c>
      <c r="B62" s="68" t="s">
        <v>43</v>
      </c>
      <c r="C62" s="82"/>
      <c r="D62" s="80"/>
      <c r="E62" s="80"/>
      <c r="I62" s="79">
        <f t="shared" si="0"/>
        <v>0</v>
      </c>
      <c r="J62" s="78" t="s">
        <v>266</v>
      </c>
      <c r="K62" s="79">
        <f t="shared" si="1"/>
        <v>0</v>
      </c>
    </row>
    <row r="63" spans="1:13" ht="14.35" x14ac:dyDescent="0.5">
      <c r="A63" s="68" t="s">
        <v>344</v>
      </c>
      <c r="B63" s="68" t="s">
        <v>44</v>
      </c>
      <c r="C63" s="82"/>
      <c r="E63" s="80"/>
      <c r="I63" s="79">
        <f t="shared" si="0"/>
        <v>0</v>
      </c>
      <c r="J63" s="78" t="s">
        <v>266</v>
      </c>
      <c r="K63" s="79">
        <f t="shared" si="1"/>
        <v>0</v>
      </c>
    </row>
    <row r="64" spans="1:13" ht="14.35" x14ac:dyDescent="0.5">
      <c r="A64" s="68" t="s">
        <v>345</v>
      </c>
      <c r="B64" s="68" t="s">
        <v>45</v>
      </c>
      <c r="C64" s="82"/>
      <c r="E64" s="80"/>
      <c r="I64" s="79">
        <f t="shared" si="0"/>
        <v>0</v>
      </c>
      <c r="J64" s="78" t="s">
        <v>266</v>
      </c>
      <c r="K64" s="79">
        <f t="shared" si="1"/>
        <v>0</v>
      </c>
      <c r="M64" s="77"/>
    </row>
    <row r="65" spans="1:13" ht="14.35" x14ac:dyDescent="0.5">
      <c r="A65" s="68" t="s">
        <v>346</v>
      </c>
      <c r="B65" s="68" t="s">
        <v>46</v>
      </c>
      <c r="C65" s="82"/>
      <c r="E65" s="80"/>
      <c r="I65" s="79">
        <f t="shared" si="0"/>
        <v>0</v>
      </c>
      <c r="J65" s="78" t="s">
        <v>266</v>
      </c>
      <c r="K65" s="79">
        <f t="shared" si="1"/>
        <v>0</v>
      </c>
    </row>
    <row r="66" spans="1:13" ht="14.35" x14ac:dyDescent="0.5">
      <c r="A66" s="68" t="s">
        <v>347</v>
      </c>
      <c r="B66" s="68" t="s">
        <v>47</v>
      </c>
      <c r="C66" s="82"/>
      <c r="E66" s="80"/>
      <c r="I66" s="79">
        <f t="shared" si="0"/>
        <v>0</v>
      </c>
      <c r="J66" s="78" t="s">
        <v>266</v>
      </c>
      <c r="K66" s="79">
        <f t="shared" si="1"/>
        <v>0</v>
      </c>
    </row>
    <row r="67" spans="1:13" ht="14.35" x14ac:dyDescent="0.5">
      <c r="A67" s="68" t="s">
        <v>348</v>
      </c>
      <c r="B67" s="68" t="s">
        <v>48</v>
      </c>
      <c r="C67" s="82"/>
      <c r="D67" s="80"/>
      <c r="E67" s="80"/>
      <c r="I67" s="79">
        <f t="shared" si="0"/>
        <v>0</v>
      </c>
      <c r="J67" s="78" t="s">
        <v>266</v>
      </c>
      <c r="K67" s="79">
        <f t="shared" si="1"/>
        <v>0</v>
      </c>
    </row>
    <row r="68" spans="1:13" ht="14.35" x14ac:dyDescent="0.5">
      <c r="A68" s="68" t="s">
        <v>349</v>
      </c>
      <c r="B68" s="68" t="s">
        <v>49</v>
      </c>
      <c r="C68" s="82"/>
      <c r="D68" s="79"/>
      <c r="E68" s="80"/>
      <c r="I68" s="79">
        <f t="shared" si="0"/>
        <v>0</v>
      </c>
      <c r="J68" s="78" t="s">
        <v>266</v>
      </c>
      <c r="K68" s="79">
        <f t="shared" si="1"/>
        <v>0</v>
      </c>
    </row>
    <row r="69" spans="1:13" ht="14.35" x14ac:dyDescent="0.5">
      <c r="A69" s="68" t="s">
        <v>350</v>
      </c>
      <c r="B69" s="68" t="s">
        <v>50</v>
      </c>
      <c r="C69" s="82"/>
      <c r="E69" s="80"/>
      <c r="I69" s="79">
        <f t="shared" si="0"/>
        <v>0</v>
      </c>
      <c r="J69" s="78" t="s">
        <v>269</v>
      </c>
      <c r="K69" s="79">
        <f t="shared" si="1"/>
        <v>0</v>
      </c>
    </row>
    <row r="70" spans="1:13" ht="14.35" x14ac:dyDescent="0.5">
      <c r="A70" s="68" t="s">
        <v>612</v>
      </c>
      <c r="B70" s="68" t="s">
        <v>613</v>
      </c>
      <c r="C70" s="82"/>
      <c r="D70" s="79"/>
      <c r="E70" s="80"/>
      <c r="I70" s="79">
        <f t="shared" si="0"/>
        <v>0</v>
      </c>
      <c r="J70" s="78" t="s">
        <v>266</v>
      </c>
      <c r="K70" s="79">
        <f t="shared" si="1"/>
        <v>0</v>
      </c>
    </row>
    <row r="71" spans="1:13" ht="14.35" x14ac:dyDescent="0.5">
      <c r="A71" s="68" t="s">
        <v>351</v>
      </c>
      <c r="B71" s="68" t="s">
        <v>51</v>
      </c>
      <c r="C71" s="82"/>
      <c r="D71" s="80"/>
      <c r="E71" s="80"/>
      <c r="I71" s="79">
        <f t="shared" si="0"/>
        <v>0</v>
      </c>
      <c r="J71" s="78" t="s">
        <v>266</v>
      </c>
      <c r="K71" s="79">
        <f t="shared" si="1"/>
        <v>0</v>
      </c>
    </row>
    <row r="72" spans="1:13" ht="14.35" x14ac:dyDescent="0.5">
      <c r="A72" s="68" t="s">
        <v>352</v>
      </c>
      <c r="B72" s="68" t="s">
        <v>53</v>
      </c>
      <c r="C72" s="82"/>
      <c r="D72" s="80"/>
      <c r="E72" s="80"/>
      <c r="G72" s="78">
        <f>-C72</f>
        <v>0</v>
      </c>
      <c r="I72" s="79">
        <f t="shared" si="0"/>
        <v>0</v>
      </c>
      <c r="J72" s="78" t="s">
        <v>267</v>
      </c>
      <c r="K72" s="79">
        <f t="shared" si="1"/>
        <v>0</v>
      </c>
    </row>
    <row r="73" spans="1:13" ht="14.35" x14ac:dyDescent="0.5">
      <c r="A73" s="68" t="s">
        <v>353</v>
      </c>
      <c r="B73" s="68" t="s">
        <v>54</v>
      </c>
      <c r="C73" s="82"/>
      <c r="D73" s="80"/>
      <c r="E73" s="80"/>
      <c r="G73" s="78">
        <f>-C73</f>
        <v>0</v>
      </c>
      <c r="I73" s="79">
        <f t="shared" si="0"/>
        <v>0</v>
      </c>
      <c r="J73" s="78" t="s">
        <v>267</v>
      </c>
      <c r="K73" s="79">
        <f t="shared" si="1"/>
        <v>0</v>
      </c>
    </row>
    <row r="74" spans="1:13" ht="14.35" x14ac:dyDescent="0.5">
      <c r="A74" s="68" t="s">
        <v>355</v>
      </c>
      <c r="B74" s="68" t="s">
        <v>56</v>
      </c>
      <c r="C74" s="82"/>
      <c r="D74" s="80"/>
      <c r="E74" s="80"/>
      <c r="I74" s="79">
        <f t="shared" ref="I74:I135" si="2">SUM(C74:H74)</f>
        <v>0</v>
      </c>
      <c r="J74" s="78" t="s">
        <v>271</v>
      </c>
      <c r="K74" s="79">
        <f t="shared" ref="K74:K135" si="3">I74</f>
        <v>0</v>
      </c>
      <c r="M74" s="77"/>
    </row>
    <row r="75" spans="1:13" ht="14.35" x14ac:dyDescent="0.5">
      <c r="A75" s="68" t="s">
        <v>356</v>
      </c>
      <c r="B75" s="68" t="s">
        <v>57</v>
      </c>
      <c r="C75" s="82"/>
      <c r="D75" s="80"/>
      <c r="E75" s="80"/>
      <c r="I75" s="79">
        <f t="shared" si="2"/>
        <v>0</v>
      </c>
      <c r="J75" s="78" t="s">
        <v>268</v>
      </c>
      <c r="K75" s="79">
        <f t="shared" si="3"/>
        <v>0</v>
      </c>
    </row>
    <row r="76" spans="1:13" ht="14.35" x14ac:dyDescent="0.5">
      <c r="A76" s="68" t="s">
        <v>357</v>
      </c>
      <c r="B76" s="68" t="s">
        <v>58</v>
      </c>
      <c r="C76" s="82"/>
      <c r="E76" s="80"/>
      <c r="I76" s="79">
        <f t="shared" si="2"/>
        <v>0</v>
      </c>
      <c r="J76" s="78" t="s">
        <v>270</v>
      </c>
      <c r="K76" s="79">
        <f t="shared" si="3"/>
        <v>0</v>
      </c>
    </row>
    <row r="77" spans="1:13" ht="14.35" x14ac:dyDescent="0.5">
      <c r="A77" s="68" t="s">
        <v>358</v>
      </c>
      <c r="B77" s="68" t="s">
        <v>59</v>
      </c>
      <c r="C77" s="82"/>
      <c r="D77" s="80"/>
      <c r="E77" s="80"/>
      <c r="I77" s="79">
        <f t="shared" si="2"/>
        <v>0</v>
      </c>
      <c r="J77" s="78" t="s">
        <v>270</v>
      </c>
      <c r="K77" s="79">
        <f t="shared" si="3"/>
        <v>0</v>
      </c>
    </row>
    <row r="78" spans="1:13" ht="14.35" x14ac:dyDescent="0.5">
      <c r="A78" s="68" t="s">
        <v>359</v>
      </c>
      <c r="B78" s="68" t="s">
        <v>60</v>
      </c>
      <c r="C78" s="82"/>
      <c r="D78" s="80"/>
      <c r="E78" s="80"/>
      <c r="I78" s="79">
        <f t="shared" si="2"/>
        <v>0</v>
      </c>
      <c r="J78" s="78" t="s">
        <v>274</v>
      </c>
      <c r="K78" s="79">
        <f t="shared" si="3"/>
        <v>0</v>
      </c>
    </row>
    <row r="79" spans="1:13" ht="14.35" x14ac:dyDescent="0.5">
      <c r="A79" s="68" t="s">
        <v>360</v>
      </c>
      <c r="B79" s="68" t="s">
        <v>61</v>
      </c>
      <c r="C79" s="82"/>
      <c r="D79" s="80"/>
      <c r="E79" s="80"/>
      <c r="I79" s="79">
        <f t="shared" si="2"/>
        <v>0</v>
      </c>
      <c r="J79" s="78" t="s">
        <v>274</v>
      </c>
      <c r="K79" s="79">
        <f t="shared" si="3"/>
        <v>0</v>
      </c>
    </row>
    <row r="80" spans="1:13" ht="14.35" x14ac:dyDescent="0.5">
      <c r="A80" s="68" t="s">
        <v>361</v>
      </c>
      <c r="B80" s="68" t="s">
        <v>62</v>
      </c>
      <c r="C80" s="82"/>
      <c r="D80" s="80"/>
      <c r="E80" s="80"/>
      <c r="F80" s="78">
        <f>-C80</f>
        <v>0</v>
      </c>
      <c r="I80" s="79">
        <f t="shared" si="2"/>
        <v>0</v>
      </c>
      <c r="J80" s="78" t="s">
        <v>267</v>
      </c>
      <c r="K80" s="79">
        <f t="shared" si="3"/>
        <v>0</v>
      </c>
    </row>
    <row r="81" spans="1:13" ht="14.35" x14ac:dyDescent="0.5">
      <c r="A81" s="68" t="s">
        <v>362</v>
      </c>
      <c r="B81" s="68" t="s">
        <v>63</v>
      </c>
      <c r="C81" s="82"/>
      <c r="D81" s="80"/>
      <c r="E81" s="80"/>
      <c r="F81" s="78">
        <f>-C81</f>
        <v>0</v>
      </c>
      <c r="I81" s="79">
        <f t="shared" si="2"/>
        <v>0</v>
      </c>
      <c r="J81" s="78" t="s">
        <v>267</v>
      </c>
      <c r="K81" s="79">
        <f t="shared" si="3"/>
        <v>0</v>
      </c>
    </row>
    <row r="82" spans="1:13" ht="14.35" x14ac:dyDescent="0.5">
      <c r="A82" s="68" t="s">
        <v>363</v>
      </c>
      <c r="B82" s="68" t="s">
        <v>64</v>
      </c>
      <c r="C82" s="77"/>
      <c r="E82" s="80"/>
      <c r="I82" s="79">
        <f t="shared" si="2"/>
        <v>0</v>
      </c>
      <c r="J82" s="78" t="s">
        <v>859</v>
      </c>
      <c r="K82" s="79">
        <f t="shared" si="3"/>
        <v>0</v>
      </c>
      <c r="M82" s="77"/>
    </row>
    <row r="83" spans="1:13" x14ac:dyDescent="0.4">
      <c r="A83" s="68" t="s">
        <v>364</v>
      </c>
      <c r="B83" s="68" t="s">
        <v>65</v>
      </c>
      <c r="C83" s="77"/>
      <c r="F83" s="76"/>
      <c r="I83" s="79">
        <f t="shared" si="2"/>
        <v>0</v>
      </c>
      <c r="J83" s="78" t="s">
        <v>860</v>
      </c>
      <c r="K83" s="79">
        <f t="shared" si="3"/>
        <v>0</v>
      </c>
      <c r="M83" s="77"/>
    </row>
    <row r="84" spans="1:13" ht="14.35" x14ac:dyDescent="0.5">
      <c r="A84" s="68" t="s">
        <v>365</v>
      </c>
      <c r="B84" s="68" t="s">
        <v>262</v>
      </c>
      <c r="C84" s="77"/>
      <c r="D84" s="80"/>
      <c r="E84" s="80"/>
      <c r="I84" s="79">
        <f t="shared" si="2"/>
        <v>0</v>
      </c>
      <c r="J84" s="78" t="s">
        <v>860</v>
      </c>
      <c r="K84" s="79">
        <f t="shared" si="3"/>
        <v>0</v>
      </c>
      <c r="L84" s="24"/>
      <c r="M84" s="77"/>
    </row>
    <row r="85" spans="1:13" ht="14.35" x14ac:dyDescent="0.5">
      <c r="A85" s="68" t="s">
        <v>366</v>
      </c>
      <c r="B85" s="68" t="s">
        <v>66</v>
      </c>
      <c r="C85" s="77"/>
      <c r="D85" s="80"/>
      <c r="E85" s="80"/>
      <c r="I85" s="79">
        <f t="shared" si="2"/>
        <v>0</v>
      </c>
      <c r="J85" s="78" t="s">
        <v>860</v>
      </c>
      <c r="K85" s="79">
        <f t="shared" si="3"/>
        <v>0</v>
      </c>
      <c r="L85" s="25"/>
      <c r="M85" s="77"/>
    </row>
    <row r="86" spans="1:13" ht="14.35" x14ac:dyDescent="0.5">
      <c r="A86" s="68" t="s">
        <v>367</v>
      </c>
      <c r="B86" s="68" t="s">
        <v>67</v>
      </c>
      <c r="C86" s="77"/>
      <c r="D86" s="80"/>
      <c r="E86" s="80"/>
      <c r="I86" s="79">
        <f t="shared" si="2"/>
        <v>0</v>
      </c>
      <c r="J86" s="78" t="s">
        <v>860</v>
      </c>
      <c r="K86" s="79">
        <f t="shared" si="3"/>
        <v>0</v>
      </c>
      <c r="L86" s="25"/>
      <c r="M86" s="77"/>
    </row>
    <row r="87" spans="1:13" ht="14.35" x14ac:dyDescent="0.5">
      <c r="A87" s="68" t="s">
        <v>368</v>
      </c>
      <c r="B87" s="68" t="s">
        <v>68</v>
      </c>
      <c r="C87" s="77"/>
      <c r="D87" s="80"/>
      <c r="E87" s="80"/>
      <c r="I87" s="79">
        <f t="shared" si="2"/>
        <v>0</v>
      </c>
      <c r="J87" s="78" t="s">
        <v>860</v>
      </c>
      <c r="K87" s="79">
        <f t="shared" si="3"/>
        <v>0</v>
      </c>
      <c r="L87" s="25"/>
      <c r="M87" s="77"/>
    </row>
    <row r="88" spans="1:13" ht="14.35" x14ac:dyDescent="0.5">
      <c r="A88" s="69" t="s">
        <v>369</v>
      </c>
      <c r="B88" s="68" t="s">
        <v>69</v>
      </c>
      <c r="C88" s="77"/>
      <c r="E88" s="80"/>
      <c r="I88" s="79">
        <f t="shared" si="2"/>
        <v>0</v>
      </c>
      <c r="J88" s="78" t="s">
        <v>860</v>
      </c>
      <c r="K88" s="79">
        <f t="shared" si="3"/>
        <v>0</v>
      </c>
      <c r="L88" s="25"/>
      <c r="M88" s="77"/>
    </row>
    <row r="89" spans="1:13" ht="14.35" x14ac:dyDescent="0.5">
      <c r="A89" s="68" t="s">
        <v>370</v>
      </c>
      <c r="B89" s="68" t="s">
        <v>70</v>
      </c>
      <c r="C89" s="77"/>
      <c r="D89" s="80"/>
      <c r="E89" s="80"/>
      <c r="I89" s="79">
        <f t="shared" si="2"/>
        <v>0</v>
      </c>
      <c r="J89" s="78" t="s">
        <v>273</v>
      </c>
      <c r="K89" s="79">
        <f t="shared" si="3"/>
        <v>0</v>
      </c>
      <c r="L89" s="25"/>
      <c r="M89" s="77"/>
    </row>
    <row r="90" spans="1:13" ht="14.35" x14ac:dyDescent="0.5">
      <c r="A90" s="68" t="s">
        <v>371</v>
      </c>
      <c r="B90" s="68" t="s">
        <v>71</v>
      </c>
      <c r="C90" s="77"/>
      <c r="D90" s="80"/>
      <c r="E90" s="80"/>
      <c r="I90" s="79">
        <f t="shared" si="2"/>
        <v>0</v>
      </c>
      <c r="J90" s="78" t="s">
        <v>273</v>
      </c>
      <c r="K90" s="79">
        <f t="shared" si="3"/>
        <v>0</v>
      </c>
      <c r="L90" s="25"/>
      <c r="M90" s="77"/>
    </row>
    <row r="91" spans="1:13" ht="14.35" x14ac:dyDescent="0.5">
      <c r="A91" s="68" t="s">
        <v>372</v>
      </c>
      <c r="B91" s="68" t="s">
        <v>72</v>
      </c>
      <c r="C91" s="77"/>
      <c r="D91" s="80"/>
      <c r="E91" s="80"/>
      <c r="I91" s="79">
        <f t="shared" si="2"/>
        <v>0</v>
      </c>
      <c r="J91" s="78" t="s">
        <v>273</v>
      </c>
      <c r="K91" s="79">
        <f t="shared" si="3"/>
        <v>0</v>
      </c>
      <c r="L91" s="25"/>
      <c r="M91" s="77"/>
    </row>
    <row r="92" spans="1:13" ht="14.35" x14ac:dyDescent="0.5">
      <c r="A92" s="68" t="s">
        <v>373</v>
      </c>
      <c r="B92" s="68" t="s">
        <v>73</v>
      </c>
      <c r="C92" s="77"/>
      <c r="D92" s="80"/>
      <c r="E92" s="80"/>
      <c r="I92" s="79">
        <f t="shared" si="2"/>
        <v>0</v>
      </c>
      <c r="J92" s="78" t="s">
        <v>273</v>
      </c>
      <c r="K92" s="79">
        <f t="shared" si="3"/>
        <v>0</v>
      </c>
      <c r="L92" s="25"/>
      <c r="M92" s="77"/>
    </row>
    <row r="93" spans="1:13" ht="14.35" x14ac:dyDescent="0.5">
      <c r="A93" s="68" t="s">
        <v>374</v>
      </c>
      <c r="B93" s="68" t="s">
        <v>74</v>
      </c>
      <c r="C93" s="77"/>
      <c r="D93" s="80"/>
      <c r="E93" s="80"/>
      <c r="I93" s="79">
        <f t="shared" si="2"/>
        <v>0</v>
      </c>
      <c r="J93" s="78" t="s">
        <v>273</v>
      </c>
      <c r="K93" s="79">
        <f t="shared" si="3"/>
        <v>0</v>
      </c>
      <c r="L93" s="25"/>
      <c r="M93" s="77"/>
    </row>
    <row r="94" spans="1:13" ht="14.35" x14ac:dyDescent="0.5">
      <c r="A94" s="68" t="s">
        <v>375</v>
      </c>
      <c r="B94" s="68" t="s">
        <v>75</v>
      </c>
      <c r="C94" s="77"/>
      <c r="D94" s="80"/>
      <c r="E94" s="80"/>
      <c r="I94" s="79">
        <f t="shared" si="2"/>
        <v>0</v>
      </c>
      <c r="J94" s="78" t="s">
        <v>273</v>
      </c>
      <c r="K94" s="79">
        <f t="shared" si="3"/>
        <v>0</v>
      </c>
      <c r="L94" s="25"/>
      <c r="M94" s="77"/>
    </row>
    <row r="95" spans="1:13" ht="14.35" x14ac:dyDescent="0.5">
      <c r="A95" s="68" t="s">
        <v>376</v>
      </c>
      <c r="B95" s="68" t="s">
        <v>76</v>
      </c>
      <c r="C95" s="77"/>
      <c r="D95" s="80"/>
      <c r="E95" s="80"/>
      <c r="I95" s="79">
        <f t="shared" si="2"/>
        <v>0</v>
      </c>
      <c r="J95" s="78" t="s">
        <v>273</v>
      </c>
      <c r="K95" s="79">
        <f t="shared" si="3"/>
        <v>0</v>
      </c>
      <c r="L95" s="25"/>
      <c r="M95" s="77"/>
    </row>
    <row r="96" spans="1:13" ht="14.35" x14ac:dyDescent="0.5">
      <c r="A96" s="68" t="s">
        <v>377</v>
      </c>
      <c r="B96" s="68" t="s">
        <v>77</v>
      </c>
      <c r="C96" s="77"/>
      <c r="D96" s="80"/>
      <c r="E96" s="80"/>
      <c r="I96" s="79">
        <f t="shared" si="2"/>
        <v>0</v>
      </c>
      <c r="J96" s="78" t="s">
        <v>273</v>
      </c>
      <c r="K96" s="79">
        <f t="shared" si="3"/>
        <v>0</v>
      </c>
      <c r="L96" s="25"/>
      <c r="M96" s="77"/>
    </row>
    <row r="97" spans="1:13" ht="14.35" x14ac:dyDescent="0.5">
      <c r="A97" s="68" t="s">
        <v>378</v>
      </c>
      <c r="B97" s="68" t="s">
        <v>78</v>
      </c>
      <c r="C97" s="77"/>
      <c r="D97" s="80"/>
      <c r="E97" s="80"/>
      <c r="I97" s="79">
        <f t="shared" si="2"/>
        <v>0</v>
      </c>
      <c r="J97" s="78" t="s">
        <v>273</v>
      </c>
      <c r="K97" s="79">
        <f t="shared" si="3"/>
        <v>0</v>
      </c>
      <c r="L97" s="25"/>
      <c r="M97" s="77"/>
    </row>
    <row r="98" spans="1:13" ht="14.35" x14ac:dyDescent="0.5">
      <c r="A98" s="68" t="s">
        <v>379</v>
      </c>
      <c r="B98" s="68" t="s">
        <v>79</v>
      </c>
      <c r="C98" s="77"/>
      <c r="D98" s="80"/>
      <c r="E98" s="80"/>
      <c r="I98" s="79">
        <f t="shared" si="2"/>
        <v>0</v>
      </c>
      <c r="J98" s="78" t="s">
        <v>273</v>
      </c>
      <c r="K98" s="79">
        <f t="shared" si="3"/>
        <v>0</v>
      </c>
      <c r="L98" s="25"/>
      <c r="M98" s="77"/>
    </row>
    <row r="99" spans="1:13" ht="14.35" x14ac:dyDescent="0.5">
      <c r="A99" s="68" t="s">
        <v>380</v>
      </c>
      <c r="B99" s="68" t="s">
        <v>80</v>
      </c>
      <c r="C99" s="77"/>
      <c r="D99" s="80"/>
      <c r="E99" s="80"/>
      <c r="I99" s="79">
        <f t="shared" si="2"/>
        <v>0</v>
      </c>
      <c r="J99" s="78" t="s">
        <v>273</v>
      </c>
      <c r="K99" s="79">
        <f t="shared" si="3"/>
        <v>0</v>
      </c>
      <c r="L99" s="25"/>
      <c r="M99" s="77"/>
    </row>
    <row r="100" spans="1:13" ht="14.35" x14ac:dyDescent="0.5">
      <c r="A100" s="68" t="s">
        <v>381</v>
      </c>
      <c r="B100" s="68" t="s">
        <v>81</v>
      </c>
      <c r="C100" s="77"/>
      <c r="D100" s="80"/>
      <c r="E100" s="80"/>
      <c r="I100" s="79">
        <f t="shared" si="2"/>
        <v>0</v>
      </c>
      <c r="J100" s="78" t="s">
        <v>273</v>
      </c>
      <c r="K100" s="79">
        <f t="shared" si="3"/>
        <v>0</v>
      </c>
      <c r="L100" s="25"/>
      <c r="M100" s="77"/>
    </row>
    <row r="101" spans="1:13" ht="14.35" x14ac:dyDescent="0.5">
      <c r="A101" s="68" t="s">
        <v>382</v>
      </c>
      <c r="B101" s="68" t="s">
        <v>82</v>
      </c>
      <c r="C101" s="77"/>
      <c r="D101" s="80"/>
      <c r="E101" s="80"/>
      <c r="I101" s="79">
        <f t="shared" si="2"/>
        <v>0</v>
      </c>
      <c r="J101" s="78" t="s">
        <v>273</v>
      </c>
      <c r="K101" s="79">
        <f t="shared" si="3"/>
        <v>0</v>
      </c>
      <c r="L101" s="25"/>
      <c r="M101" s="77"/>
    </row>
    <row r="102" spans="1:13" ht="14.35" x14ac:dyDescent="0.5">
      <c r="A102" s="68" t="s">
        <v>383</v>
      </c>
      <c r="B102" s="68" t="s">
        <v>83</v>
      </c>
      <c r="C102" s="77"/>
      <c r="D102" s="80"/>
      <c r="E102" s="80"/>
      <c r="I102" s="79">
        <f t="shared" si="2"/>
        <v>0</v>
      </c>
      <c r="J102" s="78" t="s">
        <v>273</v>
      </c>
      <c r="K102" s="79">
        <f t="shared" si="3"/>
        <v>0</v>
      </c>
      <c r="L102" s="25"/>
      <c r="M102" s="77"/>
    </row>
    <row r="103" spans="1:13" ht="14.35" x14ac:dyDescent="0.5">
      <c r="A103" s="68" t="s">
        <v>384</v>
      </c>
      <c r="B103" s="68" t="s">
        <v>84</v>
      </c>
      <c r="C103" s="77"/>
      <c r="D103" s="80"/>
      <c r="E103" s="80"/>
      <c r="I103" s="79">
        <f t="shared" si="2"/>
        <v>0</v>
      </c>
      <c r="J103" s="78" t="s">
        <v>273</v>
      </c>
      <c r="K103" s="79">
        <f t="shared" si="3"/>
        <v>0</v>
      </c>
      <c r="L103" s="25"/>
      <c r="M103" s="77"/>
    </row>
    <row r="104" spans="1:13" ht="14.35" x14ac:dyDescent="0.5">
      <c r="A104" s="68" t="s">
        <v>385</v>
      </c>
      <c r="B104" s="68" t="s">
        <v>85</v>
      </c>
      <c r="C104" s="77"/>
      <c r="D104" s="80"/>
      <c r="E104" s="80"/>
      <c r="I104" s="79">
        <f t="shared" si="2"/>
        <v>0</v>
      </c>
      <c r="J104" s="78" t="s">
        <v>273</v>
      </c>
      <c r="K104" s="79">
        <f t="shared" si="3"/>
        <v>0</v>
      </c>
      <c r="L104" s="25"/>
      <c r="M104" s="77"/>
    </row>
    <row r="105" spans="1:13" ht="14.35" x14ac:dyDescent="0.5">
      <c r="A105" s="68" t="s">
        <v>386</v>
      </c>
      <c r="B105" s="68" t="s">
        <v>86</v>
      </c>
      <c r="C105" s="77"/>
      <c r="D105" s="80"/>
      <c r="E105" s="80"/>
      <c r="I105" s="79">
        <f t="shared" si="2"/>
        <v>0</v>
      </c>
      <c r="J105" s="78" t="s">
        <v>273</v>
      </c>
      <c r="K105" s="79">
        <f t="shared" si="3"/>
        <v>0</v>
      </c>
      <c r="L105" s="25"/>
      <c r="M105" s="77"/>
    </row>
    <row r="106" spans="1:13" ht="14.35" x14ac:dyDescent="0.5">
      <c r="A106" s="68" t="s">
        <v>387</v>
      </c>
      <c r="B106" s="68" t="s">
        <v>87</v>
      </c>
      <c r="C106" s="77"/>
      <c r="D106" s="80"/>
      <c r="E106" s="80"/>
      <c r="I106" s="79">
        <f t="shared" si="2"/>
        <v>0</v>
      </c>
      <c r="J106" s="78" t="s">
        <v>273</v>
      </c>
      <c r="K106" s="79">
        <f t="shared" si="3"/>
        <v>0</v>
      </c>
      <c r="L106" s="25"/>
      <c r="M106" s="77"/>
    </row>
    <row r="107" spans="1:13" ht="14.35" x14ac:dyDescent="0.5">
      <c r="A107" s="68" t="s">
        <v>388</v>
      </c>
      <c r="B107" s="68" t="s">
        <v>88</v>
      </c>
      <c r="C107" s="77"/>
      <c r="D107" s="80"/>
      <c r="E107" s="80"/>
      <c r="I107" s="79">
        <f t="shared" si="2"/>
        <v>0</v>
      </c>
      <c r="J107" s="78" t="s">
        <v>273</v>
      </c>
      <c r="K107" s="79">
        <f t="shared" si="3"/>
        <v>0</v>
      </c>
      <c r="L107" s="25"/>
      <c r="M107" s="77"/>
    </row>
    <row r="108" spans="1:13" ht="14.35" x14ac:dyDescent="0.5">
      <c r="A108" s="68" t="s">
        <v>389</v>
      </c>
      <c r="B108" s="68" t="s">
        <v>89</v>
      </c>
      <c r="C108" s="77"/>
      <c r="D108" s="80"/>
      <c r="E108" s="80"/>
      <c r="I108" s="79">
        <f t="shared" si="2"/>
        <v>0</v>
      </c>
      <c r="J108" s="78" t="s">
        <v>273</v>
      </c>
      <c r="K108" s="79">
        <f t="shared" si="3"/>
        <v>0</v>
      </c>
      <c r="L108" s="25"/>
      <c r="M108" s="77"/>
    </row>
    <row r="109" spans="1:13" ht="14.35" x14ac:dyDescent="0.5">
      <c r="A109" s="68" t="s">
        <v>390</v>
      </c>
      <c r="B109" s="68" t="s">
        <v>90</v>
      </c>
      <c r="C109" s="77"/>
      <c r="D109" s="80"/>
      <c r="E109" s="80"/>
      <c r="I109" s="79">
        <f t="shared" si="2"/>
        <v>0</v>
      </c>
      <c r="J109" s="78" t="s">
        <v>273</v>
      </c>
      <c r="K109" s="79">
        <f t="shared" si="3"/>
        <v>0</v>
      </c>
      <c r="L109" s="25"/>
      <c r="M109" s="77"/>
    </row>
    <row r="110" spans="1:13" ht="14.35" x14ac:dyDescent="0.5">
      <c r="A110" s="68" t="s">
        <v>391</v>
      </c>
      <c r="B110" s="68" t="s">
        <v>91</v>
      </c>
      <c r="C110" s="77"/>
      <c r="D110" s="80"/>
      <c r="E110" s="80"/>
      <c r="I110" s="79">
        <f t="shared" si="2"/>
        <v>0</v>
      </c>
      <c r="J110" s="78" t="s">
        <v>273</v>
      </c>
      <c r="K110" s="79">
        <f t="shared" si="3"/>
        <v>0</v>
      </c>
      <c r="L110" s="25"/>
      <c r="M110" s="77"/>
    </row>
    <row r="111" spans="1:13" ht="14.35" x14ac:dyDescent="0.5">
      <c r="A111" s="68" t="s">
        <v>392</v>
      </c>
      <c r="B111" s="68" t="s">
        <v>92</v>
      </c>
      <c r="C111" s="77"/>
      <c r="D111" s="80"/>
      <c r="E111" s="80"/>
      <c r="I111" s="79">
        <f t="shared" si="2"/>
        <v>0</v>
      </c>
      <c r="J111" s="78" t="s">
        <v>273</v>
      </c>
      <c r="K111" s="79">
        <f t="shared" si="3"/>
        <v>0</v>
      </c>
      <c r="L111" s="25"/>
      <c r="M111" s="77"/>
    </row>
    <row r="112" spans="1:13" ht="14.35" x14ac:dyDescent="0.5">
      <c r="A112" s="68" t="s">
        <v>393</v>
      </c>
      <c r="B112" s="68" t="s">
        <v>93</v>
      </c>
      <c r="C112" s="77"/>
      <c r="D112" s="80"/>
      <c r="E112" s="80"/>
      <c r="I112" s="79">
        <f t="shared" si="2"/>
        <v>0</v>
      </c>
      <c r="J112" s="78" t="s">
        <v>273</v>
      </c>
      <c r="K112" s="79">
        <f t="shared" si="3"/>
        <v>0</v>
      </c>
      <c r="L112" s="25"/>
      <c r="M112" s="77"/>
    </row>
    <row r="113" spans="1:13" ht="14.35" x14ac:dyDescent="0.5">
      <c r="A113" s="68" t="s">
        <v>394</v>
      </c>
      <c r="B113" s="68" t="s">
        <v>94</v>
      </c>
      <c r="C113" s="77"/>
      <c r="D113" s="80"/>
      <c r="E113" s="80"/>
      <c r="I113" s="79">
        <f t="shared" si="2"/>
        <v>0</v>
      </c>
      <c r="J113" s="78" t="s">
        <v>273</v>
      </c>
      <c r="K113" s="79">
        <f t="shared" si="3"/>
        <v>0</v>
      </c>
      <c r="L113" s="25"/>
      <c r="M113" s="77"/>
    </row>
    <row r="114" spans="1:13" ht="14.35" x14ac:dyDescent="0.5">
      <c r="A114" s="68" t="s">
        <v>395</v>
      </c>
      <c r="B114" s="68" t="s">
        <v>95</v>
      </c>
      <c r="C114" s="77"/>
      <c r="D114" s="80"/>
      <c r="E114" s="80"/>
      <c r="I114" s="79">
        <f t="shared" si="2"/>
        <v>0</v>
      </c>
      <c r="J114" s="78" t="s">
        <v>859</v>
      </c>
      <c r="K114" s="79">
        <f t="shared" si="3"/>
        <v>0</v>
      </c>
      <c r="L114" s="25"/>
      <c r="M114" s="77"/>
    </row>
    <row r="115" spans="1:13" ht="14.35" x14ac:dyDescent="0.5">
      <c r="A115" s="68" t="s">
        <v>396</v>
      </c>
      <c r="B115" s="68" t="s">
        <v>96</v>
      </c>
      <c r="C115" s="77"/>
      <c r="D115" s="81"/>
      <c r="E115" s="80"/>
      <c r="I115" s="79">
        <f t="shared" si="2"/>
        <v>0</v>
      </c>
      <c r="J115" s="78" t="s">
        <v>859</v>
      </c>
      <c r="K115" s="79">
        <f t="shared" si="3"/>
        <v>0</v>
      </c>
      <c r="L115" s="25"/>
      <c r="M115" s="77"/>
    </row>
    <row r="116" spans="1:13" ht="14.35" x14ac:dyDescent="0.5">
      <c r="A116" s="68" t="s">
        <v>397</v>
      </c>
      <c r="B116" s="68" t="s">
        <v>97</v>
      </c>
      <c r="C116" s="77"/>
      <c r="D116" s="80"/>
      <c r="E116" s="80"/>
      <c r="I116" s="79">
        <f t="shared" si="2"/>
        <v>0</v>
      </c>
      <c r="J116" s="78" t="s">
        <v>859</v>
      </c>
      <c r="K116" s="79">
        <f t="shared" si="3"/>
        <v>0</v>
      </c>
      <c r="L116" s="25"/>
      <c r="M116" s="77"/>
    </row>
    <row r="117" spans="1:13" ht="14.35" x14ac:dyDescent="0.5">
      <c r="A117" s="27" t="s">
        <v>629</v>
      </c>
      <c r="B117" s="100" t="s">
        <v>630</v>
      </c>
      <c r="C117" s="77"/>
      <c r="D117" s="80"/>
      <c r="E117" s="80"/>
      <c r="I117" s="79">
        <f t="shared" si="2"/>
        <v>0</v>
      </c>
      <c r="J117" s="78" t="s">
        <v>859</v>
      </c>
      <c r="K117" s="79">
        <f t="shared" si="3"/>
        <v>0</v>
      </c>
      <c r="L117" s="25"/>
      <c r="M117" s="77"/>
    </row>
    <row r="118" spans="1:13" ht="14.35" x14ac:dyDescent="0.5">
      <c r="A118" s="68" t="s">
        <v>398</v>
      </c>
      <c r="B118" s="68" t="s">
        <v>98</v>
      </c>
      <c r="C118" s="77"/>
      <c r="D118" s="80"/>
      <c r="E118" s="80"/>
      <c r="I118" s="79">
        <f t="shared" si="2"/>
        <v>0</v>
      </c>
      <c r="J118" s="78" t="s">
        <v>859</v>
      </c>
      <c r="K118" s="79">
        <f t="shared" si="3"/>
        <v>0</v>
      </c>
      <c r="L118" s="25"/>
      <c r="M118" s="77"/>
    </row>
    <row r="119" spans="1:13" ht="14.35" x14ac:dyDescent="0.5">
      <c r="A119" s="68" t="s">
        <v>399</v>
      </c>
      <c r="B119" s="68" t="s">
        <v>99</v>
      </c>
      <c r="C119" s="77"/>
      <c r="D119" s="80"/>
      <c r="E119" s="80"/>
      <c r="I119" s="79">
        <f t="shared" si="2"/>
        <v>0</v>
      </c>
      <c r="J119" s="78" t="s">
        <v>859</v>
      </c>
      <c r="K119" s="79">
        <f t="shared" si="3"/>
        <v>0</v>
      </c>
      <c r="L119" s="25"/>
      <c r="M119" s="77"/>
    </row>
    <row r="120" spans="1:13" ht="14.35" x14ac:dyDescent="0.5">
      <c r="A120" s="68" t="s">
        <v>400</v>
      </c>
      <c r="B120" s="68" t="s">
        <v>100</v>
      </c>
      <c r="C120" s="77"/>
      <c r="D120" s="80"/>
      <c r="E120" s="80"/>
      <c r="I120" s="79">
        <f t="shared" si="2"/>
        <v>0</v>
      </c>
      <c r="J120" s="78" t="s">
        <v>859</v>
      </c>
      <c r="K120" s="79">
        <f t="shared" si="3"/>
        <v>0</v>
      </c>
      <c r="L120" s="25"/>
      <c r="M120" s="77"/>
    </row>
    <row r="121" spans="1:13" ht="14.35" x14ac:dyDescent="0.5">
      <c r="A121" s="68" t="s">
        <v>401</v>
      </c>
      <c r="B121" s="68" t="s">
        <v>101</v>
      </c>
      <c r="C121" s="77"/>
      <c r="E121" s="80"/>
      <c r="I121" s="79">
        <f t="shared" si="2"/>
        <v>0</v>
      </c>
      <c r="J121" s="78" t="s">
        <v>859</v>
      </c>
      <c r="K121" s="79">
        <f t="shared" si="3"/>
        <v>0</v>
      </c>
      <c r="L121" s="25"/>
      <c r="M121" s="77"/>
    </row>
    <row r="122" spans="1:13" ht="14.35" x14ac:dyDescent="0.5">
      <c r="A122" s="68" t="s">
        <v>402</v>
      </c>
      <c r="B122" s="68" t="s">
        <v>102</v>
      </c>
      <c r="C122" s="77"/>
      <c r="D122" s="81"/>
      <c r="E122" s="80"/>
      <c r="I122" s="79">
        <f t="shared" si="2"/>
        <v>0</v>
      </c>
      <c r="J122" s="78" t="s">
        <v>859</v>
      </c>
      <c r="K122" s="79">
        <f t="shared" si="3"/>
        <v>0</v>
      </c>
      <c r="L122" s="25"/>
      <c r="M122" s="77"/>
    </row>
    <row r="123" spans="1:13" ht="14.35" x14ac:dyDescent="0.5">
      <c r="A123" s="68" t="s">
        <v>403</v>
      </c>
      <c r="B123" s="68" t="s">
        <v>103</v>
      </c>
      <c r="C123" s="77"/>
      <c r="E123" s="80"/>
      <c r="I123" s="79">
        <f t="shared" si="2"/>
        <v>0</v>
      </c>
      <c r="J123" s="78" t="s">
        <v>859</v>
      </c>
      <c r="K123" s="79">
        <f t="shared" si="3"/>
        <v>0</v>
      </c>
      <c r="L123" s="25"/>
      <c r="M123" s="77"/>
    </row>
    <row r="124" spans="1:13" ht="14.35" x14ac:dyDescent="0.5">
      <c r="A124" s="68" t="s">
        <v>404</v>
      </c>
      <c r="B124" s="68" t="s">
        <v>104</v>
      </c>
      <c r="C124" s="77"/>
      <c r="D124" s="80"/>
      <c r="E124" s="80"/>
      <c r="I124" s="79">
        <f t="shared" si="2"/>
        <v>0</v>
      </c>
      <c r="J124" s="78" t="s">
        <v>273</v>
      </c>
      <c r="K124" s="79">
        <f t="shared" si="3"/>
        <v>0</v>
      </c>
      <c r="L124" s="25"/>
      <c r="M124" s="77"/>
    </row>
    <row r="125" spans="1:13" ht="14.35" x14ac:dyDescent="0.5">
      <c r="A125" s="68" t="s">
        <v>405</v>
      </c>
      <c r="B125" s="68" t="s">
        <v>105</v>
      </c>
      <c r="C125" s="77"/>
      <c r="D125" s="80"/>
      <c r="E125" s="80"/>
      <c r="I125" s="79">
        <f t="shared" si="2"/>
        <v>0</v>
      </c>
      <c r="J125" s="78" t="s">
        <v>273</v>
      </c>
      <c r="K125" s="79">
        <f t="shared" si="3"/>
        <v>0</v>
      </c>
      <c r="L125" s="25"/>
      <c r="M125" s="77"/>
    </row>
    <row r="126" spans="1:13" ht="14.35" x14ac:dyDescent="0.5">
      <c r="A126" s="68" t="s">
        <v>406</v>
      </c>
      <c r="B126" s="68" t="s">
        <v>106</v>
      </c>
      <c r="C126" s="77"/>
      <c r="D126" s="80"/>
      <c r="E126" s="80"/>
      <c r="I126" s="79">
        <f t="shared" si="2"/>
        <v>0</v>
      </c>
      <c r="J126" s="78" t="s">
        <v>273</v>
      </c>
      <c r="K126" s="79">
        <f t="shared" si="3"/>
        <v>0</v>
      </c>
      <c r="L126" s="25"/>
      <c r="M126" s="77"/>
    </row>
    <row r="127" spans="1:13" ht="14.35" x14ac:dyDescent="0.5">
      <c r="A127" s="68" t="s">
        <v>407</v>
      </c>
      <c r="B127" s="68" t="s">
        <v>107</v>
      </c>
      <c r="C127" s="77"/>
      <c r="D127" s="80"/>
      <c r="E127" s="80"/>
      <c r="I127" s="79">
        <f t="shared" si="2"/>
        <v>0</v>
      </c>
      <c r="J127" s="78" t="s">
        <v>273</v>
      </c>
      <c r="K127" s="79">
        <f t="shared" si="3"/>
        <v>0</v>
      </c>
      <c r="L127" s="25"/>
      <c r="M127" s="77"/>
    </row>
    <row r="128" spans="1:13" ht="14.35" x14ac:dyDescent="0.5">
      <c r="A128" s="68" t="s">
        <v>408</v>
      </c>
      <c r="B128" s="68" t="s">
        <v>108</v>
      </c>
      <c r="C128" s="77"/>
      <c r="D128" s="80"/>
      <c r="E128" s="80"/>
      <c r="I128" s="79">
        <f t="shared" si="2"/>
        <v>0</v>
      </c>
      <c r="J128" s="78" t="s">
        <v>273</v>
      </c>
      <c r="K128" s="79">
        <f t="shared" si="3"/>
        <v>0</v>
      </c>
      <c r="L128" s="25"/>
      <c r="M128" s="77"/>
    </row>
    <row r="129" spans="1:13" ht="14.35" x14ac:dyDescent="0.5">
      <c r="A129" s="68" t="s">
        <v>409</v>
      </c>
      <c r="B129" s="68" t="s">
        <v>109</v>
      </c>
      <c r="C129" s="77"/>
      <c r="D129" s="80"/>
      <c r="E129" s="80"/>
      <c r="I129" s="79">
        <f t="shared" si="2"/>
        <v>0</v>
      </c>
      <c r="J129" s="78" t="s">
        <v>273</v>
      </c>
      <c r="K129" s="79">
        <f t="shared" si="3"/>
        <v>0</v>
      </c>
      <c r="L129" s="25"/>
      <c r="M129" s="77"/>
    </row>
    <row r="130" spans="1:13" ht="14.35" x14ac:dyDescent="0.5">
      <c r="A130" s="68" t="s">
        <v>410</v>
      </c>
      <c r="B130" s="68" t="s">
        <v>110</v>
      </c>
      <c r="C130" s="77"/>
      <c r="D130" s="80"/>
      <c r="E130" s="80"/>
      <c r="I130" s="79">
        <f t="shared" si="2"/>
        <v>0</v>
      </c>
      <c r="J130" s="78" t="s">
        <v>273</v>
      </c>
      <c r="K130" s="79">
        <f t="shared" si="3"/>
        <v>0</v>
      </c>
      <c r="L130" s="25"/>
      <c r="M130" s="77"/>
    </row>
    <row r="131" spans="1:13" ht="14.35" x14ac:dyDescent="0.5">
      <c r="A131" s="68" t="s">
        <v>411</v>
      </c>
      <c r="B131" s="68" t="s">
        <v>111</v>
      </c>
      <c r="C131" s="77"/>
      <c r="D131" s="80"/>
      <c r="E131" s="80"/>
      <c r="I131" s="79">
        <f t="shared" si="2"/>
        <v>0</v>
      </c>
      <c r="J131" s="78" t="s">
        <v>273</v>
      </c>
      <c r="K131" s="79">
        <f t="shared" si="3"/>
        <v>0</v>
      </c>
      <c r="L131" s="25"/>
      <c r="M131" s="77"/>
    </row>
    <row r="132" spans="1:13" ht="14.35" x14ac:dyDescent="0.5">
      <c r="A132" s="68" t="s">
        <v>412</v>
      </c>
      <c r="B132" s="68" t="s">
        <v>112</v>
      </c>
      <c r="C132" s="77"/>
      <c r="D132" s="80"/>
      <c r="E132" s="80"/>
      <c r="I132" s="79">
        <f t="shared" si="2"/>
        <v>0</v>
      </c>
      <c r="J132" s="78" t="s">
        <v>273</v>
      </c>
      <c r="K132" s="79">
        <f t="shared" si="3"/>
        <v>0</v>
      </c>
      <c r="L132" s="25"/>
      <c r="M132" s="77"/>
    </row>
    <row r="133" spans="1:13" ht="14.35" x14ac:dyDescent="0.5">
      <c r="A133" s="68" t="s">
        <v>413</v>
      </c>
      <c r="B133" s="68" t="s">
        <v>113</v>
      </c>
      <c r="C133" s="77"/>
      <c r="D133" s="80"/>
      <c r="E133" s="80"/>
      <c r="I133" s="79">
        <f t="shared" si="2"/>
        <v>0</v>
      </c>
      <c r="J133" s="78" t="s">
        <v>273</v>
      </c>
      <c r="K133" s="79">
        <f t="shared" si="3"/>
        <v>0</v>
      </c>
      <c r="L133" s="25"/>
      <c r="M133" s="77"/>
    </row>
    <row r="134" spans="1:13" ht="14.35" x14ac:dyDescent="0.5">
      <c r="A134" s="68" t="s">
        <v>414</v>
      </c>
      <c r="B134" s="68" t="s">
        <v>114</v>
      </c>
      <c r="C134" s="77"/>
      <c r="D134" s="80"/>
      <c r="E134" s="80"/>
      <c r="I134" s="79">
        <f t="shared" si="2"/>
        <v>0</v>
      </c>
      <c r="J134" s="78" t="s">
        <v>273</v>
      </c>
      <c r="K134" s="79">
        <f t="shared" si="3"/>
        <v>0</v>
      </c>
      <c r="L134" s="25"/>
      <c r="M134" s="77"/>
    </row>
    <row r="135" spans="1:13" ht="14.35" x14ac:dyDescent="0.5">
      <c r="A135" s="68" t="s">
        <v>415</v>
      </c>
      <c r="B135" s="68" t="s">
        <v>115</v>
      </c>
      <c r="C135" s="77"/>
      <c r="D135" s="80"/>
      <c r="E135" s="80"/>
      <c r="I135" s="79">
        <f t="shared" si="2"/>
        <v>0</v>
      </c>
      <c r="J135" s="78" t="s">
        <v>273</v>
      </c>
      <c r="K135" s="79">
        <f t="shared" si="3"/>
        <v>0</v>
      </c>
      <c r="L135" s="25"/>
      <c r="M135" s="77"/>
    </row>
    <row r="136" spans="1:13" ht="14.35" x14ac:dyDescent="0.5">
      <c r="A136" s="68" t="s">
        <v>416</v>
      </c>
      <c r="B136" s="68" t="s">
        <v>116</v>
      </c>
      <c r="C136" s="77"/>
      <c r="D136" s="80"/>
      <c r="E136" s="80"/>
      <c r="I136" s="79">
        <f t="shared" ref="I136:I207" si="4">SUM(C136:H136)</f>
        <v>0</v>
      </c>
      <c r="J136" s="78" t="s">
        <v>273</v>
      </c>
      <c r="K136" s="79">
        <f t="shared" ref="K136:K207" si="5">I136</f>
        <v>0</v>
      </c>
      <c r="L136" s="25"/>
      <c r="M136" s="77"/>
    </row>
    <row r="137" spans="1:13" ht="14.35" x14ac:dyDescent="0.5">
      <c r="A137" s="68" t="s">
        <v>417</v>
      </c>
      <c r="B137" s="68" t="s">
        <v>117</v>
      </c>
      <c r="C137" s="77"/>
      <c r="D137" s="80"/>
      <c r="E137" s="80"/>
      <c r="I137" s="79">
        <f t="shared" si="4"/>
        <v>0</v>
      </c>
      <c r="J137" s="78" t="s">
        <v>273</v>
      </c>
      <c r="K137" s="79">
        <f t="shared" si="5"/>
        <v>0</v>
      </c>
      <c r="L137" s="25"/>
      <c r="M137" s="77"/>
    </row>
    <row r="138" spans="1:13" ht="14.35" x14ac:dyDescent="0.5">
      <c r="A138" s="68" t="s">
        <v>418</v>
      </c>
      <c r="B138" s="68" t="s">
        <v>118</v>
      </c>
      <c r="C138" s="77"/>
      <c r="D138" s="80"/>
      <c r="E138" s="80"/>
      <c r="I138" s="79">
        <f t="shared" si="4"/>
        <v>0</v>
      </c>
      <c r="J138" s="78" t="s">
        <v>273</v>
      </c>
      <c r="K138" s="79">
        <f t="shared" si="5"/>
        <v>0</v>
      </c>
      <c r="L138" s="25"/>
      <c r="M138" s="77"/>
    </row>
    <row r="139" spans="1:13" ht="14.35" x14ac:dyDescent="0.5">
      <c r="A139" s="68" t="s">
        <v>419</v>
      </c>
      <c r="B139" s="68" t="s">
        <v>119</v>
      </c>
      <c r="C139" s="77"/>
      <c r="D139" s="80"/>
      <c r="E139" s="80"/>
      <c r="I139" s="79">
        <f t="shared" si="4"/>
        <v>0</v>
      </c>
      <c r="J139" s="78" t="s">
        <v>273</v>
      </c>
      <c r="K139" s="79">
        <f t="shared" si="5"/>
        <v>0</v>
      </c>
      <c r="L139" s="25"/>
      <c r="M139" s="77"/>
    </row>
    <row r="140" spans="1:13" ht="14.35" x14ac:dyDescent="0.5">
      <c r="A140" s="68" t="s">
        <v>420</v>
      </c>
      <c r="B140" s="68" t="s">
        <v>120</v>
      </c>
      <c r="C140" s="77"/>
      <c r="D140" s="80"/>
      <c r="E140" s="80"/>
      <c r="I140" s="79">
        <f t="shared" si="4"/>
        <v>0</v>
      </c>
      <c r="J140" s="78" t="s">
        <v>273</v>
      </c>
      <c r="K140" s="79">
        <f t="shared" si="5"/>
        <v>0</v>
      </c>
      <c r="L140" s="25"/>
      <c r="M140" s="77"/>
    </row>
    <row r="141" spans="1:13" ht="14.35" x14ac:dyDescent="0.5">
      <c r="A141" s="68" t="s">
        <v>421</v>
      </c>
      <c r="B141" s="68" t="s">
        <v>121</v>
      </c>
      <c r="C141" s="77"/>
      <c r="D141" s="80"/>
      <c r="E141" s="80"/>
      <c r="I141" s="79">
        <f t="shared" si="4"/>
        <v>0</v>
      </c>
      <c r="J141" s="78" t="s">
        <v>273</v>
      </c>
      <c r="K141" s="79">
        <f t="shared" si="5"/>
        <v>0</v>
      </c>
      <c r="L141" s="25"/>
      <c r="M141" s="77"/>
    </row>
    <row r="142" spans="1:13" ht="14.35" x14ac:dyDescent="0.5">
      <c r="A142" s="68" t="s">
        <v>422</v>
      </c>
      <c r="B142" s="68" t="s">
        <v>122</v>
      </c>
      <c r="C142" s="77"/>
      <c r="D142" s="80"/>
      <c r="E142" s="80"/>
      <c r="I142" s="79">
        <f t="shared" si="4"/>
        <v>0</v>
      </c>
      <c r="J142" s="78" t="s">
        <v>273</v>
      </c>
      <c r="K142" s="79">
        <f t="shared" si="5"/>
        <v>0</v>
      </c>
      <c r="L142" s="25"/>
      <c r="M142" s="77"/>
    </row>
    <row r="143" spans="1:13" ht="14.35" x14ac:dyDescent="0.5">
      <c r="A143" s="68" t="s">
        <v>423</v>
      </c>
      <c r="B143" s="68" t="s">
        <v>123</v>
      </c>
      <c r="C143" s="77"/>
      <c r="D143" s="80"/>
      <c r="E143" s="80"/>
      <c r="I143" s="79">
        <f t="shared" si="4"/>
        <v>0</v>
      </c>
      <c r="J143" s="78" t="s">
        <v>273</v>
      </c>
      <c r="K143" s="79">
        <f t="shared" si="5"/>
        <v>0</v>
      </c>
      <c r="L143" s="25"/>
      <c r="M143" s="77"/>
    </row>
    <row r="144" spans="1:13" ht="14.35" x14ac:dyDescent="0.5">
      <c r="A144" s="68" t="s">
        <v>424</v>
      </c>
      <c r="B144" s="68" t="s">
        <v>124</v>
      </c>
      <c r="C144" s="77"/>
      <c r="D144" s="80"/>
      <c r="E144" s="80"/>
      <c r="I144" s="79">
        <f t="shared" si="4"/>
        <v>0</v>
      </c>
      <c r="J144" s="78" t="s">
        <v>273</v>
      </c>
      <c r="K144" s="79">
        <f t="shared" si="5"/>
        <v>0</v>
      </c>
      <c r="L144" s="25"/>
      <c r="M144" s="77"/>
    </row>
    <row r="145" spans="1:13" ht="14.35" x14ac:dyDescent="0.5">
      <c r="A145" s="68" t="s">
        <v>425</v>
      </c>
      <c r="B145" s="68" t="s">
        <v>259</v>
      </c>
      <c r="C145" s="77"/>
      <c r="D145" s="80"/>
      <c r="E145" s="80"/>
      <c r="I145" s="79">
        <f t="shared" si="4"/>
        <v>0</v>
      </c>
      <c r="J145" s="78" t="s">
        <v>273</v>
      </c>
      <c r="K145" s="79">
        <f t="shared" si="5"/>
        <v>0</v>
      </c>
      <c r="L145" s="25"/>
      <c r="M145" s="77"/>
    </row>
    <row r="146" spans="1:13" ht="14.35" x14ac:dyDescent="0.5">
      <c r="A146" s="68" t="s">
        <v>628</v>
      </c>
      <c r="B146" s="68" t="s">
        <v>620</v>
      </c>
      <c r="C146" s="77"/>
      <c r="D146" s="80"/>
      <c r="E146" s="80"/>
      <c r="I146" s="79">
        <f t="shared" si="4"/>
        <v>0</v>
      </c>
      <c r="J146" s="78" t="s">
        <v>273</v>
      </c>
      <c r="K146" s="79">
        <f t="shared" si="5"/>
        <v>0</v>
      </c>
      <c r="L146" s="25"/>
      <c r="M146" s="77"/>
    </row>
    <row r="147" spans="1:13" ht="14.35" x14ac:dyDescent="0.5">
      <c r="A147" s="68" t="s">
        <v>623</v>
      </c>
      <c r="B147" s="68" t="s">
        <v>631</v>
      </c>
      <c r="C147" s="77"/>
      <c r="D147" s="80"/>
      <c r="E147" s="80"/>
      <c r="I147" s="79">
        <f t="shared" si="4"/>
        <v>0</v>
      </c>
      <c r="J147" s="78" t="s">
        <v>273</v>
      </c>
      <c r="K147" s="79">
        <f t="shared" si="5"/>
        <v>0</v>
      </c>
      <c r="L147" s="25"/>
      <c r="M147" s="77"/>
    </row>
    <row r="148" spans="1:13" ht="14.35" x14ac:dyDescent="0.5">
      <c r="A148" s="68" t="s">
        <v>635</v>
      </c>
      <c r="B148" s="68" t="s">
        <v>634</v>
      </c>
      <c r="C148" s="77"/>
      <c r="D148" s="80"/>
      <c r="E148" s="80"/>
      <c r="I148" s="79">
        <f t="shared" si="4"/>
        <v>0</v>
      </c>
      <c r="J148" s="78" t="s">
        <v>273</v>
      </c>
      <c r="K148" s="79">
        <f t="shared" si="5"/>
        <v>0</v>
      </c>
      <c r="L148" s="25"/>
      <c r="M148" s="77"/>
    </row>
    <row r="149" spans="1:13" ht="14.35" x14ac:dyDescent="0.5">
      <c r="A149" s="68" t="s">
        <v>645</v>
      </c>
      <c r="B149" s="68" t="s">
        <v>643</v>
      </c>
      <c r="C149" s="77"/>
      <c r="D149" s="80"/>
      <c r="E149" s="80"/>
      <c r="I149" s="79">
        <f t="shared" si="4"/>
        <v>0</v>
      </c>
      <c r="J149" s="78" t="s">
        <v>273</v>
      </c>
      <c r="K149" s="79">
        <f t="shared" si="5"/>
        <v>0</v>
      </c>
      <c r="L149" s="25"/>
      <c r="M149" s="77"/>
    </row>
    <row r="150" spans="1:13" ht="14.35" x14ac:dyDescent="0.5">
      <c r="A150" s="68" t="s">
        <v>646</v>
      </c>
      <c r="B150" s="68" t="s">
        <v>647</v>
      </c>
      <c r="C150" s="77"/>
      <c r="D150" s="80"/>
      <c r="E150" s="80"/>
      <c r="I150" s="79">
        <f t="shared" si="4"/>
        <v>0</v>
      </c>
      <c r="J150" s="78" t="s">
        <v>273</v>
      </c>
      <c r="K150" s="79">
        <f t="shared" si="5"/>
        <v>0</v>
      </c>
      <c r="L150" s="25"/>
      <c r="M150" s="77"/>
    </row>
    <row r="151" spans="1:13" ht="14.35" x14ac:dyDescent="0.5">
      <c r="A151" s="68" t="s">
        <v>658</v>
      </c>
      <c r="B151" s="68" t="s">
        <v>657</v>
      </c>
      <c r="C151" s="77"/>
      <c r="D151" s="80"/>
      <c r="E151" s="80"/>
      <c r="I151" s="79">
        <f t="shared" si="4"/>
        <v>0</v>
      </c>
      <c r="J151" s="78" t="s">
        <v>273</v>
      </c>
      <c r="K151" s="79">
        <f t="shared" si="5"/>
        <v>0</v>
      </c>
      <c r="L151" s="25"/>
      <c r="M151" s="77"/>
    </row>
    <row r="152" spans="1:13" ht="14.35" x14ac:dyDescent="0.5">
      <c r="A152" s="68" t="s">
        <v>661</v>
      </c>
      <c r="B152" s="68" t="s">
        <v>660</v>
      </c>
      <c r="C152" s="77"/>
      <c r="D152" s="80"/>
      <c r="E152" s="80"/>
      <c r="I152" s="79">
        <f t="shared" si="4"/>
        <v>0</v>
      </c>
      <c r="J152" s="78" t="s">
        <v>273</v>
      </c>
      <c r="K152" s="79">
        <f t="shared" si="5"/>
        <v>0</v>
      </c>
      <c r="L152" s="25"/>
      <c r="M152" s="77"/>
    </row>
    <row r="153" spans="1:13" ht="14.35" x14ac:dyDescent="0.5">
      <c r="A153" s="100" t="s">
        <v>674</v>
      </c>
      <c r="B153" s="100" t="s">
        <v>675</v>
      </c>
      <c r="C153" s="77"/>
      <c r="D153" s="80"/>
      <c r="E153" s="80"/>
      <c r="I153" s="79">
        <f t="shared" si="4"/>
        <v>0</v>
      </c>
      <c r="J153" s="78" t="s">
        <v>273</v>
      </c>
      <c r="K153" s="79">
        <f t="shared" si="5"/>
        <v>0</v>
      </c>
      <c r="L153" s="25"/>
      <c r="M153" s="77"/>
    </row>
    <row r="154" spans="1:13" ht="14.35" x14ac:dyDescent="0.5">
      <c r="A154" s="100" t="s">
        <v>692</v>
      </c>
      <c r="B154" s="100" t="s">
        <v>689</v>
      </c>
      <c r="C154" s="77"/>
      <c r="D154" s="80"/>
      <c r="E154" s="80"/>
      <c r="I154" s="79">
        <f t="shared" si="4"/>
        <v>0</v>
      </c>
      <c r="J154" s="78" t="s">
        <v>273</v>
      </c>
      <c r="K154" s="79">
        <f t="shared" si="5"/>
        <v>0</v>
      </c>
      <c r="L154" s="25"/>
      <c r="M154" s="77"/>
    </row>
    <row r="155" spans="1:13" ht="14.35" x14ac:dyDescent="0.5">
      <c r="A155" s="100" t="s">
        <v>693</v>
      </c>
      <c r="B155" s="100" t="s">
        <v>691</v>
      </c>
      <c r="C155" s="77"/>
      <c r="D155" s="80"/>
      <c r="E155" s="80"/>
      <c r="I155" s="79">
        <f t="shared" si="4"/>
        <v>0</v>
      </c>
      <c r="J155" s="78" t="s">
        <v>273</v>
      </c>
      <c r="K155" s="79">
        <f t="shared" si="5"/>
        <v>0</v>
      </c>
      <c r="L155" s="25"/>
      <c r="M155" s="77"/>
    </row>
    <row r="156" spans="1:13" ht="14.35" x14ac:dyDescent="0.5">
      <c r="A156" s="100" t="s">
        <v>676</v>
      </c>
      <c r="B156" s="100" t="s">
        <v>677</v>
      </c>
      <c r="C156" s="77"/>
      <c r="D156" s="80"/>
      <c r="E156" s="80"/>
      <c r="I156" s="79">
        <f t="shared" si="4"/>
        <v>0</v>
      </c>
      <c r="J156" s="78" t="s">
        <v>273</v>
      </c>
      <c r="K156" s="79">
        <f t="shared" si="5"/>
        <v>0</v>
      </c>
      <c r="L156" s="25"/>
      <c r="M156" s="77"/>
    </row>
    <row r="157" spans="1:13" ht="14.35" x14ac:dyDescent="0.5">
      <c r="A157" s="100" t="s">
        <v>694</v>
      </c>
      <c r="B157" s="100" t="s">
        <v>695</v>
      </c>
      <c r="C157" s="77"/>
      <c r="D157" s="80"/>
      <c r="E157" s="80"/>
      <c r="I157" s="79">
        <f t="shared" si="4"/>
        <v>0</v>
      </c>
      <c r="J157" s="78" t="s">
        <v>273</v>
      </c>
      <c r="K157" s="79">
        <f t="shared" si="5"/>
        <v>0</v>
      </c>
      <c r="L157" s="25"/>
      <c r="M157" s="77"/>
    </row>
    <row r="158" spans="1:13" ht="14.35" x14ac:dyDescent="0.5">
      <c r="A158" s="71" t="s">
        <v>762</v>
      </c>
      <c r="B158" s="71" t="s">
        <v>763</v>
      </c>
      <c r="C158" s="77"/>
      <c r="D158" s="80"/>
      <c r="E158" s="80"/>
      <c r="I158" s="79">
        <f t="shared" si="4"/>
        <v>0</v>
      </c>
      <c r="J158" s="78" t="s">
        <v>273</v>
      </c>
      <c r="K158" s="79">
        <f t="shared" si="5"/>
        <v>0</v>
      </c>
      <c r="L158" s="25"/>
      <c r="M158" s="77"/>
    </row>
    <row r="159" spans="1:13" ht="14.35" x14ac:dyDescent="0.5">
      <c r="A159" s="71" t="s">
        <v>764</v>
      </c>
      <c r="B159" s="71" t="s">
        <v>765</v>
      </c>
      <c r="C159" s="77"/>
      <c r="D159" s="80"/>
      <c r="E159" s="80"/>
      <c r="I159" s="79">
        <f t="shared" si="4"/>
        <v>0</v>
      </c>
      <c r="J159" s="78" t="s">
        <v>273</v>
      </c>
      <c r="K159" s="79">
        <f t="shared" si="5"/>
        <v>0</v>
      </c>
      <c r="L159" s="25"/>
      <c r="M159" s="77"/>
    </row>
    <row r="160" spans="1:13" ht="14.35" x14ac:dyDescent="0.5">
      <c r="A160" s="71" t="s">
        <v>775</v>
      </c>
      <c r="B160" s="100" t="s">
        <v>776</v>
      </c>
      <c r="C160" s="77"/>
      <c r="D160" s="80"/>
      <c r="E160" s="80"/>
      <c r="I160" s="79">
        <f t="shared" si="4"/>
        <v>0</v>
      </c>
      <c r="J160" s="78" t="s">
        <v>273</v>
      </c>
      <c r="K160" s="79">
        <f t="shared" si="5"/>
        <v>0</v>
      </c>
      <c r="L160" s="25"/>
      <c r="M160" s="77"/>
    </row>
    <row r="161" spans="1:13" ht="14.35" x14ac:dyDescent="0.5">
      <c r="A161" s="71" t="s">
        <v>777</v>
      </c>
      <c r="B161" s="100" t="s">
        <v>778</v>
      </c>
      <c r="C161" s="77"/>
      <c r="D161" s="80"/>
      <c r="E161" s="80"/>
      <c r="I161" s="79">
        <f t="shared" si="4"/>
        <v>0</v>
      </c>
      <c r="J161" s="78" t="s">
        <v>273</v>
      </c>
      <c r="K161" s="79">
        <f t="shared" si="5"/>
        <v>0</v>
      </c>
      <c r="L161" s="25"/>
      <c r="M161" s="77"/>
    </row>
    <row r="162" spans="1:13" ht="14.35" x14ac:dyDescent="0.5">
      <c r="A162" s="100" t="s">
        <v>788</v>
      </c>
      <c r="B162" s="100" t="s">
        <v>789</v>
      </c>
      <c r="C162" s="77"/>
      <c r="D162" s="80"/>
      <c r="E162" s="80"/>
      <c r="I162" s="79">
        <f t="shared" si="4"/>
        <v>0</v>
      </c>
      <c r="J162" s="78" t="s">
        <v>273</v>
      </c>
      <c r="K162" s="79">
        <f t="shared" si="5"/>
        <v>0</v>
      </c>
      <c r="L162" s="25"/>
      <c r="M162" s="77"/>
    </row>
    <row r="163" spans="1:13" ht="14.35" x14ac:dyDescent="0.5">
      <c r="A163" s="100" t="s">
        <v>790</v>
      </c>
      <c r="B163" s="100" t="s">
        <v>791</v>
      </c>
      <c r="C163" s="77"/>
      <c r="D163" s="80"/>
      <c r="E163" s="80"/>
      <c r="I163" s="79">
        <f t="shared" si="4"/>
        <v>0</v>
      </c>
      <c r="J163" s="78" t="s">
        <v>273</v>
      </c>
      <c r="K163" s="79">
        <f t="shared" si="5"/>
        <v>0</v>
      </c>
      <c r="L163" s="25"/>
      <c r="M163" s="77"/>
    </row>
    <row r="164" spans="1:13" ht="14.35" x14ac:dyDescent="0.5">
      <c r="A164" s="100" t="s">
        <v>803</v>
      </c>
      <c r="B164" s="100" t="s">
        <v>804</v>
      </c>
      <c r="C164" s="77"/>
      <c r="D164" s="80"/>
      <c r="E164" s="80"/>
      <c r="I164" s="79">
        <f t="shared" si="4"/>
        <v>0</v>
      </c>
      <c r="J164" s="78" t="s">
        <v>273</v>
      </c>
      <c r="K164" s="79">
        <f t="shared" si="5"/>
        <v>0</v>
      </c>
      <c r="L164" s="25"/>
      <c r="M164" s="77"/>
    </row>
    <row r="165" spans="1:13" ht="14.35" x14ac:dyDescent="0.5">
      <c r="A165" s="100" t="s">
        <v>814</v>
      </c>
      <c r="B165" s="100" t="s">
        <v>815</v>
      </c>
      <c r="C165" s="77"/>
      <c r="D165" s="80"/>
      <c r="E165" s="80"/>
      <c r="I165" s="79">
        <f t="shared" si="4"/>
        <v>0</v>
      </c>
      <c r="J165" s="78" t="s">
        <v>273</v>
      </c>
      <c r="K165" s="79">
        <f t="shared" si="5"/>
        <v>0</v>
      </c>
      <c r="L165" s="25"/>
      <c r="M165" s="77"/>
    </row>
    <row r="166" spans="1:13" ht="14.35" x14ac:dyDescent="0.5">
      <c r="A166" s="100" t="s">
        <v>855</v>
      </c>
      <c r="B166" s="100" t="s">
        <v>856</v>
      </c>
      <c r="C166" s="77"/>
      <c r="D166" s="80"/>
      <c r="E166" s="80"/>
      <c r="I166" s="79">
        <f t="shared" si="4"/>
        <v>0</v>
      </c>
      <c r="J166" s="78" t="s">
        <v>273</v>
      </c>
      <c r="K166" s="79">
        <f t="shared" si="5"/>
        <v>0</v>
      </c>
      <c r="L166" s="25"/>
      <c r="M166" s="77"/>
    </row>
    <row r="167" spans="1:13" ht="14.35" x14ac:dyDescent="0.5">
      <c r="A167" s="100" t="s">
        <v>863</v>
      </c>
      <c r="B167" s="100" t="s">
        <v>864</v>
      </c>
      <c r="C167" s="77"/>
      <c r="D167" s="80"/>
      <c r="E167" s="80"/>
      <c r="I167" s="79">
        <f t="shared" ref="I167" si="6">SUM(C167:H167)</f>
        <v>0</v>
      </c>
      <c r="J167" s="78" t="s">
        <v>273</v>
      </c>
      <c r="K167" s="79">
        <f t="shared" ref="K167" si="7">I167</f>
        <v>0</v>
      </c>
      <c r="L167" s="25"/>
      <c r="M167" s="77"/>
    </row>
    <row r="168" spans="1:13" ht="14.35" x14ac:dyDescent="0.5">
      <c r="A168" s="69" t="s">
        <v>769</v>
      </c>
      <c r="B168" s="68" t="s">
        <v>632</v>
      </c>
      <c r="C168" s="77"/>
      <c r="D168" s="80"/>
      <c r="I168" s="79">
        <f t="shared" si="4"/>
        <v>0</v>
      </c>
      <c r="J168" s="78" t="s">
        <v>273</v>
      </c>
      <c r="K168" s="79">
        <f t="shared" si="5"/>
        <v>0</v>
      </c>
      <c r="L168" s="25"/>
      <c r="M168" s="77"/>
    </row>
    <row r="169" spans="1:13" ht="14.35" x14ac:dyDescent="0.5">
      <c r="A169" s="68" t="s">
        <v>426</v>
      </c>
      <c r="B169" s="68" t="s">
        <v>125</v>
      </c>
      <c r="C169" s="77"/>
      <c r="D169" s="80"/>
      <c r="E169" s="80"/>
      <c r="I169" s="79">
        <f t="shared" si="4"/>
        <v>0</v>
      </c>
      <c r="J169" s="78" t="s">
        <v>272</v>
      </c>
      <c r="K169" s="79">
        <f t="shared" si="5"/>
        <v>0</v>
      </c>
      <c r="L169" s="25"/>
      <c r="M169" s="77"/>
    </row>
    <row r="170" spans="1:13" ht="14.35" x14ac:dyDescent="0.5">
      <c r="A170" s="100" t="s">
        <v>805</v>
      </c>
      <c r="B170" s="100" t="s">
        <v>806</v>
      </c>
      <c r="C170" s="77"/>
      <c r="D170" s="80"/>
      <c r="E170" s="80"/>
      <c r="I170" s="79">
        <f t="shared" si="4"/>
        <v>0</v>
      </c>
      <c r="J170" s="78" t="s">
        <v>272</v>
      </c>
      <c r="K170" s="79">
        <f t="shared" si="5"/>
        <v>0</v>
      </c>
      <c r="L170" s="25"/>
      <c r="M170" s="77"/>
    </row>
    <row r="171" spans="1:13" ht="14.35" x14ac:dyDescent="0.5">
      <c r="A171" s="68" t="s">
        <v>427</v>
      </c>
      <c r="B171" s="68" t="s">
        <v>126</v>
      </c>
      <c r="C171" s="77"/>
      <c r="D171" s="80"/>
      <c r="E171" s="80"/>
      <c r="I171" s="79">
        <f t="shared" si="4"/>
        <v>0</v>
      </c>
      <c r="J171" s="78" t="s">
        <v>272</v>
      </c>
      <c r="K171" s="79">
        <f t="shared" si="5"/>
        <v>0</v>
      </c>
      <c r="L171" s="25"/>
      <c r="M171" s="77"/>
    </row>
    <row r="172" spans="1:13" ht="14.35" x14ac:dyDescent="0.5">
      <c r="A172" s="68" t="s">
        <v>428</v>
      </c>
      <c r="B172" s="68" t="s">
        <v>127</v>
      </c>
      <c r="C172" s="77"/>
      <c r="D172" s="80"/>
      <c r="E172" s="80"/>
      <c r="I172" s="79">
        <f t="shared" si="4"/>
        <v>0</v>
      </c>
      <c r="J172" s="78" t="s">
        <v>272</v>
      </c>
      <c r="K172" s="79">
        <f t="shared" si="5"/>
        <v>0</v>
      </c>
      <c r="L172" s="25"/>
      <c r="M172" s="77"/>
    </row>
    <row r="173" spans="1:13" ht="14.35" x14ac:dyDescent="0.5">
      <c r="A173" s="68" t="s">
        <v>429</v>
      </c>
      <c r="B173" s="68" t="s">
        <v>128</v>
      </c>
      <c r="C173" s="77"/>
      <c r="D173" s="80"/>
      <c r="E173" s="80"/>
      <c r="I173" s="79">
        <f t="shared" si="4"/>
        <v>0</v>
      </c>
      <c r="J173" s="78" t="s">
        <v>272</v>
      </c>
      <c r="K173" s="79">
        <f t="shared" si="5"/>
        <v>0</v>
      </c>
      <c r="L173" s="25"/>
      <c r="M173" s="77"/>
    </row>
    <row r="174" spans="1:13" ht="14.35" x14ac:dyDescent="0.5">
      <c r="A174" s="68" t="s">
        <v>430</v>
      </c>
      <c r="B174" s="68" t="s">
        <v>129</v>
      </c>
      <c r="C174" s="77"/>
      <c r="D174" s="80"/>
      <c r="E174" s="80"/>
      <c r="I174" s="79">
        <f t="shared" si="4"/>
        <v>0</v>
      </c>
      <c r="J174" s="78" t="s">
        <v>272</v>
      </c>
      <c r="K174" s="79">
        <f t="shared" si="5"/>
        <v>0</v>
      </c>
      <c r="L174" s="25"/>
      <c r="M174" s="77"/>
    </row>
    <row r="175" spans="1:13" ht="14.35" x14ac:dyDescent="0.5">
      <c r="A175" s="68" t="s">
        <v>431</v>
      </c>
      <c r="B175" s="68" t="s">
        <v>70</v>
      </c>
      <c r="C175" s="77"/>
      <c r="D175" s="80"/>
      <c r="E175" s="80"/>
      <c r="I175" s="79">
        <f t="shared" si="4"/>
        <v>0</v>
      </c>
      <c r="J175" s="78" t="s">
        <v>274</v>
      </c>
      <c r="K175" s="79">
        <f t="shared" si="5"/>
        <v>0</v>
      </c>
    </row>
    <row r="176" spans="1:13" ht="14.35" x14ac:dyDescent="0.5">
      <c r="A176" s="68" t="s">
        <v>432</v>
      </c>
      <c r="B176" s="68" t="s">
        <v>72</v>
      </c>
      <c r="C176" s="77"/>
      <c r="D176" s="80"/>
      <c r="E176" s="80"/>
      <c r="I176" s="79">
        <f t="shared" si="4"/>
        <v>0</v>
      </c>
      <c r="J176" s="78" t="s">
        <v>274</v>
      </c>
      <c r="K176" s="79">
        <f t="shared" si="5"/>
        <v>0</v>
      </c>
    </row>
    <row r="177" spans="1:11" ht="14.35" x14ac:dyDescent="0.5">
      <c r="A177" s="68" t="s">
        <v>433</v>
      </c>
      <c r="B177" s="68" t="s">
        <v>73</v>
      </c>
      <c r="C177" s="77"/>
      <c r="D177" s="80"/>
      <c r="E177" s="80"/>
      <c r="I177" s="79">
        <f t="shared" si="4"/>
        <v>0</v>
      </c>
      <c r="J177" s="78" t="s">
        <v>274</v>
      </c>
      <c r="K177" s="79">
        <f t="shared" si="5"/>
        <v>0</v>
      </c>
    </row>
    <row r="178" spans="1:11" ht="14.35" x14ac:dyDescent="0.5">
      <c r="A178" s="68" t="s">
        <v>434</v>
      </c>
      <c r="B178" s="68" t="s">
        <v>74</v>
      </c>
      <c r="C178" s="77"/>
      <c r="D178" s="80"/>
      <c r="E178" s="80"/>
      <c r="I178" s="79">
        <f t="shared" si="4"/>
        <v>0</v>
      </c>
      <c r="J178" s="78" t="s">
        <v>274</v>
      </c>
      <c r="K178" s="79">
        <f t="shared" si="5"/>
        <v>0</v>
      </c>
    </row>
    <row r="179" spans="1:11" ht="14.35" x14ac:dyDescent="0.5">
      <c r="A179" s="68" t="s">
        <v>435</v>
      </c>
      <c r="B179" s="68" t="s">
        <v>132</v>
      </c>
      <c r="C179" s="77"/>
      <c r="D179" s="80"/>
      <c r="E179" s="80"/>
      <c r="I179" s="79">
        <f t="shared" si="4"/>
        <v>0</v>
      </c>
      <c r="J179" s="78" t="s">
        <v>274</v>
      </c>
      <c r="K179" s="79">
        <f t="shared" si="5"/>
        <v>0</v>
      </c>
    </row>
    <row r="180" spans="1:11" ht="14.35" x14ac:dyDescent="0.5">
      <c r="A180" s="68" t="s">
        <v>436</v>
      </c>
      <c r="B180" s="68" t="s">
        <v>76</v>
      </c>
      <c r="C180" s="77"/>
      <c r="D180" s="80"/>
      <c r="E180" s="80"/>
      <c r="I180" s="79">
        <f t="shared" si="4"/>
        <v>0</v>
      </c>
      <c r="J180" s="78" t="s">
        <v>274</v>
      </c>
      <c r="K180" s="79">
        <f t="shared" si="5"/>
        <v>0</v>
      </c>
    </row>
    <row r="181" spans="1:11" ht="14.35" x14ac:dyDescent="0.5">
      <c r="A181" s="68" t="s">
        <v>437</v>
      </c>
      <c r="B181" s="68" t="s">
        <v>77</v>
      </c>
      <c r="C181" s="77"/>
      <c r="D181" s="80"/>
      <c r="E181" s="80"/>
      <c r="I181" s="79">
        <f t="shared" si="4"/>
        <v>0</v>
      </c>
      <c r="J181" s="78" t="s">
        <v>274</v>
      </c>
      <c r="K181" s="79">
        <f t="shared" si="5"/>
        <v>0</v>
      </c>
    </row>
    <row r="182" spans="1:11" ht="14.35" x14ac:dyDescent="0.5">
      <c r="A182" s="68" t="s">
        <v>438</v>
      </c>
      <c r="B182" s="68" t="s">
        <v>78</v>
      </c>
      <c r="C182" s="77"/>
      <c r="D182" s="80"/>
      <c r="E182" s="80"/>
      <c r="I182" s="79">
        <f t="shared" si="4"/>
        <v>0</v>
      </c>
      <c r="J182" s="78" t="s">
        <v>274</v>
      </c>
      <c r="K182" s="79">
        <f t="shared" si="5"/>
        <v>0</v>
      </c>
    </row>
    <row r="183" spans="1:11" ht="14.35" x14ac:dyDescent="0.5">
      <c r="A183" s="68" t="s">
        <v>439</v>
      </c>
      <c r="B183" s="68" t="s">
        <v>79</v>
      </c>
      <c r="C183" s="77"/>
      <c r="D183" s="80"/>
      <c r="E183" s="80"/>
      <c r="I183" s="79">
        <f t="shared" si="4"/>
        <v>0</v>
      </c>
      <c r="J183" s="78" t="s">
        <v>274</v>
      </c>
      <c r="K183" s="79">
        <f t="shared" si="5"/>
        <v>0</v>
      </c>
    </row>
    <row r="184" spans="1:11" ht="14.35" x14ac:dyDescent="0.5">
      <c r="A184" s="68" t="s">
        <v>440</v>
      </c>
      <c r="B184" s="68" t="s">
        <v>80</v>
      </c>
      <c r="C184" s="77"/>
      <c r="D184" s="80"/>
      <c r="E184" s="80"/>
      <c r="I184" s="79">
        <f t="shared" si="4"/>
        <v>0</v>
      </c>
      <c r="J184" s="78" t="s">
        <v>274</v>
      </c>
      <c r="K184" s="79">
        <f t="shared" si="5"/>
        <v>0</v>
      </c>
    </row>
    <row r="185" spans="1:11" ht="14.35" x14ac:dyDescent="0.5">
      <c r="A185" s="68" t="s">
        <v>441</v>
      </c>
      <c r="B185" s="68" t="s">
        <v>81</v>
      </c>
      <c r="C185" s="77"/>
      <c r="D185" s="80"/>
      <c r="E185" s="80"/>
      <c r="I185" s="79">
        <f t="shared" si="4"/>
        <v>0</v>
      </c>
      <c r="J185" s="78" t="s">
        <v>274</v>
      </c>
      <c r="K185" s="79">
        <f t="shared" si="5"/>
        <v>0</v>
      </c>
    </row>
    <row r="186" spans="1:11" ht="14.35" x14ac:dyDescent="0.5">
      <c r="A186" s="68" t="s">
        <v>442</v>
      </c>
      <c r="B186" s="68" t="s">
        <v>82</v>
      </c>
      <c r="C186" s="77"/>
      <c r="D186" s="80"/>
      <c r="E186" s="80"/>
      <c r="I186" s="79">
        <f t="shared" si="4"/>
        <v>0</v>
      </c>
      <c r="J186" s="78" t="s">
        <v>274</v>
      </c>
      <c r="K186" s="79">
        <f t="shared" si="5"/>
        <v>0</v>
      </c>
    </row>
    <row r="187" spans="1:11" ht="14.35" x14ac:dyDescent="0.5">
      <c r="A187" s="68" t="s">
        <v>443</v>
      </c>
      <c r="B187" s="68" t="s">
        <v>83</v>
      </c>
      <c r="C187" s="77"/>
      <c r="D187" s="80"/>
      <c r="E187" s="80"/>
      <c r="I187" s="79">
        <f t="shared" si="4"/>
        <v>0</v>
      </c>
      <c r="J187" s="78" t="s">
        <v>274</v>
      </c>
      <c r="K187" s="79">
        <f t="shared" si="5"/>
        <v>0</v>
      </c>
    </row>
    <row r="188" spans="1:11" ht="14.35" x14ac:dyDescent="0.5">
      <c r="A188" s="68" t="s">
        <v>444</v>
      </c>
      <c r="B188" s="68" t="s">
        <v>84</v>
      </c>
      <c r="C188" s="77"/>
      <c r="D188" s="80"/>
      <c r="E188" s="80"/>
      <c r="I188" s="79">
        <f t="shared" si="4"/>
        <v>0</v>
      </c>
      <c r="J188" s="78" t="s">
        <v>274</v>
      </c>
      <c r="K188" s="79">
        <f t="shared" si="5"/>
        <v>0</v>
      </c>
    </row>
    <row r="189" spans="1:11" ht="14.35" x14ac:dyDescent="0.5">
      <c r="A189" s="68" t="s">
        <v>445</v>
      </c>
      <c r="B189" s="68" t="s">
        <v>85</v>
      </c>
      <c r="C189" s="77"/>
      <c r="D189" s="80"/>
      <c r="E189" s="80"/>
      <c r="I189" s="79">
        <f t="shared" si="4"/>
        <v>0</v>
      </c>
      <c r="J189" s="78" t="s">
        <v>274</v>
      </c>
      <c r="K189" s="79">
        <f t="shared" si="5"/>
        <v>0</v>
      </c>
    </row>
    <row r="190" spans="1:11" ht="14.35" x14ac:dyDescent="0.5">
      <c r="A190" s="68" t="s">
        <v>446</v>
      </c>
      <c r="B190" s="68" t="s">
        <v>133</v>
      </c>
      <c r="C190" s="77"/>
      <c r="D190" s="80"/>
      <c r="E190" s="80"/>
      <c r="I190" s="79">
        <f t="shared" si="4"/>
        <v>0</v>
      </c>
      <c r="J190" s="78" t="s">
        <v>274</v>
      </c>
      <c r="K190" s="79">
        <f t="shared" si="5"/>
        <v>0</v>
      </c>
    </row>
    <row r="191" spans="1:11" ht="14.35" x14ac:dyDescent="0.5">
      <c r="A191" s="68" t="s">
        <v>447</v>
      </c>
      <c r="B191" s="68" t="s">
        <v>87</v>
      </c>
      <c r="C191" s="77"/>
      <c r="D191" s="80"/>
      <c r="E191" s="80"/>
      <c r="I191" s="79">
        <f t="shared" si="4"/>
        <v>0</v>
      </c>
      <c r="J191" s="78" t="s">
        <v>274</v>
      </c>
      <c r="K191" s="79">
        <f t="shared" si="5"/>
        <v>0</v>
      </c>
    </row>
    <row r="192" spans="1:11" ht="14.35" x14ac:dyDescent="0.5">
      <c r="A192" s="68" t="s">
        <v>448</v>
      </c>
      <c r="B192" s="68" t="s">
        <v>88</v>
      </c>
      <c r="C192" s="77"/>
      <c r="D192" s="80"/>
      <c r="E192" s="80"/>
      <c r="I192" s="79">
        <f t="shared" si="4"/>
        <v>0</v>
      </c>
      <c r="J192" s="78" t="s">
        <v>274</v>
      </c>
      <c r="K192" s="79">
        <f t="shared" si="5"/>
        <v>0</v>
      </c>
    </row>
    <row r="193" spans="1:11" ht="14.35" x14ac:dyDescent="0.5">
      <c r="A193" s="68" t="s">
        <v>449</v>
      </c>
      <c r="B193" s="68" t="s">
        <v>89</v>
      </c>
      <c r="C193" s="77"/>
      <c r="D193" s="80"/>
      <c r="E193" s="80"/>
      <c r="I193" s="79">
        <f t="shared" si="4"/>
        <v>0</v>
      </c>
      <c r="J193" s="78" t="s">
        <v>274</v>
      </c>
      <c r="K193" s="79">
        <f t="shared" si="5"/>
        <v>0</v>
      </c>
    </row>
    <row r="194" spans="1:11" ht="14.35" x14ac:dyDescent="0.5">
      <c r="A194" s="68" t="s">
        <v>450</v>
      </c>
      <c r="B194" s="68" t="s">
        <v>90</v>
      </c>
      <c r="C194" s="77"/>
      <c r="D194" s="80"/>
      <c r="E194" s="80"/>
      <c r="I194" s="79">
        <f t="shared" si="4"/>
        <v>0</v>
      </c>
      <c r="J194" s="78" t="s">
        <v>274</v>
      </c>
      <c r="K194" s="79">
        <f t="shared" si="5"/>
        <v>0</v>
      </c>
    </row>
    <row r="195" spans="1:11" ht="14.35" x14ac:dyDescent="0.5">
      <c r="A195" s="68" t="s">
        <v>451</v>
      </c>
      <c r="B195" s="68" t="s">
        <v>91</v>
      </c>
      <c r="C195" s="77"/>
      <c r="D195" s="80"/>
      <c r="E195" s="80"/>
      <c r="I195" s="79">
        <f t="shared" si="4"/>
        <v>0</v>
      </c>
      <c r="J195" s="78" t="s">
        <v>274</v>
      </c>
      <c r="K195" s="79">
        <f t="shared" si="5"/>
        <v>0</v>
      </c>
    </row>
    <row r="196" spans="1:11" ht="14.35" x14ac:dyDescent="0.5">
      <c r="A196" s="68" t="s">
        <v>452</v>
      </c>
      <c r="B196" s="68" t="s">
        <v>92</v>
      </c>
      <c r="C196" s="77"/>
      <c r="D196" s="80"/>
      <c r="E196" s="80"/>
      <c r="I196" s="79">
        <f t="shared" si="4"/>
        <v>0</v>
      </c>
      <c r="J196" s="78" t="s">
        <v>274</v>
      </c>
      <c r="K196" s="79">
        <f t="shared" si="5"/>
        <v>0</v>
      </c>
    </row>
    <row r="197" spans="1:11" ht="14.35" x14ac:dyDescent="0.5">
      <c r="A197" s="68" t="s">
        <v>453</v>
      </c>
      <c r="B197" s="68" t="s">
        <v>93</v>
      </c>
      <c r="C197" s="77"/>
      <c r="D197" s="80"/>
      <c r="E197" s="80"/>
      <c r="I197" s="79">
        <f t="shared" si="4"/>
        <v>0</v>
      </c>
      <c r="J197" s="78" t="s">
        <v>274</v>
      </c>
      <c r="K197" s="79">
        <f t="shared" si="5"/>
        <v>0</v>
      </c>
    </row>
    <row r="198" spans="1:11" ht="14.35" x14ac:dyDescent="0.5">
      <c r="A198" s="68" t="s">
        <v>454</v>
      </c>
      <c r="B198" s="68" t="s">
        <v>94</v>
      </c>
      <c r="C198" s="77"/>
      <c r="D198" s="80"/>
      <c r="E198" s="80"/>
      <c r="I198" s="79">
        <f t="shared" si="4"/>
        <v>0</v>
      </c>
      <c r="J198" s="78" t="s">
        <v>274</v>
      </c>
      <c r="K198" s="79">
        <f t="shared" si="5"/>
        <v>0</v>
      </c>
    </row>
    <row r="199" spans="1:11" ht="14.35" x14ac:dyDescent="0.5">
      <c r="A199" s="68" t="s">
        <v>455</v>
      </c>
      <c r="B199" s="68" t="s">
        <v>104</v>
      </c>
      <c r="C199" s="77"/>
      <c r="D199" s="80"/>
      <c r="E199" s="80"/>
      <c r="I199" s="79">
        <f t="shared" si="4"/>
        <v>0</v>
      </c>
      <c r="J199" s="78" t="s">
        <v>274</v>
      </c>
      <c r="K199" s="79">
        <f t="shared" si="5"/>
        <v>0</v>
      </c>
    </row>
    <row r="200" spans="1:11" ht="14.35" x14ac:dyDescent="0.5">
      <c r="A200" s="68" t="s">
        <v>456</v>
      </c>
      <c r="B200" s="68" t="s">
        <v>134</v>
      </c>
      <c r="C200" s="77"/>
      <c r="D200" s="80"/>
      <c r="E200" s="80"/>
      <c r="I200" s="79">
        <f t="shared" si="4"/>
        <v>0</v>
      </c>
      <c r="J200" s="78" t="s">
        <v>274</v>
      </c>
      <c r="K200" s="79">
        <f t="shared" si="5"/>
        <v>0</v>
      </c>
    </row>
    <row r="201" spans="1:11" ht="14.35" x14ac:dyDescent="0.5">
      <c r="A201" s="68" t="s">
        <v>457</v>
      </c>
      <c r="B201" s="68" t="s">
        <v>106</v>
      </c>
      <c r="C201" s="77"/>
      <c r="D201" s="80"/>
      <c r="E201" s="80"/>
      <c r="I201" s="79">
        <f t="shared" si="4"/>
        <v>0</v>
      </c>
      <c r="J201" s="78" t="s">
        <v>274</v>
      </c>
      <c r="K201" s="79">
        <f t="shared" si="5"/>
        <v>0</v>
      </c>
    </row>
    <row r="202" spans="1:11" ht="14.35" x14ac:dyDescent="0.5">
      <c r="A202" s="68" t="s">
        <v>458</v>
      </c>
      <c r="B202" s="68" t="s">
        <v>107</v>
      </c>
      <c r="C202" s="77"/>
      <c r="D202" s="80"/>
      <c r="E202" s="80"/>
      <c r="I202" s="79">
        <f t="shared" si="4"/>
        <v>0</v>
      </c>
      <c r="J202" s="78" t="s">
        <v>274</v>
      </c>
      <c r="K202" s="79">
        <f t="shared" si="5"/>
        <v>0</v>
      </c>
    </row>
    <row r="203" spans="1:11" ht="14.35" x14ac:dyDescent="0.5">
      <c r="A203" s="68" t="s">
        <v>459</v>
      </c>
      <c r="B203" s="68" t="s">
        <v>135</v>
      </c>
      <c r="C203" s="77"/>
      <c r="D203" s="80"/>
      <c r="E203" s="80"/>
      <c r="I203" s="79">
        <f t="shared" si="4"/>
        <v>0</v>
      </c>
      <c r="J203" s="78" t="s">
        <v>274</v>
      </c>
      <c r="K203" s="79">
        <f t="shared" si="5"/>
        <v>0</v>
      </c>
    </row>
    <row r="204" spans="1:11" ht="14.35" x14ac:dyDescent="0.5">
      <c r="A204" s="68" t="s">
        <v>460</v>
      </c>
      <c r="B204" s="68" t="s">
        <v>109</v>
      </c>
      <c r="C204" s="77"/>
      <c r="D204" s="80"/>
      <c r="E204" s="80"/>
      <c r="I204" s="79">
        <f t="shared" si="4"/>
        <v>0</v>
      </c>
      <c r="J204" s="78" t="s">
        <v>274</v>
      </c>
      <c r="K204" s="79">
        <f t="shared" si="5"/>
        <v>0</v>
      </c>
    </row>
    <row r="205" spans="1:11" ht="14.35" x14ac:dyDescent="0.5">
      <c r="A205" s="68" t="s">
        <v>461</v>
      </c>
      <c r="B205" s="68" t="s">
        <v>110</v>
      </c>
      <c r="C205" s="77"/>
      <c r="D205" s="80"/>
      <c r="E205" s="80"/>
      <c r="I205" s="79">
        <f t="shared" si="4"/>
        <v>0</v>
      </c>
      <c r="J205" s="78" t="s">
        <v>274</v>
      </c>
      <c r="K205" s="79">
        <f t="shared" si="5"/>
        <v>0</v>
      </c>
    </row>
    <row r="206" spans="1:11" ht="14.35" x14ac:dyDescent="0.5">
      <c r="A206" s="68" t="s">
        <v>462</v>
      </c>
      <c r="B206" s="68" t="s">
        <v>136</v>
      </c>
      <c r="C206" s="77"/>
      <c r="D206" s="80"/>
      <c r="E206" s="80"/>
      <c r="I206" s="79">
        <f t="shared" si="4"/>
        <v>0</v>
      </c>
      <c r="J206" s="78" t="s">
        <v>274</v>
      </c>
      <c r="K206" s="79">
        <f t="shared" si="5"/>
        <v>0</v>
      </c>
    </row>
    <row r="207" spans="1:11" ht="14.35" x14ac:dyDescent="0.5">
      <c r="A207" s="68" t="s">
        <v>463</v>
      </c>
      <c r="B207" s="68" t="s">
        <v>112</v>
      </c>
      <c r="C207" s="77"/>
      <c r="D207" s="80"/>
      <c r="E207" s="80"/>
      <c r="I207" s="79">
        <f t="shared" si="4"/>
        <v>0</v>
      </c>
      <c r="J207" s="78" t="s">
        <v>274</v>
      </c>
      <c r="K207" s="79">
        <f t="shared" si="5"/>
        <v>0</v>
      </c>
    </row>
    <row r="208" spans="1:11" ht="14.35" x14ac:dyDescent="0.5">
      <c r="A208" s="68" t="s">
        <v>464</v>
      </c>
      <c r="B208" s="68" t="s">
        <v>113</v>
      </c>
      <c r="C208" s="77"/>
      <c r="D208" s="80"/>
      <c r="E208" s="80"/>
      <c r="I208" s="79">
        <f t="shared" ref="I208:I253" si="8">SUM(C208:H208)</f>
        <v>0</v>
      </c>
      <c r="J208" s="78" t="s">
        <v>274</v>
      </c>
      <c r="K208" s="79">
        <f t="shared" ref="K208:K253" si="9">I208</f>
        <v>0</v>
      </c>
    </row>
    <row r="209" spans="1:11" ht="14.35" x14ac:dyDescent="0.5">
      <c r="A209" s="68" t="s">
        <v>465</v>
      </c>
      <c r="B209" s="68" t="s">
        <v>114</v>
      </c>
      <c r="C209" s="77"/>
      <c r="D209" s="80"/>
      <c r="E209" s="80"/>
      <c r="I209" s="79">
        <f t="shared" si="8"/>
        <v>0</v>
      </c>
      <c r="J209" s="78" t="s">
        <v>274</v>
      </c>
      <c r="K209" s="79">
        <f t="shared" si="9"/>
        <v>0</v>
      </c>
    </row>
    <row r="210" spans="1:11" ht="14.35" x14ac:dyDescent="0.5">
      <c r="A210" s="68" t="s">
        <v>466</v>
      </c>
      <c r="B210" s="68" t="s">
        <v>115</v>
      </c>
      <c r="C210" s="77"/>
      <c r="D210" s="80"/>
      <c r="E210" s="80"/>
      <c r="I210" s="79">
        <f t="shared" si="8"/>
        <v>0</v>
      </c>
      <c r="J210" s="78" t="s">
        <v>274</v>
      </c>
      <c r="K210" s="79">
        <f t="shared" si="9"/>
        <v>0</v>
      </c>
    </row>
    <row r="211" spans="1:11" ht="14.35" x14ac:dyDescent="0.5">
      <c r="A211" s="68" t="s">
        <v>467</v>
      </c>
      <c r="B211" s="68" t="s">
        <v>116</v>
      </c>
      <c r="C211" s="77"/>
      <c r="D211" s="80"/>
      <c r="E211" s="80"/>
      <c r="I211" s="79">
        <f t="shared" si="8"/>
        <v>0</v>
      </c>
      <c r="J211" s="78" t="s">
        <v>274</v>
      </c>
      <c r="K211" s="79">
        <f t="shared" si="9"/>
        <v>0</v>
      </c>
    </row>
    <row r="212" spans="1:11" ht="14.35" x14ac:dyDescent="0.5">
      <c r="A212" s="68" t="s">
        <v>468</v>
      </c>
      <c r="B212" s="68" t="s">
        <v>117</v>
      </c>
      <c r="C212" s="77"/>
      <c r="D212" s="80"/>
      <c r="E212" s="80"/>
      <c r="I212" s="79">
        <f t="shared" si="8"/>
        <v>0</v>
      </c>
      <c r="J212" s="78" t="s">
        <v>274</v>
      </c>
      <c r="K212" s="79">
        <f t="shared" si="9"/>
        <v>0</v>
      </c>
    </row>
    <row r="213" spans="1:11" ht="14.35" x14ac:dyDescent="0.5">
      <c r="A213" s="68" t="s">
        <v>469</v>
      </c>
      <c r="B213" s="68" t="s">
        <v>118</v>
      </c>
      <c r="C213" s="77"/>
      <c r="D213" s="80"/>
      <c r="E213" s="80"/>
      <c r="I213" s="79">
        <f t="shared" si="8"/>
        <v>0</v>
      </c>
      <c r="J213" s="78" t="s">
        <v>274</v>
      </c>
      <c r="K213" s="79">
        <f t="shared" si="9"/>
        <v>0</v>
      </c>
    </row>
    <row r="214" spans="1:11" ht="14.35" x14ac:dyDescent="0.5">
      <c r="A214" s="68" t="s">
        <v>470</v>
      </c>
      <c r="B214" s="68" t="s">
        <v>119</v>
      </c>
      <c r="C214" s="77"/>
      <c r="D214" s="80"/>
      <c r="E214" s="80"/>
      <c r="I214" s="79">
        <f t="shared" si="8"/>
        <v>0</v>
      </c>
      <c r="J214" s="78" t="s">
        <v>274</v>
      </c>
      <c r="K214" s="79">
        <f t="shared" si="9"/>
        <v>0</v>
      </c>
    </row>
    <row r="215" spans="1:11" ht="14.35" x14ac:dyDescent="0.5">
      <c r="A215" s="68" t="s">
        <v>471</v>
      </c>
      <c r="B215" s="68" t="s">
        <v>120</v>
      </c>
      <c r="C215" s="77"/>
      <c r="D215" s="80"/>
      <c r="E215" s="80"/>
      <c r="I215" s="79">
        <f t="shared" si="8"/>
        <v>0</v>
      </c>
      <c r="J215" s="78" t="s">
        <v>274</v>
      </c>
      <c r="K215" s="79">
        <f t="shared" si="9"/>
        <v>0</v>
      </c>
    </row>
    <row r="216" spans="1:11" ht="14.35" x14ac:dyDescent="0.5">
      <c r="A216" s="68" t="s">
        <v>472</v>
      </c>
      <c r="B216" s="68" t="s">
        <v>121</v>
      </c>
      <c r="C216" s="77"/>
      <c r="D216" s="80"/>
      <c r="E216" s="80"/>
      <c r="I216" s="79">
        <f t="shared" si="8"/>
        <v>0</v>
      </c>
      <c r="J216" s="78" t="s">
        <v>274</v>
      </c>
      <c r="K216" s="79">
        <f t="shared" si="9"/>
        <v>0</v>
      </c>
    </row>
    <row r="217" spans="1:11" ht="14.35" x14ac:dyDescent="0.5">
      <c r="A217" s="68" t="s">
        <v>473</v>
      </c>
      <c r="B217" s="68" t="s">
        <v>122</v>
      </c>
      <c r="C217" s="77"/>
      <c r="D217" s="80"/>
      <c r="E217" s="80"/>
      <c r="I217" s="79">
        <f t="shared" si="8"/>
        <v>0</v>
      </c>
      <c r="J217" s="78" t="s">
        <v>274</v>
      </c>
      <c r="K217" s="79">
        <f t="shared" si="9"/>
        <v>0</v>
      </c>
    </row>
    <row r="218" spans="1:11" ht="14.35" x14ac:dyDescent="0.5">
      <c r="A218" s="68" t="s">
        <v>474</v>
      </c>
      <c r="B218" s="68" t="s">
        <v>123</v>
      </c>
      <c r="C218" s="77"/>
      <c r="D218" s="80"/>
      <c r="E218" s="80"/>
      <c r="I218" s="79">
        <f t="shared" si="8"/>
        <v>0</v>
      </c>
      <c r="J218" s="78" t="s">
        <v>274</v>
      </c>
      <c r="K218" s="79">
        <f t="shared" si="9"/>
        <v>0</v>
      </c>
    </row>
    <row r="219" spans="1:11" ht="14.35" x14ac:dyDescent="0.5">
      <c r="A219" s="68" t="s">
        <v>475</v>
      </c>
      <c r="B219" s="68" t="s">
        <v>124</v>
      </c>
      <c r="C219" s="77"/>
      <c r="D219" s="80"/>
      <c r="E219" s="80"/>
      <c r="I219" s="79">
        <f t="shared" si="8"/>
        <v>0</v>
      </c>
      <c r="J219" s="78" t="s">
        <v>274</v>
      </c>
      <c r="K219" s="79">
        <f t="shared" si="9"/>
        <v>0</v>
      </c>
    </row>
    <row r="220" spans="1:11" ht="14.35" x14ac:dyDescent="0.5">
      <c r="A220" s="68" t="s">
        <v>476</v>
      </c>
      <c r="B220" s="68" t="s">
        <v>259</v>
      </c>
      <c r="C220" s="77"/>
      <c r="D220" s="80"/>
      <c r="E220" s="80"/>
      <c r="I220" s="79">
        <f t="shared" si="8"/>
        <v>0</v>
      </c>
      <c r="J220" s="78" t="s">
        <v>274</v>
      </c>
      <c r="K220" s="79">
        <f t="shared" si="9"/>
        <v>0</v>
      </c>
    </row>
    <row r="221" spans="1:11" ht="14.35" x14ac:dyDescent="0.5">
      <c r="A221" s="68" t="s">
        <v>619</v>
      </c>
      <c r="B221" s="68" t="s">
        <v>620</v>
      </c>
      <c r="C221" s="77"/>
      <c r="D221" s="80"/>
      <c r="E221" s="80"/>
      <c r="I221" s="79">
        <f t="shared" si="8"/>
        <v>0</v>
      </c>
      <c r="J221" s="78" t="s">
        <v>274</v>
      </c>
      <c r="K221" s="79">
        <f t="shared" si="9"/>
        <v>0</v>
      </c>
    </row>
    <row r="222" spans="1:11" ht="14.35" x14ac:dyDescent="0.5">
      <c r="A222" s="68" t="s">
        <v>621</v>
      </c>
      <c r="B222" s="68" t="s">
        <v>622</v>
      </c>
      <c r="C222" s="77"/>
      <c r="D222" s="80"/>
      <c r="E222" s="80"/>
      <c r="I222" s="79">
        <f t="shared" si="8"/>
        <v>0</v>
      </c>
      <c r="J222" s="78" t="s">
        <v>274</v>
      </c>
      <c r="K222" s="79">
        <f t="shared" si="9"/>
        <v>0</v>
      </c>
    </row>
    <row r="223" spans="1:11" ht="14.35" x14ac:dyDescent="0.5">
      <c r="A223" s="68" t="s">
        <v>636</v>
      </c>
      <c r="B223" s="68" t="s">
        <v>634</v>
      </c>
      <c r="C223" s="77"/>
      <c r="D223" s="80"/>
      <c r="E223" s="80"/>
      <c r="I223" s="79">
        <f t="shared" si="8"/>
        <v>0</v>
      </c>
      <c r="J223" s="78" t="s">
        <v>274</v>
      </c>
      <c r="K223" s="79">
        <f t="shared" si="9"/>
        <v>0</v>
      </c>
    </row>
    <row r="224" spans="1:11" ht="14.35" x14ac:dyDescent="0.5">
      <c r="A224" s="68" t="s">
        <v>644</v>
      </c>
      <c r="B224" s="68" t="s">
        <v>643</v>
      </c>
      <c r="C224" s="77"/>
      <c r="D224" s="80"/>
      <c r="E224" s="80"/>
      <c r="I224" s="79">
        <f t="shared" si="8"/>
        <v>0</v>
      </c>
      <c r="J224" s="78" t="s">
        <v>274</v>
      </c>
      <c r="K224" s="79">
        <f t="shared" si="9"/>
        <v>0</v>
      </c>
    </row>
    <row r="225" spans="1:11" ht="14.35" x14ac:dyDescent="0.5">
      <c r="A225" s="68" t="s">
        <v>648</v>
      </c>
      <c r="B225" s="68" t="s">
        <v>647</v>
      </c>
      <c r="C225" s="77"/>
      <c r="D225" s="80"/>
      <c r="E225" s="80"/>
      <c r="I225" s="79">
        <f t="shared" si="8"/>
        <v>0</v>
      </c>
      <c r="J225" s="78" t="s">
        <v>274</v>
      </c>
      <c r="K225" s="79">
        <f t="shared" si="9"/>
        <v>0</v>
      </c>
    </row>
    <row r="226" spans="1:11" ht="14.35" x14ac:dyDescent="0.5">
      <c r="A226" s="27" t="s">
        <v>656</v>
      </c>
      <c r="B226" s="27" t="s">
        <v>657</v>
      </c>
      <c r="C226" s="77"/>
      <c r="D226" s="80"/>
      <c r="E226" s="80"/>
      <c r="F226" s="80"/>
      <c r="G226" s="80"/>
      <c r="H226" s="80"/>
      <c r="I226" s="79">
        <f t="shared" si="8"/>
        <v>0</v>
      </c>
      <c r="J226" s="78" t="s">
        <v>274</v>
      </c>
      <c r="K226" s="79">
        <f t="shared" si="9"/>
        <v>0</v>
      </c>
    </row>
    <row r="227" spans="1:11" ht="14.35" x14ac:dyDescent="0.5">
      <c r="A227" s="27" t="s">
        <v>659</v>
      </c>
      <c r="B227" s="27" t="s">
        <v>660</v>
      </c>
      <c r="C227" s="77"/>
      <c r="D227" s="80"/>
      <c r="E227" s="80"/>
      <c r="F227" s="80"/>
      <c r="G227" s="80"/>
      <c r="H227" s="80"/>
      <c r="I227" s="79">
        <f t="shared" si="8"/>
        <v>0</v>
      </c>
      <c r="J227" s="78" t="s">
        <v>274</v>
      </c>
      <c r="K227" s="79">
        <f t="shared" si="9"/>
        <v>0</v>
      </c>
    </row>
    <row r="228" spans="1:11" ht="14.35" x14ac:dyDescent="0.5">
      <c r="A228" s="100" t="s">
        <v>678</v>
      </c>
      <c r="B228" s="100" t="s">
        <v>675</v>
      </c>
      <c r="C228" s="77"/>
      <c r="D228" s="80"/>
      <c r="E228" s="80"/>
      <c r="F228" s="80"/>
      <c r="G228" s="80"/>
      <c r="H228" s="80"/>
      <c r="I228" s="79">
        <f t="shared" si="8"/>
        <v>0</v>
      </c>
      <c r="J228" s="78" t="s">
        <v>274</v>
      </c>
      <c r="K228" s="79">
        <f t="shared" si="9"/>
        <v>0</v>
      </c>
    </row>
    <row r="229" spans="1:11" ht="14.35" x14ac:dyDescent="0.5">
      <c r="A229" s="100" t="s">
        <v>688</v>
      </c>
      <c r="B229" s="100" t="s">
        <v>689</v>
      </c>
      <c r="C229" s="77"/>
      <c r="D229" s="80"/>
      <c r="E229" s="80"/>
      <c r="F229" s="80"/>
      <c r="G229" s="80"/>
      <c r="H229" s="80"/>
      <c r="I229" s="79">
        <f t="shared" si="8"/>
        <v>0</v>
      </c>
      <c r="J229" s="78" t="s">
        <v>274</v>
      </c>
      <c r="K229" s="79">
        <f t="shared" si="9"/>
        <v>0</v>
      </c>
    </row>
    <row r="230" spans="1:11" ht="14.35" x14ac:dyDescent="0.5">
      <c r="A230" s="100" t="s">
        <v>690</v>
      </c>
      <c r="B230" s="100" t="s">
        <v>691</v>
      </c>
      <c r="C230" s="77"/>
      <c r="D230" s="80"/>
      <c r="E230" s="80"/>
      <c r="F230" s="80"/>
      <c r="G230" s="80"/>
      <c r="H230" s="80"/>
      <c r="I230" s="79">
        <f t="shared" si="8"/>
        <v>0</v>
      </c>
      <c r="J230" s="78" t="s">
        <v>274</v>
      </c>
      <c r="K230" s="79">
        <f t="shared" si="9"/>
        <v>0</v>
      </c>
    </row>
    <row r="231" spans="1:11" ht="14.35" x14ac:dyDescent="0.5">
      <c r="A231" s="100" t="s">
        <v>679</v>
      </c>
      <c r="B231" s="100" t="s">
        <v>677</v>
      </c>
      <c r="C231" s="77"/>
      <c r="D231" s="80"/>
      <c r="E231" s="80"/>
      <c r="F231" s="80"/>
      <c r="G231" s="80"/>
      <c r="H231" s="80"/>
      <c r="I231" s="79">
        <f t="shared" si="8"/>
        <v>0</v>
      </c>
      <c r="J231" s="78" t="s">
        <v>274</v>
      </c>
      <c r="K231" s="79">
        <f t="shared" si="9"/>
        <v>0</v>
      </c>
    </row>
    <row r="232" spans="1:11" ht="14.35" x14ac:dyDescent="0.5">
      <c r="A232" s="100" t="s">
        <v>686</v>
      </c>
      <c r="B232" s="100" t="s">
        <v>687</v>
      </c>
      <c r="C232" s="77"/>
      <c r="D232" s="80"/>
      <c r="E232" s="80"/>
      <c r="F232" s="80"/>
      <c r="G232" s="80"/>
      <c r="H232" s="80"/>
      <c r="I232" s="79">
        <f t="shared" si="8"/>
        <v>0</v>
      </c>
      <c r="J232" s="78" t="s">
        <v>274</v>
      </c>
      <c r="K232" s="79">
        <f t="shared" si="9"/>
        <v>0</v>
      </c>
    </row>
    <row r="233" spans="1:11" ht="14.35" x14ac:dyDescent="0.5">
      <c r="A233" s="71" t="s">
        <v>766</v>
      </c>
      <c r="B233" s="71" t="s">
        <v>763</v>
      </c>
      <c r="C233" s="77"/>
      <c r="D233" s="80"/>
      <c r="E233" s="80"/>
      <c r="F233" s="80"/>
      <c r="G233" s="80"/>
      <c r="H233" s="80"/>
      <c r="I233" s="79">
        <f t="shared" si="8"/>
        <v>0</v>
      </c>
      <c r="J233" s="78" t="s">
        <v>274</v>
      </c>
      <c r="K233" s="79">
        <f t="shared" si="9"/>
        <v>0</v>
      </c>
    </row>
    <row r="234" spans="1:11" ht="14.35" x14ac:dyDescent="0.5">
      <c r="A234" s="71" t="s">
        <v>767</v>
      </c>
      <c r="B234" s="71" t="s">
        <v>765</v>
      </c>
      <c r="C234" s="77"/>
      <c r="D234" s="80"/>
      <c r="E234" s="80"/>
      <c r="F234" s="80"/>
      <c r="G234" s="80"/>
      <c r="H234" s="80"/>
      <c r="I234" s="79">
        <f t="shared" si="8"/>
        <v>0</v>
      </c>
      <c r="J234" s="78" t="s">
        <v>274</v>
      </c>
      <c r="K234" s="79">
        <f t="shared" si="9"/>
        <v>0</v>
      </c>
    </row>
    <row r="235" spans="1:11" ht="14.35" x14ac:dyDescent="0.5">
      <c r="A235" s="71" t="s">
        <v>779</v>
      </c>
      <c r="B235" s="100" t="s">
        <v>776</v>
      </c>
      <c r="C235" s="77"/>
      <c r="D235" s="80"/>
      <c r="E235" s="80"/>
      <c r="F235" s="80"/>
      <c r="G235" s="80"/>
      <c r="H235" s="80"/>
      <c r="I235" s="79">
        <f t="shared" si="8"/>
        <v>0</v>
      </c>
      <c r="J235" s="78" t="s">
        <v>274</v>
      </c>
      <c r="K235" s="79">
        <f t="shared" si="9"/>
        <v>0</v>
      </c>
    </row>
    <row r="236" spans="1:11" ht="14.35" x14ac:dyDescent="0.5">
      <c r="A236" s="71" t="s">
        <v>780</v>
      </c>
      <c r="B236" s="100" t="s">
        <v>778</v>
      </c>
      <c r="C236" s="77"/>
      <c r="D236" s="80"/>
      <c r="E236" s="80"/>
      <c r="F236" s="80"/>
      <c r="G236" s="80"/>
      <c r="H236" s="80"/>
      <c r="I236" s="79">
        <f t="shared" si="8"/>
        <v>0</v>
      </c>
      <c r="J236" s="78" t="s">
        <v>274</v>
      </c>
      <c r="K236" s="79">
        <f t="shared" si="9"/>
        <v>0</v>
      </c>
    </row>
    <row r="237" spans="1:11" ht="14.35" x14ac:dyDescent="0.5">
      <c r="A237" s="100" t="s">
        <v>792</v>
      </c>
      <c r="B237" s="100" t="s">
        <v>789</v>
      </c>
      <c r="C237" s="77"/>
      <c r="D237" s="80"/>
      <c r="E237" s="80"/>
      <c r="F237" s="80"/>
      <c r="G237" s="80"/>
      <c r="H237" s="80"/>
      <c r="I237" s="79">
        <f t="shared" si="8"/>
        <v>0</v>
      </c>
      <c r="J237" s="78" t="s">
        <v>274</v>
      </c>
      <c r="K237" s="79">
        <f t="shared" si="9"/>
        <v>0</v>
      </c>
    </row>
    <row r="238" spans="1:11" ht="14.35" x14ac:dyDescent="0.5">
      <c r="A238" s="100" t="s">
        <v>793</v>
      </c>
      <c r="B238" s="100" t="s">
        <v>791</v>
      </c>
      <c r="C238" s="77"/>
      <c r="D238" s="80"/>
      <c r="E238" s="80"/>
      <c r="F238" s="80"/>
      <c r="G238" s="80"/>
      <c r="H238" s="80"/>
      <c r="I238" s="79">
        <f t="shared" si="8"/>
        <v>0</v>
      </c>
      <c r="J238" s="78" t="s">
        <v>274</v>
      </c>
      <c r="K238" s="79">
        <f t="shared" si="9"/>
        <v>0</v>
      </c>
    </row>
    <row r="239" spans="1:11" ht="14.35" x14ac:dyDescent="0.5">
      <c r="A239" s="100" t="s">
        <v>807</v>
      </c>
      <c r="B239" s="100" t="s">
        <v>804</v>
      </c>
      <c r="C239" s="77"/>
      <c r="D239" s="80"/>
      <c r="E239" s="80"/>
      <c r="F239" s="80"/>
      <c r="G239" s="80"/>
      <c r="H239" s="80"/>
      <c r="I239" s="79">
        <f t="shared" si="8"/>
        <v>0</v>
      </c>
      <c r="J239" s="78" t="s">
        <v>274</v>
      </c>
      <c r="K239" s="79">
        <f t="shared" si="9"/>
        <v>0</v>
      </c>
    </row>
    <row r="240" spans="1:11" ht="14.35" x14ac:dyDescent="0.5">
      <c r="A240" s="100" t="s">
        <v>816</v>
      </c>
      <c r="B240" s="100" t="s">
        <v>815</v>
      </c>
      <c r="C240" s="77"/>
      <c r="D240" s="80"/>
      <c r="E240" s="80"/>
      <c r="F240" s="80"/>
      <c r="G240" s="80"/>
      <c r="H240" s="80"/>
      <c r="I240" s="79">
        <f t="shared" si="8"/>
        <v>0</v>
      </c>
      <c r="J240" s="78" t="s">
        <v>274</v>
      </c>
      <c r="K240" s="79">
        <f t="shared" si="9"/>
        <v>0</v>
      </c>
    </row>
    <row r="241" spans="1:15" ht="14.35" x14ac:dyDescent="0.5">
      <c r="A241" s="100" t="s">
        <v>857</v>
      </c>
      <c r="B241" s="100" t="s">
        <v>856</v>
      </c>
      <c r="C241" s="77"/>
      <c r="D241" s="80"/>
      <c r="E241" s="80"/>
      <c r="F241" s="80"/>
      <c r="G241" s="80"/>
      <c r="H241" s="80"/>
      <c r="I241" s="79">
        <f t="shared" si="8"/>
        <v>0</v>
      </c>
      <c r="J241" s="78" t="s">
        <v>274</v>
      </c>
      <c r="K241" s="79">
        <f t="shared" si="9"/>
        <v>0</v>
      </c>
    </row>
    <row r="242" spans="1:15" ht="14.35" x14ac:dyDescent="0.5">
      <c r="A242" s="100" t="s">
        <v>865</v>
      </c>
      <c r="B242" s="100" t="s">
        <v>864</v>
      </c>
      <c r="C242" s="77"/>
      <c r="D242" s="80"/>
      <c r="E242" s="80"/>
      <c r="F242" s="80"/>
      <c r="G242" s="80"/>
      <c r="H242" s="80"/>
      <c r="I242" s="79">
        <f t="shared" ref="I242" si="10">SUM(C242:H242)</f>
        <v>0</v>
      </c>
      <c r="J242" s="78" t="s">
        <v>274</v>
      </c>
      <c r="K242" s="79">
        <f t="shared" ref="K242" si="11">I242</f>
        <v>0</v>
      </c>
    </row>
    <row r="243" spans="1:15" ht="14.35" x14ac:dyDescent="0.5">
      <c r="A243" s="91">
        <v>27151</v>
      </c>
      <c r="B243" s="68" t="s">
        <v>633</v>
      </c>
      <c r="C243" s="77"/>
      <c r="D243" s="80"/>
      <c r="I243" s="79">
        <f t="shared" si="8"/>
        <v>0</v>
      </c>
      <c r="J243" s="78" t="s">
        <v>274</v>
      </c>
      <c r="K243" s="79">
        <f t="shared" si="9"/>
        <v>0</v>
      </c>
      <c r="L243" s="77"/>
    </row>
    <row r="244" spans="1:15" ht="14.35" x14ac:dyDescent="0.5">
      <c r="A244" s="91">
        <v>27250</v>
      </c>
      <c r="B244" s="68" t="s">
        <v>772</v>
      </c>
      <c r="C244" s="77"/>
      <c r="E244" s="80"/>
      <c r="G244" s="78">
        <f>-D244</f>
        <v>0</v>
      </c>
      <c r="I244" s="79">
        <f t="shared" si="8"/>
        <v>0</v>
      </c>
      <c r="J244" s="78" t="s">
        <v>267</v>
      </c>
      <c r="K244" s="79">
        <f t="shared" si="9"/>
        <v>0</v>
      </c>
    </row>
    <row r="245" spans="1:15" ht="14.35" x14ac:dyDescent="0.5">
      <c r="A245" s="69" t="s">
        <v>770</v>
      </c>
      <c r="B245" s="68" t="s">
        <v>771</v>
      </c>
      <c r="C245" s="77"/>
      <c r="D245" s="80"/>
      <c r="G245" s="78">
        <f>-E245</f>
        <v>0</v>
      </c>
      <c r="I245" s="79">
        <f t="shared" si="8"/>
        <v>0</v>
      </c>
      <c r="J245" s="78" t="s">
        <v>267</v>
      </c>
      <c r="K245" s="79">
        <f t="shared" si="9"/>
        <v>0</v>
      </c>
    </row>
    <row r="246" spans="1:15" ht="14.35" x14ac:dyDescent="0.5">
      <c r="A246" s="68" t="s">
        <v>477</v>
      </c>
      <c r="B246" s="68" t="s">
        <v>137</v>
      </c>
      <c r="C246" s="77"/>
      <c r="D246" s="80"/>
      <c r="E246" s="80"/>
      <c r="I246" s="79">
        <f t="shared" si="8"/>
        <v>0</v>
      </c>
      <c r="J246" s="78" t="s">
        <v>861</v>
      </c>
      <c r="K246" s="79">
        <f t="shared" si="9"/>
        <v>0</v>
      </c>
    </row>
    <row r="247" spans="1:15" ht="14.35" x14ac:dyDescent="0.5">
      <c r="A247" s="69" t="s">
        <v>773</v>
      </c>
      <c r="B247" s="68" t="s">
        <v>605</v>
      </c>
      <c r="C247" s="77"/>
      <c r="E247" s="80"/>
      <c r="I247" s="79">
        <f t="shared" si="8"/>
        <v>0</v>
      </c>
      <c r="J247" s="78" t="s">
        <v>278</v>
      </c>
      <c r="K247" s="79">
        <f t="shared" si="9"/>
        <v>0</v>
      </c>
      <c r="N247" s="77"/>
    </row>
    <row r="248" spans="1:15" ht="14.35" x14ac:dyDescent="0.5">
      <c r="A248" s="69" t="s">
        <v>774</v>
      </c>
      <c r="B248" s="68" t="s">
        <v>606</v>
      </c>
      <c r="C248" s="77"/>
      <c r="E248" s="80"/>
      <c r="H248" s="78">
        <f>'P&amp;L - Detail 7.18'!I146</f>
        <v>0</v>
      </c>
      <c r="I248" s="79">
        <f>SUM(C248:H248)</f>
        <v>0</v>
      </c>
      <c r="J248" s="78" t="s">
        <v>278</v>
      </c>
      <c r="K248" s="79">
        <f t="shared" si="9"/>
        <v>0</v>
      </c>
    </row>
    <row r="249" spans="1:15" x14ac:dyDescent="0.4">
      <c r="A249" s="68" t="s">
        <v>478</v>
      </c>
      <c r="B249" s="68" t="s">
        <v>138</v>
      </c>
      <c r="C249" s="77"/>
      <c r="I249" s="79">
        <f t="shared" si="8"/>
        <v>0</v>
      </c>
      <c r="J249" s="78" t="s">
        <v>278</v>
      </c>
      <c r="K249" s="79">
        <f t="shared" si="9"/>
        <v>0</v>
      </c>
    </row>
    <row r="250" spans="1:15" x14ac:dyDescent="0.4">
      <c r="A250" s="68" t="s">
        <v>479</v>
      </c>
      <c r="B250" s="68" t="s">
        <v>139</v>
      </c>
      <c r="C250" s="77"/>
      <c r="F250" s="78">
        <f>-E250-D250</f>
        <v>0</v>
      </c>
      <c r="I250" s="79">
        <f t="shared" si="8"/>
        <v>0</v>
      </c>
      <c r="J250" s="78" t="s">
        <v>276</v>
      </c>
      <c r="K250" s="79">
        <f t="shared" si="9"/>
        <v>0</v>
      </c>
    </row>
    <row r="251" spans="1:15" ht="14.35" x14ac:dyDescent="0.5">
      <c r="A251" s="68" t="s">
        <v>480</v>
      </c>
      <c r="B251" s="68" t="s">
        <v>140</v>
      </c>
      <c r="C251" s="77"/>
      <c r="D251" s="80"/>
      <c r="E251" s="80"/>
      <c r="I251" s="79">
        <f t="shared" si="8"/>
        <v>0</v>
      </c>
      <c r="J251" s="78" t="s">
        <v>275</v>
      </c>
      <c r="K251" s="79">
        <f t="shared" si="9"/>
        <v>0</v>
      </c>
      <c r="M251" s="77"/>
    </row>
    <row r="252" spans="1:15" ht="14.35" x14ac:dyDescent="0.5">
      <c r="A252" s="68" t="s">
        <v>481</v>
      </c>
      <c r="B252" s="68" t="s">
        <v>141</v>
      </c>
      <c r="C252" s="77"/>
      <c r="D252" s="80"/>
      <c r="E252" s="80"/>
      <c r="I252" s="79">
        <f t="shared" si="8"/>
        <v>0</v>
      </c>
      <c r="J252" s="78" t="s">
        <v>277</v>
      </c>
      <c r="K252" s="79">
        <f t="shared" si="9"/>
        <v>0</v>
      </c>
      <c r="N252" s="77"/>
    </row>
    <row r="253" spans="1:15" x14ac:dyDescent="0.4">
      <c r="A253" s="68" t="s">
        <v>304</v>
      </c>
      <c r="B253" s="68" t="s">
        <v>142</v>
      </c>
      <c r="C253" s="77"/>
      <c r="I253" s="79">
        <f t="shared" si="8"/>
        <v>0</v>
      </c>
      <c r="J253" s="78" t="s">
        <v>278</v>
      </c>
      <c r="K253" s="79">
        <f t="shared" si="9"/>
        <v>0</v>
      </c>
    </row>
    <row r="254" spans="1:15" x14ac:dyDescent="0.4">
      <c r="A254" s="76" t="s">
        <v>483</v>
      </c>
      <c r="B254" s="8"/>
      <c r="C254" s="20">
        <f t="shared" ref="C254:K254" si="12">SUM(C6:C81)+SUM(C82:C253)</f>
        <v>0</v>
      </c>
      <c r="D254" s="20">
        <f t="shared" si="12"/>
        <v>0</v>
      </c>
      <c r="E254" s="20">
        <f t="shared" si="12"/>
        <v>0</v>
      </c>
      <c r="F254" s="20">
        <f t="shared" si="12"/>
        <v>0</v>
      </c>
      <c r="G254" s="20">
        <f t="shared" si="12"/>
        <v>0</v>
      </c>
      <c r="H254" s="20">
        <f t="shared" si="12"/>
        <v>0</v>
      </c>
      <c r="I254" s="20">
        <f t="shared" si="12"/>
        <v>0</v>
      </c>
      <c r="J254" s="20">
        <f t="shared" si="12"/>
        <v>0</v>
      </c>
      <c r="K254" s="20">
        <f t="shared" si="12"/>
        <v>0</v>
      </c>
      <c r="L254" s="20">
        <f>SUM(L6:L83)+SUM(L84:L253)</f>
        <v>0</v>
      </c>
      <c r="M254" s="20">
        <f>SUM(M6:M83)+SUM(M84:M253)</f>
        <v>0</v>
      </c>
      <c r="N254" s="20">
        <f>SUM(N6:N84)+SUM(N85:N253)</f>
        <v>0</v>
      </c>
      <c r="O254" s="20">
        <f>SUM(O6:O84)+SUM(O85:O253)</f>
        <v>0</v>
      </c>
    </row>
    <row r="255" spans="1:15" x14ac:dyDescent="0.4">
      <c r="B255" s="8"/>
      <c r="J255" s="78"/>
    </row>
    <row r="256" spans="1:15" x14ac:dyDescent="0.4">
      <c r="B256" s="8" t="s">
        <v>261</v>
      </c>
      <c r="J256" s="78"/>
    </row>
    <row r="257" spans="1:15" x14ac:dyDescent="0.4">
      <c r="B257" s="76" t="s">
        <v>285</v>
      </c>
      <c r="C257" s="78">
        <f>SUM(C6:C81)</f>
        <v>0</v>
      </c>
      <c r="D257" s="78">
        <f>SUM(D6:D81)</f>
        <v>0</v>
      </c>
      <c r="E257" s="78">
        <f>SUM(E6:E81)</f>
        <v>0</v>
      </c>
      <c r="J257" s="78"/>
      <c r="K257" s="78">
        <f>SUM(K6:K81)</f>
        <v>0</v>
      </c>
      <c r="L257" s="77"/>
    </row>
    <row r="258" spans="1:15" x14ac:dyDescent="0.4">
      <c r="B258" s="76" t="s">
        <v>286</v>
      </c>
      <c r="C258" s="78">
        <f>SUM(C82:C246)</f>
        <v>0</v>
      </c>
      <c r="D258" s="78">
        <f>SUM(D82:D246)</f>
        <v>0</v>
      </c>
      <c r="E258" s="78">
        <f>SUM(E82:E246)</f>
        <v>0</v>
      </c>
      <c r="H258" s="78">
        <f>374064.27+C253</f>
        <v>374064.27</v>
      </c>
      <c r="J258" s="78"/>
      <c r="K258" s="78">
        <f>SUM(K82:K246)</f>
        <v>0</v>
      </c>
      <c r="L258" s="77"/>
    </row>
    <row r="259" spans="1:15" x14ac:dyDescent="0.4">
      <c r="B259" s="76" t="s">
        <v>607</v>
      </c>
      <c r="C259" s="78">
        <f>SUM(C247:C253)</f>
        <v>0</v>
      </c>
      <c r="D259" s="78">
        <f>SUM(D247:D253)</f>
        <v>0</v>
      </c>
      <c r="E259" s="78">
        <f>SUM(E247:E253)</f>
        <v>0</v>
      </c>
      <c r="J259" s="78"/>
      <c r="K259" s="78">
        <f>SUM(K247:K253)</f>
        <v>0</v>
      </c>
      <c r="L259" s="77"/>
    </row>
    <row r="260" spans="1:15" x14ac:dyDescent="0.4">
      <c r="B260" s="76" t="s">
        <v>483</v>
      </c>
      <c r="C260" s="78">
        <f>SUM(C257:C259)</f>
        <v>0</v>
      </c>
      <c r="D260" s="78">
        <f>SUM(D257:D259)</f>
        <v>0</v>
      </c>
      <c r="E260" s="78">
        <f>SUM(E257:E259)</f>
        <v>0</v>
      </c>
      <c r="J260" s="78"/>
      <c r="K260" s="78">
        <f>SUM(K257:K259)</f>
        <v>0</v>
      </c>
      <c r="L260" s="77"/>
    </row>
    <row r="261" spans="1:15" x14ac:dyDescent="0.4">
      <c r="J261" s="78"/>
    </row>
    <row r="262" spans="1:15" x14ac:dyDescent="0.4">
      <c r="E262" s="76"/>
      <c r="F262" s="76"/>
      <c r="J262" s="78"/>
    </row>
    <row r="263" spans="1:15" x14ac:dyDescent="0.4">
      <c r="E263" s="76"/>
      <c r="F263" s="76"/>
      <c r="J263" s="78"/>
    </row>
    <row r="264" spans="1:15" x14ac:dyDescent="0.4">
      <c r="E264" s="76"/>
      <c r="F264" s="76"/>
      <c r="J264" s="78"/>
    </row>
    <row r="265" spans="1:15" x14ac:dyDescent="0.4">
      <c r="E265" s="76"/>
      <c r="F265" s="76"/>
      <c r="J265" s="78"/>
    </row>
    <row r="266" spans="1:15" x14ac:dyDescent="0.4">
      <c r="E266" s="76"/>
      <c r="F266" s="77">
        <f>D254/2</f>
        <v>0</v>
      </c>
      <c r="J266" s="78"/>
    </row>
    <row r="267" spans="1:15" s="79" customFormat="1" x14ac:dyDescent="0.4">
      <c r="A267" s="76"/>
      <c r="B267" s="76"/>
      <c r="C267" s="78"/>
      <c r="D267" s="78"/>
      <c r="E267" s="78"/>
      <c r="F267" s="78"/>
      <c r="G267" s="78"/>
      <c r="H267" s="78"/>
      <c r="J267" s="78"/>
      <c r="L267" s="77" t="s">
        <v>261</v>
      </c>
      <c r="M267" s="76"/>
      <c r="N267" s="76"/>
      <c r="O267" s="76"/>
    </row>
    <row r="268" spans="1:15" s="79" customFormat="1" x14ac:dyDescent="0.4">
      <c r="A268" s="76"/>
      <c r="B268" s="76"/>
      <c r="C268" s="78"/>
      <c r="D268" s="78"/>
      <c r="E268" s="78"/>
      <c r="F268" s="78"/>
      <c r="G268" s="78"/>
      <c r="H268" s="78"/>
      <c r="J268" s="78"/>
      <c r="L268" s="76"/>
      <c r="M268" s="76"/>
      <c r="N268" s="76"/>
      <c r="O268" s="76"/>
    </row>
    <row r="269" spans="1:15" s="79" customFormat="1" x14ac:dyDescent="0.4">
      <c r="A269" s="76"/>
      <c r="B269" s="76"/>
      <c r="C269" s="78"/>
      <c r="D269" s="78"/>
      <c r="E269" s="78"/>
      <c r="F269" s="78"/>
      <c r="G269" s="78"/>
      <c r="H269" s="78"/>
      <c r="J269" s="78"/>
      <c r="L269" s="76"/>
      <c r="M269" s="76"/>
      <c r="N269" s="76"/>
      <c r="O269" s="76"/>
    </row>
    <row r="270" spans="1:15" s="79" customFormat="1" x14ac:dyDescent="0.4">
      <c r="A270" s="76"/>
      <c r="B270" s="76"/>
      <c r="C270" s="78"/>
      <c r="D270" s="78"/>
      <c r="E270" s="78"/>
      <c r="F270" s="78"/>
      <c r="G270" s="78"/>
      <c r="H270" s="78"/>
      <c r="J270" s="78"/>
      <c r="L270" s="76"/>
      <c r="M270" s="76"/>
      <c r="N270" s="76"/>
      <c r="O270" s="76"/>
    </row>
    <row r="271" spans="1:15" s="79" customFormat="1" x14ac:dyDescent="0.4">
      <c r="A271" s="76"/>
      <c r="B271" s="76"/>
      <c r="C271" s="78"/>
      <c r="D271" s="78"/>
      <c r="E271" s="78"/>
      <c r="F271" s="78"/>
      <c r="G271" s="78"/>
      <c r="H271" s="78"/>
      <c r="J271" s="78"/>
      <c r="L271" s="76"/>
      <c r="M271" s="76"/>
      <c r="N271" s="76"/>
      <c r="O271" s="76"/>
    </row>
    <row r="272" spans="1:15" s="79" customFormat="1" x14ac:dyDescent="0.4">
      <c r="A272" s="76"/>
      <c r="B272" s="76"/>
      <c r="C272" s="78"/>
      <c r="D272" s="78"/>
      <c r="E272" s="78"/>
      <c r="F272" s="78"/>
      <c r="G272" s="78"/>
      <c r="H272" s="78"/>
      <c r="J272" s="78"/>
      <c r="L272" s="76"/>
      <c r="M272" s="76"/>
      <c r="N272" s="76"/>
      <c r="O272" s="76"/>
    </row>
    <row r="273" spans="1:15" s="79" customFormat="1" x14ac:dyDescent="0.4">
      <c r="A273" s="76"/>
      <c r="B273" s="76"/>
      <c r="C273" s="78"/>
      <c r="D273" s="78"/>
      <c r="E273" s="78"/>
      <c r="F273" s="78"/>
      <c r="G273" s="78"/>
      <c r="H273" s="78"/>
      <c r="J273" s="78"/>
      <c r="L273" s="76"/>
      <c r="M273" s="76"/>
      <c r="N273" s="76"/>
      <c r="O273" s="76"/>
    </row>
    <row r="274" spans="1:15" s="79" customFormat="1" x14ac:dyDescent="0.4">
      <c r="A274" s="76"/>
      <c r="B274" s="76"/>
      <c r="C274" s="78"/>
      <c r="D274" s="78"/>
      <c r="E274" s="78"/>
      <c r="F274" s="78"/>
      <c r="G274" s="78"/>
      <c r="H274" s="78"/>
      <c r="J274" s="78"/>
      <c r="L274" s="76"/>
      <c r="M274" s="76"/>
      <c r="N274" s="76"/>
      <c r="O274" s="76"/>
    </row>
    <row r="275" spans="1:15" s="79" customFormat="1" x14ac:dyDescent="0.4">
      <c r="A275" s="76"/>
      <c r="B275" s="76"/>
      <c r="C275" s="78"/>
      <c r="D275" s="78"/>
      <c r="E275" s="78"/>
      <c r="F275" s="78"/>
      <c r="G275" s="78"/>
      <c r="H275" s="78"/>
      <c r="J275" s="78"/>
      <c r="L275" s="76"/>
      <c r="M275" s="76"/>
      <c r="N275" s="76"/>
      <c r="O275" s="76"/>
    </row>
    <row r="276" spans="1:15" s="79" customFormat="1" x14ac:dyDescent="0.4">
      <c r="A276" s="76"/>
      <c r="B276" s="76"/>
      <c r="C276" s="78"/>
      <c r="D276" s="78"/>
      <c r="E276" s="78"/>
      <c r="F276" s="78"/>
      <c r="G276" s="78"/>
      <c r="H276" s="78"/>
      <c r="J276" s="78"/>
      <c r="L276" s="76"/>
      <c r="M276" s="76"/>
      <c r="N276" s="76"/>
      <c r="O276" s="76"/>
    </row>
    <row r="277" spans="1:15" s="79" customFormat="1" x14ac:dyDescent="0.4">
      <c r="A277" s="76"/>
      <c r="B277" s="76"/>
      <c r="C277" s="78"/>
      <c r="D277" s="78"/>
      <c r="E277" s="78"/>
      <c r="F277" s="78"/>
      <c r="G277" s="78"/>
      <c r="H277" s="78"/>
      <c r="J277" s="78"/>
      <c r="L277" s="76"/>
      <c r="M277" s="76"/>
      <c r="N277" s="76"/>
      <c r="O277" s="76"/>
    </row>
    <row r="278" spans="1:15" s="79" customFormat="1" x14ac:dyDescent="0.4">
      <c r="A278" s="76"/>
      <c r="B278" s="76"/>
      <c r="C278" s="78"/>
      <c r="D278" s="78"/>
      <c r="E278" s="78"/>
      <c r="F278" s="78"/>
      <c r="G278" s="78"/>
      <c r="H278" s="78"/>
      <c r="J278" s="78"/>
      <c r="L278" s="76"/>
      <c r="M278" s="76"/>
      <c r="N278" s="76"/>
      <c r="O278" s="76"/>
    </row>
    <row r="279" spans="1:15" s="79" customFormat="1" x14ac:dyDescent="0.4">
      <c r="A279" s="76"/>
      <c r="B279" s="76"/>
      <c r="C279" s="78"/>
      <c r="D279" s="78"/>
      <c r="E279" s="78"/>
      <c r="F279" s="78"/>
      <c r="G279" s="78"/>
      <c r="H279" s="78"/>
      <c r="J279" s="78"/>
      <c r="L279" s="76"/>
      <c r="M279" s="76"/>
      <c r="N279" s="76"/>
      <c r="O279" s="76"/>
    </row>
    <row r="280" spans="1:15" s="79" customFormat="1" x14ac:dyDescent="0.4">
      <c r="A280" s="76"/>
      <c r="B280" s="76"/>
      <c r="C280" s="78"/>
      <c r="D280" s="78"/>
      <c r="E280" s="78"/>
      <c r="F280" s="78"/>
      <c r="G280" s="78"/>
      <c r="H280" s="78"/>
      <c r="J280" s="78"/>
      <c r="L280" s="76"/>
      <c r="M280" s="76"/>
      <c r="N280" s="76"/>
      <c r="O280" s="76"/>
    </row>
    <row r="281" spans="1:15" s="79" customFormat="1" x14ac:dyDescent="0.4">
      <c r="A281" s="76"/>
      <c r="B281" s="76"/>
      <c r="C281" s="78"/>
      <c r="D281" s="78"/>
      <c r="E281" s="78"/>
      <c r="F281" s="78"/>
      <c r="G281" s="78"/>
      <c r="H281" s="78"/>
      <c r="J281" s="78"/>
      <c r="L281" s="76"/>
      <c r="M281" s="76"/>
      <c r="N281" s="76"/>
      <c r="O281" s="76"/>
    </row>
    <row r="282" spans="1:15" s="79" customFormat="1" x14ac:dyDescent="0.4">
      <c r="A282" s="76"/>
      <c r="B282" s="76" t="s">
        <v>808</v>
      </c>
      <c r="C282" s="78"/>
      <c r="D282" s="78"/>
      <c r="E282" s="78"/>
      <c r="F282" s="78"/>
      <c r="G282" s="78"/>
      <c r="H282" s="78"/>
      <c r="J282" s="78"/>
      <c r="K282" s="79">
        <f>SUM(K175:K243)+SUM(K124:K168)+SUM(K89:K113)</f>
        <v>0</v>
      </c>
      <c r="L282" s="76"/>
      <c r="M282" s="76"/>
      <c r="N282" s="76"/>
      <c r="O282" s="76"/>
    </row>
    <row r="283" spans="1:15" s="79" customFormat="1" x14ac:dyDescent="0.4">
      <c r="A283" s="76"/>
      <c r="B283" s="76"/>
      <c r="C283" s="78"/>
      <c r="D283" s="78"/>
      <c r="E283" s="78"/>
      <c r="F283" s="78"/>
      <c r="G283" s="78"/>
      <c r="H283" s="78"/>
      <c r="J283" s="78"/>
      <c r="L283" s="76"/>
      <c r="M283" s="76"/>
      <c r="N283" s="76"/>
      <c r="O283" s="76"/>
    </row>
    <row r="284" spans="1:15" s="79" customFormat="1" x14ac:dyDescent="0.4">
      <c r="A284" s="76"/>
      <c r="B284" s="76"/>
      <c r="C284" s="78"/>
      <c r="D284" s="78"/>
      <c r="E284" s="78"/>
      <c r="F284" s="78"/>
      <c r="G284" s="78"/>
      <c r="H284" s="78"/>
      <c r="J284" s="78"/>
      <c r="L284" s="76"/>
      <c r="M284" s="76"/>
      <c r="N284" s="76"/>
      <c r="O284" s="76"/>
    </row>
    <row r="285" spans="1:15" s="79" customFormat="1" x14ac:dyDescent="0.4">
      <c r="A285" s="76"/>
      <c r="B285" s="76"/>
      <c r="C285" s="78"/>
      <c r="D285" s="78"/>
      <c r="E285" s="78"/>
      <c r="F285" s="78"/>
      <c r="G285" s="78"/>
      <c r="H285" s="78"/>
      <c r="J285" s="78"/>
      <c r="L285" s="76"/>
      <c r="M285" s="76"/>
      <c r="N285" s="76"/>
      <c r="O285" s="76"/>
    </row>
    <row r="286" spans="1:15" s="79" customFormat="1" x14ac:dyDescent="0.4">
      <c r="A286" s="76"/>
      <c r="B286" s="76"/>
      <c r="C286" s="78"/>
      <c r="D286" s="78"/>
      <c r="E286" s="78"/>
      <c r="F286" s="78"/>
      <c r="G286" s="78"/>
      <c r="H286" s="78"/>
      <c r="J286" s="78"/>
      <c r="L286" s="76"/>
      <c r="M286" s="76"/>
      <c r="N286" s="76"/>
      <c r="O286" s="76"/>
    </row>
    <row r="287" spans="1:15" s="79" customFormat="1" x14ac:dyDescent="0.4">
      <c r="A287" s="76"/>
      <c r="B287" s="76"/>
      <c r="C287" s="78"/>
      <c r="D287" s="78"/>
      <c r="E287" s="78"/>
      <c r="F287" s="78"/>
      <c r="G287" s="78"/>
      <c r="H287" s="78"/>
      <c r="J287" s="78"/>
      <c r="L287" s="76"/>
      <c r="M287" s="76"/>
      <c r="N287" s="76"/>
      <c r="O287" s="76"/>
    </row>
    <row r="288" spans="1:15" s="79" customFormat="1" x14ac:dyDescent="0.4">
      <c r="A288" s="76"/>
      <c r="B288" s="76"/>
      <c r="C288" s="78"/>
      <c r="D288" s="78"/>
      <c r="E288" s="78"/>
      <c r="F288" s="78"/>
      <c r="G288" s="78"/>
      <c r="H288" s="78"/>
      <c r="J288" s="78"/>
      <c r="L288" s="76"/>
      <c r="M288" s="76"/>
      <c r="N288" s="76"/>
      <c r="O288" s="76"/>
    </row>
    <row r="289" spans="1:15" s="79" customFormat="1" x14ac:dyDescent="0.4">
      <c r="A289" s="76"/>
      <c r="B289" s="76"/>
      <c r="C289" s="78"/>
      <c r="D289" s="78"/>
      <c r="E289" s="78"/>
      <c r="F289" s="78"/>
      <c r="G289" s="78"/>
      <c r="H289" s="78"/>
      <c r="J289" s="78"/>
      <c r="L289" s="76"/>
      <c r="M289" s="76"/>
      <c r="N289" s="76"/>
      <c r="O289" s="76"/>
    </row>
    <row r="290" spans="1:15" s="79" customFormat="1" x14ac:dyDescent="0.4">
      <c r="A290" s="76"/>
      <c r="B290" s="76"/>
      <c r="C290" s="78"/>
      <c r="D290" s="78"/>
      <c r="E290" s="78"/>
      <c r="F290" s="78"/>
      <c r="G290" s="78"/>
      <c r="H290" s="78"/>
      <c r="J290" s="78"/>
      <c r="L290" s="76"/>
      <c r="M290" s="76"/>
      <c r="N290" s="76"/>
      <c r="O290" s="76"/>
    </row>
    <row r="291" spans="1:15" s="79" customFormat="1" x14ac:dyDescent="0.4">
      <c r="A291" s="76"/>
      <c r="B291" s="76"/>
      <c r="C291" s="78"/>
      <c r="D291" s="78"/>
      <c r="E291" s="78"/>
      <c r="F291" s="78"/>
      <c r="G291" s="78"/>
      <c r="H291" s="78"/>
      <c r="J291" s="78"/>
      <c r="L291" s="76"/>
      <c r="M291" s="76"/>
      <c r="N291" s="76"/>
      <c r="O291" s="76"/>
    </row>
    <row r="292" spans="1:15" s="79" customFormat="1" x14ac:dyDescent="0.4">
      <c r="A292" s="76"/>
      <c r="B292" s="76"/>
      <c r="C292" s="78"/>
      <c r="D292" s="78"/>
      <c r="E292" s="78"/>
      <c r="F292" s="78"/>
      <c r="G292" s="78"/>
      <c r="H292" s="78"/>
      <c r="J292" s="78"/>
      <c r="L292" s="76"/>
      <c r="M292" s="76"/>
      <c r="N292" s="76"/>
      <c r="O292" s="76"/>
    </row>
    <row r="293" spans="1:15" s="79" customFormat="1" x14ac:dyDescent="0.4">
      <c r="A293" s="76"/>
      <c r="B293" s="76"/>
      <c r="C293" s="78"/>
      <c r="D293" s="78"/>
      <c r="E293" s="78"/>
      <c r="F293" s="78"/>
      <c r="G293" s="78"/>
      <c r="H293" s="78"/>
      <c r="J293" s="78"/>
      <c r="L293" s="76"/>
      <c r="M293" s="76"/>
      <c r="N293" s="76"/>
      <c r="O293" s="76"/>
    </row>
    <row r="294" spans="1:15" s="79" customFormat="1" x14ac:dyDescent="0.4">
      <c r="A294" s="76"/>
      <c r="B294" s="76"/>
      <c r="C294" s="78"/>
      <c r="D294" s="78"/>
      <c r="E294" s="78"/>
      <c r="F294" s="78"/>
      <c r="G294" s="78"/>
      <c r="H294" s="78"/>
      <c r="J294" s="78"/>
      <c r="L294" s="76"/>
      <c r="M294" s="76"/>
      <c r="N294" s="76"/>
      <c r="O294" s="76"/>
    </row>
    <row r="295" spans="1:15" s="79" customFormat="1" x14ac:dyDescent="0.4">
      <c r="A295" s="76"/>
      <c r="B295" s="76"/>
      <c r="C295" s="78"/>
      <c r="D295" s="78"/>
      <c r="E295" s="78"/>
      <c r="F295" s="78"/>
      <c r="G295" s="78"/>
      <c r="H295" s="78"/>
      <c r="J295" s="78"/>
      <c r="L295" s="76"/>
      <c r="M295" s="76"/>
      <c r="N295" s="76"/>
      <c r="O295" s="76"/>
    </row>
    <row r="296" spans="1:15" s="79" customFormat="1" x14ac:dyDescent="0.4">
      <c r="A296" s="76"/>
      <c r="B296" s="76"/>
      <c r="C296" s="78"/>
      <c r="D296" s="78"/>
      <c r="E296" s="78"/>
      <c r="F296" s="78"/>
      <c r="G296" s="78"/>
      <c r="H296" s="78"/>
      <c r="J296" s="78"/>
      <c r="L296" s="76"/>
      <c r="M296" s="76"/>
      <c r="N296" s="76"/>
      <c r="O296" s="76"/>
    </row>
    <row r="297" spans="1:15" s="79" customFormat="1" x14ac:dyDescent="0.4">
      <c r="A297" s="76"/>
      <c r="B297" s="76"/>
      <c r="C297" s="78"/>
      <c r="D297" s="78"/>
      <c r="E297" s="78"/>
      <c r="F297" s="78"/>
      <c r="G297" s="78"/>
      <c r="H297" s="78"/>
      <c r="J297" s="78"/>
      <c r="L297" s="76"/>
      <c r="M297" s="76"/>
      <c r="N297" s="76"/>
      <c r="O297" s="76"/>
    </row>
    <row r="298" spans="1:15" s="79" customFormat="1" x14ac:dyDescent="0.4">
      <c r="A298" s="76"/>
      <c r="B298" s="76"/>
      <c r="C298" s="78"/>
      <c r="D298" s="78"/>
      <c r="E298" s="78"/>
      <c r="F298" s="78"/>
      <c r="G298" s="78"/>
      <c r="H298" s="78"/>
      <c r="J298" s="78"/>
      <c r="L298" s="76"/>
      <c r="M298" s="76"/>
      <c r="N298" s="76"/>
      <c r="O298" s="76"/>
    </row>
    <row r="299" spans="1:15" s="79" customFormat="1" x14ac:dyDescent="0.4">
      <c r="A299" s="76"/>
      <c r="B299" s="76"/>
      <c r="C299" s="78"/>
      <c r="D299" s="78"/>
      <c r="E299" s="78"/>
      <c r="F299" s="78"/>
      <c r="G299" s="78"/>
      <c r="H299" s="78"/>
      <c r="J299" s="78"/>
      <c r="L299" s="76"/>
      <c r="M299" s="76"/>
      <c r="N299" s="76"/>
      <c r="O299" s="76"/>
    </row>
    <row r="300" spans="1:15" s="79" customFormat="1" x14ac:dyDescent="0.4">
      <c r="A300" s="76"/>
      <c r="B300" s="76"/>
      <c r="C300" s="78"/>
      <c r="D300" s="78"/>
      <c r="E300" s="78"/>
      <c r="F300" s="78"/>
      <c r="G300" s="78"/>
      <c r="H300" s="78"/>
      <c r="J300" s="78"/>
      <c r="L300" s="76"/>
      <c r="M300" s="76"/>
      <c r="N300" s="76"/>
      <c r="O300" s="76"/>
    </row>
    <row r="301" spans="1:15" s="79" customFormat="1" x14ac:dyDescent="0.4">
      <c r="A301" s="76"/>
      <c r="B301" s="76"/>
      <c r="C301" s="78"/>
      <c r="D301" s="78"/>
      <c r="E301" s="78"/>
      <c r="F301" s="78"/>
      <c r="G301" s="78"/>
      <c r="H301" s="78"/>
      <c r="J301" s="78"/>
      <c r="L301" s="76"/>
      <c r="M301" s="76"/>
      <c r="N301" s="76"/>
      <c r="O301" s="76"/>
    </row>
    <row r="302" spans="1:15" s="79" customFormat="1" x14ac:dyDescent="0.4">
      <c r="A302" s="76"/>
      <c r="B302" s="76"/>
      <c r="C302" s="78"/>
      <c r="D302" s="78"/>
      <c r="E302" s="78"/>
      <c r="F302" s="78"/>
      <c r="G302" s="78"/>
      <c r="H302" s="78"/>
      <c r="J302" s="78"/>
      <c r="L302" s="76"/>
      <c r="M302" s="76"/>
      <c r="N302" s="76"/>
      <c r="O302" s="76"/>
    </row>
    <row r="303" spans="1:15" s="79" customFormat="1" x14ac:dyDescent="0.4">
      <c r="A303" s="76"/>
      <c r="B303" s="76"/>
      <c r="C303" s="78"/>
      <c r="D303" s="78"/>
      <c r="E303" s="78"/>
      <c r="F303" s="78"/>
      <c r="G303" s="78"/>
      <c r="H303" s="78"/>
      <c r="J303" s="78"/>
      <c r="L303" s="76"/>
      <c r="M303" s="76"/>
      <c r="N303" s="76"/>
      <c r="O303" s="76"/>
    </row>
    <row r="304" spans="1:15" s="79" customFormat="1" x14ac:dyDescent="0.4">
      <c r="A304" s="76"/>
      <c r="B304" s="76"/>
      <c r="C304" s="78"/>
      <c r="D304" s="78"/>
      <c r="E304" s="78"/>
      <c r="F304" s="78"/>
      <c r="G304" s="78"/>
      <c r="H304" s="78"/>
      <c r="J304" s="78"/>
      <c r="L304" s="76"/>
      <c r="M304" s="76"/>
      <c r="N304" s="76"/>
      <c r="O304" s="76"/>
    </row>
    <row r="305" spans="1:15" s="79" customFormat="1" x14ac:dyDescent="0.4">
      <c r="A305" s="76"/>
      <c r="B305" s="76"/>
      <c r="C305" s="78"/>
      <c r="D305" s="78"/>
      <c r="E305" s="78"/>
      <c r="F305" s="78"/>
      <c r="G305" s="78"/>
      <c r="H305" s="78"/>
      <c r="J305" s="78"/>
      <c r="L305" s="76"/>
      <c r="M305" s="76"/>
      <c r="N305" s="76"/>
      <c r="O305" s="76"/>
    </row>
    <row r="306" spans="1:15" s="79" customFormat="1" x14ac:dyDescent="0.4">
      <c r="A306" s="76"/>
      <c r="B306" s="76"/>
      <c r="C306" s="78"/>
      <c r="D306" s="78"/>
      <c r="E306" s="78"/>
      <c r="F306" s="78"/>
      <c r="G306" s="78"/>
      <c r="H306" s="78"/>
      <c r="J306" s="78"/>
      <c r="L306" s="76"/>
      <c r="M306" s="76"/>
      <c r="N306" s="76"/>
      <c r="O306" s="76"/>
    </row>
    <row r="307" spans="1:15" s="79" customFormat="1" x14ac:dyDescent="0.4">
      <c r="A307" s="76"/>
      <c r="B307" s="76"/>
      <c r="C307" s="78"/>
      <c r="D307" s="78"/>
      <c r="E307" s="78"/>
      <c r="F307" s="78"/>
      <c r="G307" s="78"/>
      <c r="H307" s="78"/>
      <c r="J307" s="78"/>
      <c r="L307" s="76"/>
      <c r="M307" s="76"/>
      <c r="N307" s="76"/>
      <c r="O307" s="76"/>
    </row>
    <row r="308" spans="1:15" s="79" customFormat="1" x14ac:dyDescent="0.4">
      <c r="A308" s="76"/>
      <c r="B308" s="76"/>
      <c r="C308" s="78"/>
      <c r="D308" s="78"/>
      <c r="E308" s="78"/>
      <c r="F308" s="78"/>
      <c r="G308" s="78"/>
      <c r="H308" s="78"/>
      <c r="J308" s="78"/>
      <c r="L308" s="76"/>
      <c r="M308" s="76"/>
      <c r="N308" s="76"/>
      <c r="O308" s="76"/>
    </row>
    <row r="309" spans="1:15" s="79" customFormat="1" x14ac:dyDescent="0.4">
      <c r="A309" s="76"/>
      <c r="B309" s="76"/>
      <c r="C309" s="78"/>
      <c r="D309" s="78"/>
      <c r="E309" s="78"/>
      <c r="F309" s="78"/>
      <c r="G309" s="78"/>
      <c r="H309" s="78"/>
      <c r="J309" s="78"/>
      <c r="L309" s="76"/>
      <c r="M309" s="76"/>
      <c r="N309" s="76"/>
      <c r="O309" s="76"/>
    </row>
    <row r="310" spans="1:15" s="79" customFormat="1" x14ac:dyDescent="0.4">
      <c r="A310" s="76"/>
      <c r="B310" s="76"/>
      <c r="C310" s="78"/>
      <c r="D310" s="78"/>
      <c r="E310" s="78"/>
      <c r="F310" s="78"/>
      <c r="G310" s="78"/>
      <c r="H310" s="78"/>
      <c r="J310" s="78"/>
      <c r="L310" s="76"/>
      <c r="M310" s="76"/>
      <c r="N310" s="76"/>
      <c r="O310" s="76"/>
    </row>
    <row r="311" spans="1:15" s="79" customFormat="1" x14ac:dyDescent="0.4">
      <c r="A311" s="76"/>
      <c r="B311" s="76"/>
      <c r="C311" s="78"/>
      <c r="D311" s="78"/>
      <c r="E311" s="78"/>
      <c r="F311" s="78"/>
      <c r="G311" s="78"/>
      <c r="H311" s="78"/>
      <c r="J311" s="78"/>
      <c r="L311" s="76"/>
      <c r="M311" s="76"/>
      <c r="N311" s="76"/>
      <c r="O311" s="76"/>
    </row>
    <row r="312" spans="1:15" s="79" customFormat="1" x14ac:dyDescent="0.4">
      <c r="A312" s="76"/>
      <c r="B312" s="76"/>
      <c r="C312" s="78"/>
      <c r="D312" s="78"/>
      <c r="E312" s="78"/>
      <c r="F312" s="78"/>
      <c r="G312" s="78"/>
      <c r="H312" s="78"/>
      <c r="J312" s="78"/>
      <c r="L312" s="76"/>
      <c r="M312" s="76"/>
      <c r="N312" s="76"/>
      <c r="O312" s="76"/>
    </row>
    <row r="313" spans="1:15" s="79" customFormat="1" x14ac:dyDescent="0.4">
      <c r="A313" s="76"/>
      <c r="B313" s="76"/>
      <c r="C313" s="78"/>
      <c r="D313" s="78"/>
      <c r="E313" s="78"/>
      <c r="F313" s="78"/>
      <c r="G313" s="78"/>
      <c r="H313" s="78"/>
      <c r="J313" s="78"/>
      <c r="L313" s="76"/>
      <c r="M313" s="76"/>
      <c r="N313" s="76"/>
      <c r="O313" s="76"/>
    </row>
    <row r="314" spans="1:15" s="79" customFormat="1" x14ac:dyDescent="0.4">
      <c r="A314" s="76"/>
      <c r="B314" s="76"/>
      <c r="C314" s="78"/>
      <c r="D314" s="78"/>
      <c r="E314" s="78"/>
      <c r="F314" s="78"/>
      <c r="G314" s="78"/>
      <c r="H314" s="78"/>
      <c r="J314" s="78"/>
      <c r="L314" s="76"/>
      <c r="M314" s="76"/>
      <c r="N314" s="76"/>
      <c r="O314" s="76"/>
    </row>
    <row r="315" spans="1:15" s="79" customFormat="1" x14ac:dyDescent="0.4">
      <c r="A315" s="76"/>
      <c r="B315" s="76"/>
      <c r="C315" s="78"/>
      <c r="D315" s="78"/>
      <c r="E315" s="78"/>
      <c r="F315" s="78"/>
      <c r="G315" s="78"/>
      <c r="H315" s="78"/>
      <c r="J315" s="78"/>
      <c r="L315" s="76"/>
      <c r="M315" s="76"/>
      <c r="N315" s="76"/>
      <c r="O315" s="76"/>
    </row>
    <row r="316" spans="1:15" s="79" customFormat="1" x14ac:dyDescent="0.4">
      <c r="A316" s="76"/>
      <c r="B316" s="76"/>
      <c r="C316" s="78"/>
      <c r="D316" s="78"/>
      <c r="E316" s="78"/>
      <c r="F316" s="78"/>
      <c r="G316" s="78"/>
      <c r="H316" s="78"/>
      <c r="J316" s="78"/>
      <c r="L316" s="76"/>
      <c r="M316" s="76"/>
      <c r="N316" s="76"/>
      <c r="O316" s="76"/>
    </row>
    <row r="317" spans="1:15" s="79" customFormat="1" x14ac:dyDescent="0.4">
      <c r="A317" s="76"/>
      <c r="B317" s="76"/>
      <c r="C317" s="78"/>
      <c r="D317" s="78"/>
      <c r="E317" s="78"/>
      <c r="F317" s="78"/>
      <c r="G317" s="78"/>
      <c r="H317" s="78"/>
      <c r="J317" s="78"/>
      <c r="L317" s="76"/>
      <c r="M317" s="76"/>
      <c r="N317" s="76"/>
      <c r="O317" s="76"/>
    </row>
    <row r="318" spans="1:15" s="79" customFormat="1" x14ac:dyDescent="0.4">
      <c r="A318" s="76"/>
      <c r="B318" s="76"/>
      <c r="C318" s="78"/>
      <c r="D318" s="78"/>
      <c r="E318" s="78"/>
      <c r="F318" s="78"/>
      <c r="G318" s="78"/>
      <c r="H318" s="78"/>
      <c r="J318" s="78"/>
      <c r="L318" s="76"/>
      <c r="M318" s="76"/>
      <c r="N318" s="76"/>
      <c r="O318" s="76"/>
    </row>
    <row r="319" spans="1:15" s="79" customFormat="1" x14ac:dyDescent="0.4">
      <c r="A319" s="76"/>
      <c r="B319" s="76"/>
      <c r="C319" s="78"/>
      <c r="D319" s="78"/>
      <c r="E319" s="78"/>
      <c r="F319" s="78"/>
      <c r="G319" s="78"/>
      <c r="H319" s="78"/>
      <c r="J319" s="78"/>
      <c r="L319" s="76"/>
      <c r="M319" s="76"/>
      <c r="N319" s="76"/>
      <c r="O319" s="76"/>
    </row>
    <row r="320" spans="1:15" s="79" customFormat="1" x14ac:dyDescent="0.4">
      <c r="A320" s="76"/>
      <c r="B320" s="76"/>
      <c r="C320" s="78"/>
      <c r="D320" s="78"/>
      <c r="E320" s="78"/>
      <c r="F320" s="78"/>
      <c r="G320" s="78"/>
      <c r="H320" s="78"/>
      <c r="J320" s="78"/>
      <c r="L320" s="76"/>
      <c r="M320" s="76"/>
      <c r="N320" s="76"/>
      <c r="O320" s="76"/>
    </row>
    <row r="321" spans="1:15" s="79" customFormat="1" x14ac:dyDescent="0.4">
      <c r="A321" s="76"/>
      <c r="B321" s="76"/>
      <c r="C321" s="78"/>
      <c r="D321" s="78"/>
      <c r="E321" s="78"/>
      <c r="F321" s="78"/>
      <c r="G321" s="78"/>
      <c r="H321" s="78"/>
      <c r="J321" s="78"/>
      <c r="L321" s="76"/>
      <c r="M321" s="76"/>
      <c r="N321" s="76"/>
      <c r="O321" s="76"/>
    </row>
    <row r="322" spans="1:15" s="79" customFormat="1" x14ac:dyDescent="0.4">
      <c r="A322" s="76"/>
      <c r="B322" s="76"/>
      <c r="C322" s="78"/>
      <c r="D322" s="78"/>
      <c r="E322" s="78"/>
      <c r="F322" s="78"/>
      <c r="G322" s="78"/>
      <c r="H322" s="78"/>
      <c r="J322" s="78"/>
      <c r="L322" s="76"/>
      <c r="M322" s="76"/>
      <c r="N322" s="76"/>
      <c r="O322" s="76"/>
    </row>
    <row r="323" spans="1:15" s="79" customFormat="1" x14ac:dyDescent="0.4">
      <c r="A323" s="76"/>
      <c r="B323" s="76"/>
      <c r="C323" s="78"/>
      <c r="D323" s="78"/>
      <c r="E323" s="78"/>
      <c r="F323" s="78"/>
      <c r="G323" s="78"/>
      <c r="H323" s="78"/>
      <c r="J323" s="78"/>
      <c r="L323" s="76"/>
      <c r="M323" s="76"/>
      <c r="N323" s="76"/>
      <c r="O323" s="76"/>
    </row>
    <row r="324" spans="1:15" s="79" customFormat="1" x14ac:dyDescent="0.4">
      <c r="A324" s="76"/>
      <c r="B324" s="76"/>
      <c r="C324" s="78"/>
      <c r="D324" s="78"/>
      <c r="E324" s="78"/>
      <c r="F324" s="78"/>
      <c r="G324" s="78"/>
      <c r="H324" s="78"/>
      <c r="J324" s="78"/>
      <c r="L324" s="76"/>
      <c r="M324" s="76"/>
      <c r="N324" s="76"/>
      <c r="O324" s="76"/>
    </row>
    <row r="325" spans="1:15" s="79" customFormat="1" x14ac:dyDescent="0.4">
      <c r="A325" s="76"/>
      <c r="B325" s="76"/>
      <c r="C325" s="78"/>
      <c r="D325" s="78"/>
      <c r="E325" s="78"/>
      <c r="F325" s="78"/>
      <c r="G325" s="78"/>
      <c r="H325" s="78"/>
      <c r="J325" s="78"/>
      <c r="L325" s="76"/>
      <c r="M325" s="76"/>
      <c r="N325" s="76"/>
      <c r="O325" s="76"/>
    </row>
    <row r="326" spans="1:15" s="79" customFormat="1" x14ac:dyDescent="0.4">
      <c r="A326" s="76"/>
      <c r="B326" s="76"/>
      <c r="C326" s="78"/>
      <c r="D326" s="78"/>
      <c r="E326" s="78"/>
      <c r="F326" s="78"/>
      <c r="G326" s="78"/>
      <c r="H326" s="78"/>
      <c r="J326" s="78"/>
      <c r="L326" s="76"/>
      <c r="M326" s="76"/>
      <c r="N326" s="76"/>
      <c r="O326" s="76"/>
    </row>
    <row r="327" spans="1:15" s="79" customFormat="1" x14ac:dyDescent="0.4">
      <c r="A327" s="76"/>
      <c r="B327" s="76"/>
      <c r="C327" s="78"/>
      <c r="D327" s="78"/>
      <c r="E327" s="78"/>
      <c r="F327" s="78"/>
      <c r="G327" s="78"/>
      <c r="H327" s="78"/>
      <c r="J327" s="78"/>
      <c r="L327" s="76"/>
      <c r="M327" s="76"/>
      <c r="N327" s="76"/>
      <c r="O327" s="76"/>
    </row>
    <row r="328" spans="1:15" s="79" customFormat="1" x14ac:dyDescent="0.4">
      <c r="A328" s="76"/>
      <c r="B328" s="76"/>
      <c r="C328" s="78"/>
      <c r="D328" s="78"/>
      <c r="E328" s="78"/>
      <c r="F328" s="78"/>
      <c r="G328" s="78"/>
      <c r="H328" s="78"/>
      <c r="J328" s="78"/>
      <c r="L328" s="76"/>
      <c r="M328" s="76"/>
      <c r="N328" s="76"/>
      <c r="O328" s="76"/>
    </row>
    <row r="329" spans="1:15" s="79" customFormat="1" x14ac:dyDescent="0.4">
      <c r="A329" s="76"/>
      <c r="B329" s="76"/>
      <c r="C329" s="78"/>
      <c r="D329" s="78"/>
      <c r="E329" s="78"/>
      <c r="F329" s="78"/>
      <c r="G329" s="78"/>
      <c r="H329" s="78"/>
      <c r="J329" s="78"/>
      <c r="L329" s="76"/>
      <c r="M329" s="76"/>
      <c r="N329" s="76"/>
      <c r="O329" s="76"/>
    </row>
    <row r="330" spans="1:15" s="79" customFormat="1" x14ac:dyDescent="0.4">
      <c r="A330" s="76"/>
      <c r="B330" s="76"/>
      <c r="C330" s="78"/>
      <c r="D330" s="78"/>
      <c r="E330" s="78"/>
      <c r="F330" s="78"/>
      <c r="G330" s="78"/>
      <c r="H330" s="78"/>
      <c r="J330" s="78"/>
      <c r="L330" s="76"/>
      <c r="M330" s="76"/>
      <c r="N330" s="76"/>
      <c r="O330" s="76"/>
    </row>
    <row r="331" spans="1:15" s="79" customFormat="1" x14ac:dyDescent="0.4">
      <c r="A331" s="76"/>
      <c r="B331" s="76"/>
      <c r="C331" s="78"/>
      <c r="D331" s="78"/>
      <c r="E331" s="78"/>
      <c r="F331" s="78"/>
      <c r="G331" s="78"/>
      <c r="H331" s="78"/>
      <c r="J331" s="78"/>
      <c r="L331" s="76"/>
      <c r="M331" s="76"/>
      <c r="N331" s="76"/>
      <c r="O331" s="76"/>
    </row>
    <row r="332" spans="1:15" s="79" customFormat="1" x14ac:dyDescent="0.4">
      <c r="A332" s="76"/>
      <c r="B332" s="76"/>
      <c r="C332" s="78"/>
      <c r="D332" s="78"/>
      <c r="E332" s="78"/>
      <c r="F332" s="78"/>
      <c r="G332" s="78"/>
      <c r="H332" s="78"/>
      <c r="J332" s="78"/>
      <c r="L332" s="76"/>
      <c r="M332" s="76"/>
      <c r="N332" s="76"/>
      <c r="O332" s="76"/>
    </row>
    <row r="333" spans="1:15" s="79" customFormat="1" x14ac:dyDescent="0.4">
      <c r="A333" s="76"/>
      <c r="B333" s="76"/>
      <c r="C333" s="78"/>
      <c r="D333" s="78"/>
      <c r="E333" s="78"/>
      <c r="F333" s="78"/>
      <c r="G333" s="78"/>
      <c r="H333" s="78"/>
      <c r="J333" s="78"/>
      <c r="L333" s="76"/>
      <c r="M333" s="76"/>
      <c r="N333" s="76"/>
      <c r="O333" s="76"/>
    </row>
    <row r="334" spans="1:15" s="79" customFormat="1" x14ac:dyDescent="0.4">
      <c r="A334" s="76"/>
      <c r="B334" s="76"/>
      <c r="C334" s="78"/>
      <c r="D334" s="78"/>
      <c r="E334" s="78"/>
      <c r="F334" s="78"/>
      <c r="G334" s="78"/>
      <c r="H334" s="78"/>
      <c r="J334" s="78"/>
      <c r="L334" s="76"/>
      <c r="M334" s="76"/>
      <c r="N334" s="76"/>
      <c r="O334" s="76"/>
    </row>
    <row r="335" spans="1:15" s="79" customFormat="1" x14ac:dyDescent="0.4">
      <c r="A335" s="76"/>
      <c r="B335" s="76"/>
      <c r="C335" s="78"/>
      <c r="D335" s="78"/>
      <c r="E335" s="78"/>
      <c r="F335" s="78"/>
      <c r="G335" s="78"/>
      <c r="H335" s="78"/>
      <c r="J335" s="78"/>
      <c r="L335" s="76"/>
      <c r="M335" s="76"/>
      <c r="N335" s="76"/>
      <c r="O335" s="76"/>
    </row>
    <row r="336" spans="1:15" s="79" customFormat="1" x14ac:dyDescent="0.4">
      <c r="A336" s="76"/>
      <c r="B336" s="76"/>
      <c r="C336" s="78"/>
      <c r="D336" s="78"/>
      <c r="E336" s="78"/>
      <c r="F336" s="78"/>
      <c r="G336" s="78"/>
      <c r="H336" s="78"/>
      <c r="J336" s="78"/>
      <c r="L336" s="76"/>
      <c r="M336" s="76"/>
      <c r="N336" s="76"/>
      <c r="O336" s="76"/>
    </row>
    <row r="337" spans="1:15" s="79" customFormat="1" x14ac:dyDescent="0.4">
      <c r="A337" s="76"/>
      <c r="B337" s="76"/>
      <c r="C337" s="78"/>
      <c r="D337" s="78"/>
      <c r="E337" s="78"/>
      <c r="F337" s="78"/>
      <c r="G337" s="78"/>
      <c r="H337" s="78"/>
      <c r="J337" s="78"/>
      <c r="L337" s="76"/>
      <c r="M337" s="76"/>
      <c r="N337" s="76"/>
      <c r="O337" s="76"/>
    </row>
    <row r="338" spans="1:15" s="79" customFormat="1" x14ac:dyDescent="0.4">
      <c r="A338" s="76"/>
      <c r="B338" s="76"/>
      <c r="C338" s="78"/>
      <c r="D338" s="78"/>
      <c r="E338" s="78"/>
      <c r="F338" s="78"/>
      <c r="G338" s="78"/>
      <c r="H338" s="78"/>
      <c r="J338" s="78"/>
      <c r="L338" s="76"/>
      <c r="M338" s="76"/>
      <c r="N338" s="76"/>
      <c r="O338" s="76"/>
    </row>
    <row r="339" spans="1:15" s="79" customFormat="1" x14ac:dyDescent="0.4">
      <c r="A339" s="76"/>
      <c r="B339" s="76"/>
      <c r="C339" s="78"/>
      <c r="D339" s="78"/>
      <c r="E339" s="78"/>
      <c r="F339" s="78"/>
      <c r="G339" s="78"/>
      <c r="H339" s="78"/>
      <c r="J339" s="78"/>
      <c r="L339" s="76"/>
      <c r="M339" s="76"/>
      <c r="N339" s="76"/>
      <c r="O339" s="76"/>
    </row>
    <row r="340" spans="1:15" x14ac:dyDescent="0.4">
      <c r="J340" s="78"/>
    </row>
    <row r="341" spans="1:15" x14ac:dyDescent="0.4">
      <c r="J341" s="78"/>
    </row>
    <row r="342" spans="1:15" s="79" customFormat="1" x14ac:dyDescent="0.4">
      <c r="A342" s="76"/>
      <c r="B342" s="76"/>
      <c r="C342" s="78"/>
      <c r="D342" s="78"/>
      <c r="E342" s="78"/>
      <c r="F342" s="78"/>
      <c r="G342" s="78"/>
      <c r="H342" s="78"/>
      <c r="J342" s="78"/>
      <c r="L342" s="76"/>
      <c r="M342" s="76"/>
      <c r="N342" s="76"/>
      <c r="O342" s="76"/>
    </row>
    <row r="343" spans="1:15" x14ac:dyDescent="0.4">
      <c r="J343" s="78"/>
    </row>
    <row r="344" spans="1:15" x14ac:dyDescent="0.4">
      <c r="J344" s="78"/>
    </row>
    <row r="345" spans="1:15" x14ac:dyDescent="0.4">
      <c r="A345" s="79"/>
      <c r="B345" s="79"/>
      <c r="J345" s="78"/>
    </row>
    <row r="353" spans="3:15" x14ac:dyDescent="0.4">
      <c r="C353" s="76"/>
      <c r="D353" s="76"/>
      <c r="E353" s="76"/>
      <c r="F353" s="76"/>
      <c r="G353" s="76"/>
      <c r="H353" s="76"/>
      <c r="I353" s="76"/>
      <c r="K353" s="76"/>
      <c r="L353" s="79"/>
      <c r="M353" s="79"/>
      <c r="N353" s="79"/>
      <c r="O353" s="79"/>
    </row>
    <row r="356" spans="3:15" x14ac:dyDescent="0.4">
      <c r="C356" s="76"/>
      <c r="D356" s="76"/>
      <c r="E356" s="76"/>
      <c r="F356" s="76"/>
      <c r="G356" s="76"/>
      <c r="H356" s="76"/>
      <c r="I356" s="76"/>
      <c r="K356" s="76"/>
    </row>
    <row r="357" spans="3:15" x14ac:dyDescent="0.4">
      <c r="C357" s="76"/>
      <c r="D357" s="76"/>
      <c r="E357" s="76"/>
      <c r="F357" s="76"/>
      <c r="G357" s="76"/>
      <c r="H357" s="76"/>
      <c r="I357" s="76"/>
      <c r="K357" s="76"/>
    </row>
    <row r="358" spans="3:15" x14ac:dyDescent="0.4">
      <c r="C358" s="76"/>
      <c r="D358" s="76"/>
      <c r="E358" s="76"/>
      <c r="F358" s="76"/>
      <c r="G358" s="76"/>
      <c r="H358" s="76"/>
      <c r="I358" s="76"/>
      <c r="K358" s="76"/>
    </row>
    <row r="359" spans="3:15" x14ac:dyDescent="0.4">
      <c r="C359" s="76"/>
      <c r="D359" s="76"/>
      <c r="E359" s="76"/>
      <c r="F359" s="76"/>
      <c r="G359" s="76"/>
      <c r="H359" s="76"/>
      <c r="I359" s="76"/>
      <c r="K359" s="76"/>
    </row>
    <row r="360" spans="3:15" x14ac:dyDescent="0.4">
      <c r="C360" s="76"/>
      <c r="D360" s="76"/>
      <c r="E360" s="76"/>
      <c r="F360" s="76"/>
      <c r="G360" s="76"/>
      <c r="H360" s="76"/>
      <c r="I360" s="76"/>
      <c r="K360" s="76"/>
    </row>
    <row r="361" spans="3:15" x14ac:dyDescent="0.4">
      <c r="C361" s="76"/>
      <c r="D361" s="76"/>
      <c r="E361" s="76"/>
      <c r="F361" s="76"/>
      <c r="G361" s="76"/>
      <c r="H361" s="76"/>
      <c r="I361" s="76"/>
      <c r="K361" s="76"/>
    </row>
    <row r="362" spans="3:15" x14ac:dyDescent="0.4">
      <c r="C362" s="76"/>
      <c r="D362" s="76"/>
      <c r="E362" s="76"/>
      <c r="F362" s="76"/>
      <c r="G362" s="76"/>
      <c r="H362" s="76"/>
      <c r="I362" s="76"/>
      <c r="K362" s="76"/>
    </row>
    <row r="363" spans="3:15" x14ac:dyDescent="0.4">
      <c r="C363" s="76"/>
      <c r="D363" s="76"/>
      <c r="E363" s="76"/>
      <c r="F363" s="76"/>
      <c r="G363" s="76"/>
      <c r="H363" s="76"/>
      <c r="I363" s="76"/>
      <c r="K363" s="76"/>
    </row>
    <row r="364" spans="3:15" x14ac:dyDescent="0.4">
      <c r="C364" s="76"/>
      <c r="D364" s="76"/>
      <c r="E364" s="76"/>
      <c r="F364" s="76"/>
      <c r="G364" s="76"/>
      <c r="H364" s="76"/>
      <c r="I364" s="76"/>
      <c r="K364" s="76"/>
    </row>
    <row r="365" spans="3:15" x14ac:dyDescent="0.4">
      <c r="C365" s="76"/>
      <c r="D365" s="76"/>
      <c r="E365" s="76"/>
      <c r="F365" s="76"/>
      <c r="G365" s="76"/>
      <c r="H365" s="76"/>
      <c r="I365" s="76"/>
      <c r="K365" s="76"/>
    </row>
    <row r="366" spans="3:15" x14ac:dyDescent="0.4">
      <c r="C366" s="76"/>
      <c r="D366" s="76"/>
      <c r="E366" s="76"/>
      <c r="F366" s="76"/>
      <c r="G366" s="76"/>
      <c r="H366" s="76"/>
      <c r="I366" s="76"/>
      <c r="K366" s="76"/>
    </row>
    <row r="367" spans="3:15" x14ac:dyDescent="0.4">
      <c r="C367" s="76"/>
      <c r="D367" s="76"/>
      <c r="E367" s="76"/>
      <c r="F367" s="76"/>
      <c r="G367" s="76"/>
      <c r="H367" s="76"/>
      <c r="I367" s="76"/>
      <c r="K367" s="76"/>
    </row>
    <row r="368" spans="3:15" x14ac:dyDescent="0.4">
      <c r="C368" s="76"/>
      <c r="D368" s="76"/>
      <c r="E368" s="76"/>
      <c r="F368" s="76"/>
      <c r="G368" s="76"/>
      <c r="H368" s="76"/>
      <c r="I368" s="76"/>
      <c r="K368" s="76"/>
    </row>
    <row r="369" s="76" customFormat="1" x14ac:dyDescent="0.4"/>
    <row r="370" s="76" customFormat="1" x14ac:dyDescent="0.4"/>
    <row r="371" s="76" customFormat="1" x14ac:dyDescent="0.4"/>
    <row r="372" s="76" customFormat="1" x14ac:dyDescent="0.4"/>
    <row r="373" s="76" customFormat="1" x14ac:dyDescent="0.4"/>
    <row r="374" s="76" customFormat="1" x14ac:dyDescent="0.4"/>
    <row r="375" s="76" customFormat="1" x14ac:dyDescent="0.4"/>
    <row r="376" s="76" customFormat="1" x14ac:dyDescent="0.4"/>
    <row r="377" s="76" customFormat="1" x14ac:dyDescent="0.4"/>
    <row r="378" s="76" customFormat="1" x14ac:dyDescent="0.4"/>
    <row r="379" s="76" customFormat="1" x14ac:dyDescent="0.4"/>
    <row r="380" s="76" customFormat="1" x14ac:dyDescent="0.4"/>
    <row r="381" s="76" customFormat="1" x14ac:dyDescent="0.4"/>
    <row r="382" s="76" customFormat="1" x14ac:dyDescent="0.4"/>
    <row r="383" s="76" customFormat="1" x14ac:dyDescent="0.4"/>
    <row r="384" s="76" customFormat="1" x14ac:dyDescent="0.4"/>
    <row r="385" s="76" customFormat="1" x14ac:dyDescent="0.4"/>
    <row r="386" s="76" customFormat="1" x14ac:dyDescent="0.4"/>
    <row r="387" s="76" customFormat="1" x14ac:dyDescent="0.4"/>
    <row r="388" s="76" customFormat="1" x14ac:dyDescent="0.4"/>
    <row r="389" s="76" customFormat="1" x14ac:dyDescent="0.4"/>
    <row r="390" s="76" customFormat="1" x14ac:dyDescent="0.4"/>
    <row r="391" s="76" customFormat="1" x14ac:dyDescent="0.4"/>
    <row r="392" s="76" customFormat="1" x14ac:dyDescent="0.4"/>
    <row r="393" s="76" customFormat="1" x14ac:dyDescent="0.4"/>
    <row r="394" s="76" customFormat="1" x14ac:dyDescent="0.4"/>
    <row r="395" s="76" customFormat="1" x14ac:dyDescent="0.4"/>
    <row r="396" s="76" customFormat="1" x14ac:dyDescent="0.4"/>
    <row r="397" s="76" customFormat="1" x14ac:dyDescent="0.4"/>
    <row r="398" s="76" customFormat="1" x14ac:dyDescent="0.4"/>
    <row r="399" s="76" customFormat="1" x14ac:dyDescent="0.4"/>
    <row r="400" s="76" customFormat="1" x14ac:dyDescent="0.4"/>
    <row r="401" s="76" customFormat="1" x14ac:dyDescent="0.4"/>
    <row r="402" s="76" customFormat="1" x14ac:dyDescent="0.4"/>
    <row r="403" s="76" customFormat="1" x14ac:dyDescent="0.4"/>
    <row r="404" s="76" customFormat="1" x14ac:dyDescent="0.4"/>
    <row r="405" s="76" customFormat="1" x14ac:dyDescent="0.4"/>
    <row r="406" s="76" customFormat="1" x14ac:dyDescent="0.4"/>
    <row r="407" s="76" customFormat="1" x14ac:dyDescent="0.4"/>
    <row r="408" s="76" customFormat="1" x14ac:dyDescent="0.4"/>
    <row r="409" s="76" customFormat="1" x14ac:dyDescent="0.4"/>
    <row r="410" s="76" customFormat="1" x14ac:dyDescent="0.4"/>
    <row r="411" s="76" customFormat="1" x14ac:dyDescent="0.4"/>
    <row r="412" s="76" customFormat="1" x14ac:dyDescent="0.4"/>
    <row r="413" s="76" customFormat="1" x14ac:dyDescent="0.4"/>
    <row r="414" s="76" customFormat="1" x14ac:dyDescent="0.4"/>
    <row r="415" s="76" customFormat="1" x14ac:dyDescent="0.4"/>
    <row r="416" s="76" customFormat="1" x14ac:dyDescent="0.4"/>
    <row r="417" s="76" customFormat="1" x14ac:dyDescent="0.4"/>
    <row r="418" s="76" customFormat="1" x14ac:dyDescent="0.4"/>
    <row r="419" s="76" customFormat="1" x14ac:dyDescent="0.4"/>
    <row r="420" s="76" customFormat="1" x14ac:dyDescent="0.4"/>
    <row r="421" s="76" customFormat="1" x14ac:dyDescent="0.4"/>
    <row r="422" s="76" customFormat="1" x14ac:dyDescent="0.4"/>
    <row r="423" s="76" customFormat="1" x14ac:dyDescent="0.4"/>
    <row r="424" s="76" customFormat="1" x14ac:dyDescent="0.4"/>
    <row r="425" s="76" customFormat="1" x14ac:dyDescent="0.4"/>
    <row r="426" s="76" customFormat="1" x14ac:dyDescent="0.4"/>
    <row r="427" s="76" customFormat="1" x14ac:dyDescent="0.4"/>
    <row r="428" s="76" customFormat="1" x14ac:dyDescent="0.4"/>
    <row r="429" s="76" customFormat="1" x14ac:dyDescent="0.4"/>
    <row r="430" s="76" customFormat="1" x14ac:dyDescent="0.4"/>
    <row r="431" s="76" customFormat="1" x14ac:dyDescent="0.4"/>
    <row r="432" s="76" customFormat="1" x14ac:dyDescent="0.4"/>
    <row r="433" s="76" customFormat="1" x14ac:dyDescent="0.4"/>
    <row r="434" s="76" customFormat="1" x14ac:dyDescent="0.4"/>
    <row r="435" s="76" customFormat="1" x14ac:dyDescent="0.4"/>
    <row r="436" s="76" customFormat="1" x14ac:dyDescent="0.4"/>
    <row r="437" s="76" customFormat="1" x14ac:dyDescent="0.4"/>
    <row r="438" s="76" customFormat="1" x14ac:dyDescent="0.4"/>
    <row r="439" s="76" customFormat="1" x14ac:dyDescent="0.4"/>
    <row r="440" s="76" customFormat="1" x14ac:dyDescent="0.4"/>
    <row r="441" s="76" customFormat="1" x14ac:dyDescent="0.4"/>
    <row r="442" s="76" customFormat="1" x14ac:dyDescent="0.4"/>
    <row r="443" s="76" customFormat="1" x14ac:dyDescent="0.4"/>
    <row r="444" s="76" customFormat="1" x14ac:dyDescent="0.4"/>
    <row r="445" s="76" customFormat="1" x14ac:dyDescent="0.4"/>
    <row r="446" s="76" customFormat="1" x14ac:dyDescent="0.4"/>
    <row r="447" s="76" customFormat="1" x14ac:dyDescent="0.4"/>
    <row r="448" s="76" customFormat="1" x14ac:dyDescent="0.4"/>
    <row r="449" spans="1:15" x14ac:dyDescent="0.4">
      <c r="C449" s="76"/>
      <c r="D449" s="76"/>
      <c r="E449" s="76"/>
      <c r="F449" s="76"/>
      <c r="G449" s="76"/>
      <c r="H449" s="76"/>
      <c r="I449" s="76"/>
      <c r="K449" s="76"/>
    </row>
    <row r="450" spans="1:15" x14ac:dyDescent="0.4">
      <c r="C450" s="76"/>
      <c r="D450" s="76"/>
      <c r="E450" s="76"/>
      <c r="F450" s="76"/>
      <c r="G450" s="76"/>
      <c r="H450" s="76"/>
      <c r="I450" s="76"/>
      <c r="K450" s="76"/>
    </row>
    <row r="451" spans="1:15" x14ac:dyDescent="0.4">
      <c r="C451" s="76"/>
      <c r="D451" s="76"/>
      <c r="E451" s="76"/>
      <c r="F451" s="76"/>
      <c r="G451" s="76"/>
      <c r="H451" s="76"/>
      <c r="I451" s="76"/>
      <c r="K451" s="76"/>
    </row>
    <row r="460" spans="1:15" s="78" customFormat="1" x14ac:dyDescent="0.4">
      <c r="A460" s="76"/>
      <c r="B460" s="76"/>
      <c r="I460" s="79"/>
      <c r="J460" s="76"/>
      <c r="K460" s="79"/>
      <c r="L460" s="76"/>
      <c r="M460" s="76"/>
      <c r="N460" s="76"/>
      <c r="O460" s="76"/>
    </row>
    <row r="461" spans="1:15" s="78" customFormat="1" x14ac:dyDescent="0.4">
      <c r="A461" s="76"/>
      <c r="B461" s="76"/>
      <c r="I461" s="79"/>
      <c r="J461" s="76"/>
      <c r="K461" s="79"/>
      <c r="L461" s="76"/>
      <c r="M461" s="76"/>
      <c r="N461" s="76"/>
      <c r="O461" s="76"/>
    </row>
    <row r="462" spans="1:15" s="78" customFormat="1" x14ac:dyDescent="0.4">
      <c r="A462" s="76"/>
      <c r="B462" s="76"/>
      <c r="I462" s="79"/>
      <c r="J462" s="76"/>
      <c r="K462" s="79"/>
      <c r="L462" s="76"/>
      <c r="M462" s="76"/>
      <c r="N462" s="76"/>
      <c r="O462" s="76"/>
    </row>
    <row r="463" spans="1:15" s="78" customFormat="1" x14ac:dyDescent="0.4">
      <c r="A463" s="76"/>
      <c r="B463" s="76"/>
      <c r="I463" s="79"/>
      <c r="J463" s="76"/>
      <c r="K463" s="79"/>
      <c r="L463" s="76"/>
      <c r="M463" s="76"/>
      <c r="N463" s="76"/>
      <c r="O463" s="76"/>
    </row>
    <row r="464" spans="1:15" s="78" customFormat="1" x14ac:dyDescent="0.4">
      <c r="A464" s="76"/>
      <c r="B464" s="76"/>
      <c r="I464" s="79"/>
      <c r="J464" s="76"/>
      <c r="K464" s="79"/>
      <c r="L464" s="76"/>
      <c r="M464" s="76"/>
      <c r="N464" s="76"/>
      <c r="O464" s="76"/>
    </row>
    <row r="465" spans="1:15" s="78" customFormat="1" x14ac:dyDescent="0.4">
      <c r="A465" s="76"/>
      <c r="B465" s="76"/>
      <c r="I465" s="79"/>
      <c r="J465" s="76"/>
      <c r="K465" s="79"/>
      <c r="L465" s="76"/>
      <c r="M465" s="76"/>
      <c r="N465" s="76"/>
      <c r="O465" s="76"/>
    </row>
    <row r="466" spans="1:15" s="78" customFormat="1" x14ac:dyDescent="0.4">
      <c r="A466" s="76"/>
      <c r="B466" s="76"/>
      <c r="C466" s="14"/>
      <c r="D466" s="7"/>
      <c r="I466" s="79"/>
      <c r="J466" s="76"/>
      <c r="K466" s="79"/>
      <c r="L466" s="76"/>
      <c r="M466" s="76"/>
      <c r="N466" s="76"/>
      <c r="O466" s="76"/>
    </row>
    <row r="467" spans="1:15" s="78" customFormat="1" x14ac:dyDescent="0.4">
      <c r="A467" s="76"/>
      <c r="B467" s="76"/>
      <c r="C467" s="14"/>
      <c r="D467" s="7"/>
      <c r="I467" s="79"/>
      <c r="J467" s="76"/>
      <c r="K467" s="79"/>
      <c r="L467" s="76"/>
      <c r="M467" s="76"/>
      <c r="N467" s="76"/>
      <c r="O467" s="76"/>
    </row>
    <row r="468" spans="1:15" s="78" customFormat="1" x14ac:dyDescent="0.4">
      <c r="A468" s="76"/>
      <c r="B468" s="76"/>
      <c r="C468" s="14"/>
      <c r="D468" s="7"/>
      <c r="I468" s="79"/>
      <c r="J468" s="76"/>
      <c r="K468" s="79"/>
      <c r="L468" s="76"/>
      <c r="M468" s="76"/>
      <c r="N468" s="76"/>
      <c r="O468" s="76"/>
    </row>
    <row r="469" spans="1:15" s="78" customFormat="1" x14ac:dyDescent="0.4">
      <c r="A469" s="76"/>
      <c r="B469" s="76"/>
      <c r="C469" s="14"/>
      <c r="D469" s="7"/>
      <c r="I469" s="79"/>
      <c r="J469" s="76"/>
      <c r="K469" s="79"/>
      <c r="L469" s="76"/>
      <c r="M469" s="76"/>
      <c r="N469" s="76"/>
      <c r="O469" s="76"/>
    </row>
    <row r="470" spans="1:15" s="78" customFormat="1" x14ac:dyDescent="0.4">
      <c r="A470" s="76"/>
      <c r="B470" s="76"/>
      <c r="C470" s="14"/>
      <c r="D470" s="7"/>
      <c r="I470" s="79"/>
      <c r="J470" s="76"/>
      <c r="K470" s="79"/>
      <c r="L470" s="76"/>
      <c r="M470" s="76"/>
      <c r="N470" s="76"/>
      <c r="O470" s="76"/>
    </row>
    <row r="471" spans="1:15" s="78" customFormat="1" x14ac:dyDescent="0.4">
      <c r="A471" s="76"/>
      <c r="B471" s="76"/>
      <c r="C471" s="14"/>
      <c r="D471" s="7"/>
      <c r="I471" s="79"/>
      <c r="J471" s="76"/>
      <c r="K471" s="79"/>
      <c r="L471" s="76"/>
      <c r="M471" s="76"/>
      <c r="N471" s="76"/>
      <c r="O471" s="76"/>
    </row>
    <row r="472" spans="1:15" s="78" customFormat="1" x14ac:dyDescent="0.4">
      <c r="A472" s="76"/>
      <c r="B472" s="76"/>
      <c r="C472" s="14"/>
      <c r="D472" s="7"/>
      <c r="I472" s="79"/>
      <c r="J472" s="76"/>
      <c r="K472" s="79"/>
      <c r="L472" s="76"/>
      <c r="M472" s="76"/>
      <c r="N472" s="76"/>
      <c r="O472" s="76"/>
    </row>
    <row r="473" spans="1:15" s="78" customFormat="1" x14ac:dyDescent="0.4">
      <c r="A473" s="76"/>
      <c r="B473" s="76"/>
      <c r="C473" s="14"/>
      <c r="D473" s="7"/>
      <c r="I473" s="79"/>
      <c r="J473" s="76"/>
      <c r="K473" s="79"/>
      <c r="L473" s="76"/>
      <c r="M473" s="76"/>
      <c r="N473" s="76"/>
      <c r="O473" s="76"/>
    </row>
    <row r="474" spans="1:15" s="78" customFormat="1" x14ac:dyDescent="0.4">
      <c r="A474" s="76"/>
      <c r="B474" s="76"/>
      <c r="C474" s="14"/>
      <c r="D474" s="7"/>
      <c r="I474" s="79"/>
      <c r="J474" s="76"/>
      <c r="K474" s="79"/>
      <c r="L474" s="76"/>
      <c r="M474" s="76"/>
      <c r="N474" s="76"/>
      <c r="O474" s="76"/>
    </row>
    <row r="475" spans="1:15" s="78" customFormat="1" x14ac:dyDescent="0.4">
      <c r="A475" s="76"/>
      <c r="B475" s="76"/>
      <c r="C475" s="14"/>
      <c r="D475" s="7"/>
      <c r="I475" s="79"/>
      <c r="J475" s="76"/>
      <c r="K475" s="79"/>
      <c r="L475" s="76"/>
      <c r="M475" s="76"/>
      <c r="N475" s="76"/>
      <c r="O475" s="76"/>
    </row>
    <row r="476" spans="1:15" s="78" customFormat="1" x14ac:dyDescent="0.4">
      <c r="A476" s="76"/>
      <c r="B476" s="76"/>
      <c r="C476" s="14"/>
      <c r="D476" s="7"/>
      <c r="I476" s="79"/>
      <c r="J476" s="76"/>
      <c r="K476" s="79"/>
      <c r="L476" s="76"/>
      <c r="M476" s="76"/>
      <c r="N476" s="76"/>
      <c r="O476" s="76"/>
    </row>
    <row r="477" spans="1:15" s="78" customFormat="1" x14ac:dyDescent="0.4">
      <c r="A477" s="76"/>
      <c r="B477" s="76"/>
      <c r="C477" s="14"/>
      <c r="D477" s="7"/>
      <c r="I477" s="79"/>
      <c r="J477" s="76"/>
      <c r="K477" s="79"/>
      <c r="L477" s="76"/>
      <c r="M477" s="76"/>
      <c r="N477" s="76"/>
      <c r="O477" s="76"/>
    </row>
    <row r="478" spans="1:15" s="78" customFormat="1" x14ac:dyDescent="0.4">
      <c r="A478" s="76"/>
      <c r="B478" s="76"/>
      <c r="C478" s="14"/>
      <c r="D478" s="7"/>
      <c r="I478" s="79"/>
      <c r="J478" s="76"/>
      <c r="K478" s="79"/>
      <c r="L478" s="76"/>
      <c r="M478" s="76"/>
      <c r="N478" s="76"/>
      <c r="O478" s="76"/>
    </row>
    <row r="479" spans="1:15" s="78" customFormat="1" x14ac:dyDescent="0.4">
      <c r="A479" s="76"/>
      <c r="B479" s="76"/>
      <c r="C479" s="14"/>
      <c r="D479" s="7"/>
      <c r="I479" s="79"/>
      <c r="J479" s="76"/>
      <c r="K479" s="79"/>
      <c r="L479" s="76"/>
      <c r="M479" s="76"/>
      <c r="N479" s="76"/>
      <c r="O479" s="76"/>
    </row>
    <row r="480" spans="1:15" s="78" customFormat="1" x14ac:dyDescent="0.4">
      <c r="A480" s="76"/>
      <c r="B480" s="76"/>
      <c r="C480" s="14"/>
      <c r="D480" s="7"/>
      <c r="I480" s="79"/>
      <c r="J480" s="76"/>
      <c r="K480" s="79"/>
      <c r="L480" s="76"/>
      <c r="M480" s="76"/>
      <c r="N480" s="76"/>
      <c r="O480" s="76"/>
    </row>
    <row r="481" spans="1:15" s="78" customFormat="1" x14ac:dyDescent="0.4">
      <c r="A481" s="76"/>
      <c r="B481" s="76"/>
      <c r="C481" s="14"/>
      <c r="D481" s="7"/>
      <c r="I481" s="79"/>
      <c r="J481" s="76"/>
      <c r="K481" s="79"/>
      <c r="L481" s="76"/>
      <c r="M481" s="76"/>
      <c r="N481" s="76"/>
      <c r="O481" s="76"/>
    </row>
    <row r="482" spans="1:15" s="78" customFormat="1" x14ac:dyDescent="0.4">
      <c r="A482" s="76"/>
      <c r="B482" s="76"/>
      <c r="C482" s="14"/>
      <c r="D482" s="7"/>
      <c r="I482" s="79"/>
      <c r="J482" s="76"/>
      <c r="K482" s="79"/>
      <c r="L482" s="76"/>
      <c r="M482" s="76"/>
      <c r="N482" s="76"/>
      <c r="O482" s="76"/>
    </row>
    <row r="483" spans="1:15" s="78" customFormat="1" x14ac:dyDescent="0.4">
      <c r="A483" s="76"/>
      <c r="B483" s="76"/>
      <c r="C483" s="14"/>
      <c r="D483" s="7"/>
      <c r="I483" s="79"/>
      <c r="J483" s="76"/>
      <c r="K483" s="79"/>
      <c r="L483" s="76"/>
      <c r="M483" s="76"/>
      <c r="N483" s="76"/>
      <c r="O483" s="76"/>
    </row>
    <row r="484" spans="1:15" s="78" customFormat="1" x14ac:dyDescent="0.4">
      <c r="A484" s="76"/>
      <c r="B484" s="76"/>
      <c r="C484" s="14"/>
      <c r="D484" s="7"/>
      <c r="I484" s="79"/>
      <c r="J484" s="76"/>
      <c r="K484" s="79"/>
      <c r="L484" s="76"/>
      <c r="M484" s="76"/>
      <c r="N484" s="76"/>
      <c r="O484" s="76"/>
    </row>
    <row r="485" spans="1:15" s="78" customFormat="1" x14ac:dyDescent="0.4">
      <c r="A485" s="76"/>
      <c r="B485" s="76"/>
      <c r="C485" s="14"/>
      <c r="D485" s="7"/>
      <c r="I485" s="79"/>
      <c r="J485" s="76"/>
      <c r="K485" s="79"/>
      <c r="L485" s="76"/>
      <c r="M485" s="76"/>
      <c r="N485" s="76"/>
      <c r="O485" s="76"/>
    </row>
    <row r="486" spans="1:15" s="78" customFormat="1" x14ac:dyDescent="0.4">
      <c r="A486" s="76"/>
      <c r="B486" s="76"/>
      <c r="C486" s="14"/>
      <c r="D486" s="7"/>
      <c r="I486" s="79"/>
      <c r="J486" s="76"/>
      <c r="K486" s="79"/>
      <c r="L486" s="76"/>
      <c r="M486" s="76"/>
      <c r="N486" s="76"/>
      <c r="O486" s="76"/>
    </row>
    <row r="487" spans="1:15" s="78" customFormat="1" x14ac:dyDescent="0.4">
      <c r="A487" s="76"/>
      <c r="B487" s="76"/>
      <c r="C487" s="14"/>
      <c r="D487" s="7"/>
      <c r="I487" s="79"/>
      <c r="J487" s="76"/>
      <c r="K487" s="79"/>
      <c r="L487" s="76"/>
      <c r="M487" s="76"/>
      <c r="N487" s="76"/>
      <c r="O487" s="76"/>
    </row>
    <row r="488" spans="1:15" s="78" customFormat="1" x14ac:dyDescent="0.4">
      <c r="A488" s="76"/>
      <c r="B488" s="76"/>
      <c r="C488" s="14"/>
      <c r="D488" s="7"/>
      <c r="I488" s="79"/>
      <c r="J488" s="76"/>
      <c r="K488" s="79"/>
      <c r="L488" s="76"/>
      <c r="M488" s="76"/>
      <c r="N488" s="76"/>
      <c r="O488" s="76"/>
    </row>
    <row r="489" spans="1:15" s="78" customFormat="1" x14ac:dyDescent="0.4">
      <c r="A489" s="76"/>
      <c r="B489" s="76"/>
      <c r="C489" s="14"/>
      <c r="D489" s="7"/>
      <c r="I489" s="79"/>
      <c r="J489" s="76"/>
      <c r="K489" s="79"/>
      <c r="L489" s="76"/>
      <c r="M489" s="76"/>
      <c r="N489" s="76"/>
      <c r="O489" s="76"/>
    </row>
    <row r="490" spans="1:15" s="78" customFormat="1" x14ac:dyDescent="0.4">
      <c r="A490" s="76"/>
      <c r="B490" s="76"/>
      <c r="C490" s="14"/>
      <c r="D490" s="7"/>
      <c r="I490" s="79"/>
      <c r="J490" s="76"/>
      <c r="K490" s="79"/>
      <c r="L490" s="76"/>
      <c r="M490" s="76"/>
      <c r="N490" s="76"/>
      <c r="O490" s="76"/>
    </row>
    <row r="491" spans="1:15" s="78" customFormat="1" x14ac:dyDescent="0.4">
      <c r="A491" s="76"/>
      <c r="B491" s="76"/>
      <c r="C491" s="14"/>
      <c r="D491" s="7"/>
      <c r="I491" s="79"/>
      <c r="J491" s="76"/>
      <c r="K491" s="79"/>
      <c r="L491" s="76"/>
      <c r="M491" s="76"/>
      <c r="N491" s="76"/>
      <c r="O491" s="76"/>
    </row>
    <row r="492" spans="1:15" s="78" customFormat="1" x14ac:dyDescent="0.4">
      <c r="A492" s="76"/>
      <c r="B492" s="76"/>
      <c r="C492" s="14"/>
      <c r="D492" s="7"/>
      <c r="I492" s="79"/>
      <c r="J492" s="76"/>
      <c r="K492" s="79"/>
      <c r="L492" s="76"/>
      <c r="M492" s="76"/>
      <c r="N492" s="76"/>
      <c r="O492" s="76"/>
    </row>
    <row r="493" spans="1:15" s="78" customFormat="1" x14ac:dyDescent="0.4">
      <c r="A493" s="76"/>
      <c r="B493" s="76"/>
      <c r="C493" s="14"/>
      <c r="D493" s="7"/>
      <c r="I493" s="79"/>
      <c r="J493" s="76"/>
      <c r="K493" s="79"/>
      <c r="L493" s="76"/>
      <c r="M493" s="76"/>
      <c r="N493" s="76"/>
      <c r="O493" s="76"/>
    </row>
    <row r="494" spans="1:15" x14ac:dyDescent="0.4">
      <c r="C494" s="14"/>
      <c r="D494" s="7"/>
    </row>
    <row r="495" spans="1:15" x14ac:dyDescent="0.4">
      <c r="C495" s="14"/>
      <c r="D495" s="7"/>
    </row>
    <row r="496" spans="1:15" x14ac:dyDescent="0.4">
      <c r="C496" s="14"/>
      <c r="D496" s="7"/>
    </row>
    <row r="497" spans="3:11" x14ac:dyDescent="0.4">
      <c r="C497" s="14"/>
      <c r="D497" s="7"/>
      <c r="E497" s="76"/>
      <c r="F497" s="76"/>
      <c r="G497" s="76"/>
      <c r="H497" s="76"/>
      <c r="I497" s="76"/>
      <c r="K497" s="76"/>
    </row>
    <row r="500" spans="3:11" x14ac:dyDescent="0.4">
      <c r="C500" s="76"/>
      <c r="D500" s="76"/>
      <c r="E500" s="76"/>
      <c r="F500" s="76"/>
      <c r="G500" s="76"/>
      <c r="H500" s="76"/>
      <c r="I500" s="76"/>
      <c r="K500" s="76"/>
    </row>
    <row r="501" spans="3:11" x14ac:dyDescent="0.4">
      <c r="C501" s="76"/>
      <c r="D501" s="76"/>
      <c r="E501" s="76"/>
      <c r="F501" s="76"/>
      <c r="G501" s="76"/>
      <c r="H501" s="76"/>
      <c r="I501" s="76"/>
      <c r="K501" s="76"/>
    </row>
    <row r="502" spans="3:11" x14ac:dyDescent="0.4">
      <c r="C502" s="76"/>
      <c r="D502" s="76"/>
      <c r="E502" s="76"/>
      <c r="F502" s="76"/>
      <c r="G502" s="76"/>
      <c r="H502" s="76"/>
      <c r="I502" s="76"/>
      <c r="K502" s="76"/>
    </row>
    <row r="503" spans="3:11" x14ac:dyDescent="0.4">
      <c r="C503" s="76"/>
      <c r="D503" s="76"/>
      <c r="E503" s="76"/>
      <c r="F503" s="76"/>
      <c r="G503" s="76"/>
      <c r="H503" s="76"/>
      <c r="I503" s="76"/>
      <c r="K503" s="76"/>
    </row>
    <row r="504" spans="3:11" x14ac:dyDescent="0.4">
      <c r="C504" s="76"/>
      <c r="D504" s="76"/>
      <c r="E504" s="76"/>
      <c r="F504" s="76"/>
      <c r="G504" s="76"/>
      <c r="H504" s="76"/>
      <c r="I504" s="76"/>
      <c r="K504" s="76"/>
    </row>
    <row r="505" spans="3:11" x14ac:dyDescent="0.4">
      <c r="C505" s="76"/>
      <c r="D505" s="76"/>
      <c r="E505" s="76"/>
      <c r="F505" s="76"/>
      <c r="G505" s="76"/>
      <c r="H505" s="76"/>
      <c r="I505" s="76"/>
      <c r="K505" s="76"/>
    </row>
    <row r="506" spans="3:11" x14ac:dyDescent="0.4">
      <c r="C506" s="76"/>
      <c r="D506" s="76"/>
      <c r="E506" s="76"/>
      <c r="F506" s="76"/>
      <c r="G506" s="76"/>
      <c r="H506" s="76"/>
      <c r="I506" s="76"/>
      <c r="K506" s="76"/>
    </row>
    <row r="507" spans="3:11" x14ac:dyDescent="0.4">
      <c r="C507" s="76"/>
      <c r="D507" s="76"/>
      <c r="E507" s="76"/>
      <c r="F507" s="76"/>
      <c r="G507" s="76"/>
      <c r="H507" s="76"/>
      <c r="I507" s="76"/>
      <c r="K507" s="76"/>
    </row>
    <row r="508" spans="3:11" x14ac:dyDescent="0.4">
      <c r="C508" s="76"/>
      <c r="D508" s="76"/>
      <c r="E508" s="76"/>
      <c r="F508" s="76"/>
      <c r="G508" s="76"/>
      <c r="H508" s="76"/>
      <c r="I508" s="76"/>
      <c r="K508" s="76"/>
    </row>
    <row r="509" spans="3:11" x14ac:dyDescent="0.4">
      <c r="C509" s="76"/>
      <c r="D509" s="76"/>
      <c r="E509" s="76"/>
      <c r="F509" s="76"/>
      <c r="G509" s="76"/>
      <c r="H509" s="76"/>
      <c r="I509" s="76"/>
      <c r="K509" s="76"/>
    </row>
    <row r="510" spans="3:11" x14ac:dyDescent="0.4">
      <c r="C510" s="76"/>
      <c r="D510" s="76"/>
      <c r="E510" s="76"/>
      <c r="F510" s="76"/>
      <c r="G510" s="76"/>
      <c r="H510" s="76"/>
      <c r="I510" s="76"/>
      <c r="K510" s="76"/>
    </row>
    <row r="511" spans="3:11" x14ac:dyDescent="0.4">
      <c r="C511" s="76"/>
      <c r="D511" s="76"/>
      <c r="E511" s="76"/>
      <c r="F511" s="76"/>
      <c r="G511" s="76"/>
      <c r="H511" s="76"/>
      <c r="I511" s="76"/>
      <c r="K511" s="76"/>
    </row>
    <row r="512" spans="3:11" x14ac:dyDescent="0.4">
      <c r="C512" s="76"/>
      <c r="D512" s="76"/>
      <c r="E512" s="76"/>
      <c r="F512" s="76"/>
      <c r="G512" s="76"/>
      <c r="H512" s="76"/>
      <c r="I512" s="76"/>
      <c r="K512" s="76"/>
    </row>
    <row r="513" s="76" customFormat="1" x14ac:dyDescent="0.4"/>
    <row r="514" s="76" customFormat="1" x14ac:dyDescent="0.4"/>
    <row r="515" s="76" customFormat="1" x14ac:dyDescent="0.4"/>
    <row r="516" s="76" customFormat="1" x14ac:dyDescent="0.4"/>
    <row r="517" s="76" customFormat="1" x14ac:dyDescent="0.4"/>
    <row r="518" s="76" customFormat="1" x14ac:dyDescent="0.4"/>
    <row r="519" s="76" customFormat="1" x14ac:dyDescent="0.4"/>
    <row r="520" s="76" customFormat="1" x14ac:dyDescent="0.4"/>
    <row r="521" s="76" customFormat="1" x14ac:dyDescent="0.4"/>
    <row r="522" s="76" customFormat="1" x14ac:dyDescent="0.4"/>
    <row r="523" s="76" customFormat="1" x14ac:dyDescent="0.4"/>
    <row r="524" s="76" customFormat="1" x14ac:dyDescent="0.4"/>
    <row r="525" s="76" customFormat="1" x14ac:dyDescent="0.4"/>
    <row r="526" s="76" customFormat="1" x14ac:dyDescent="0.4"/>
  </sheetData>
  <pageMargins left="0.7" right="0.7" top="0.75" bottom="0.75" header="0.3" footer="0.3"/>
  <pageSetup orientation="portrait"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"/>
  <dimension ref="A1:S139"/>
  <sheetViews>
    <sheetView workbookViewId="0"/>
  </sheetViews>
  <sheetFormatPr defaultColWidth="9.05859375" defaultRowHeight="12.7" outlineLevelCol="1" x14ac:dyDescent="0.4"/>
  <cols>
    <col min="1" max="1" width="13.52734375" style="21" bestFit="1" customWidth="1"/>
    <col min="2" max="2" width="27.3515625" style="9" customWidth="1"/>
    <col min="3" max="3" width="13.64453125" style="78" hidden="1" customWidth="1" outlineLevel="1"/>
    <col min="4" max="5" width="11" style="78" hidden="1" customWidth="1" outlineLevel="1"/>
    <col min="6" max="6" width="12.3515625" style="78" hidden="1" customWidth="1" outlineLevel="1"/>
    <col min="7" max="7" width="15.64453125" style="79" hidden="1" customWidth="1" outlineLevel="1"/>
    <col min="8" max="8" width="15.46875" style="76" hidden="1" customWidth="1" outlineLevel="1"/>
    <col min="9" max="9" width="22" style="79" bestFit="1" customWidth="1" collapsed="1"/>
    <col min="10" max="10" width="13.46875" style="76" customWidth="1"/>
    <col min="11" max="11" width="11.64453125" style="76" customWidth="1"/>
    <col min="12" max="12" width="13.17578125" style="76" customWidth="1"/>
    <col min="13" max="13" width="11.703125" style="76" customWidth="1"/>
    <col min="14" max="15" width="9.05859375" style="21"/>
    <col min="16" max="16" width="17.52734375" style="13" customWidth="1"/>
    <col min="17" max="17" width="9.05859375" style="21"/>
    <col min="18" max="18" width="10.64453125" style="21" bestFit="1" customWidth="1"/>
    <col min="19" max="21" width="9.05859375" style="21"/>
    <col min="22" max="22" width="12.87890625" style="21" customWidth="1"/>
    <col min="23" max="23" width="14" style="21" customWidth="1"/>
    <col min="24" max="16384" width="9.05859375" style="21"/>
  </cols>
  <sheetData>
    <row r="1" spans="1:18" x14ac:dyDescent="0.4">
      <c r="A1" s="127" t="s">
        <v>901</v>
      </c>
      <c r="B1" s="75"/>
    </row>
    <row r="2" spans="1:18" x14ac:dyDescent="0.4">
      <c r="A2" s="127" t="s">
        <v>603</v>
      </c>
      <c r="B2" s="75"/>
    </row>
    <row r="3" spans="1:18" x14ac:dyDescent="0.4">
      <c r="A3" s="3">
        <v>43281</v>
      </c>
      <c r="B3" s="3"/>
      <c r="F3" s="78" t="s">
        <v>261</v>
      </c>
      <c r="G3" s="79" t="s">
        <v>261</v>
      </c>
      <c r="H3" s="4"/>
    </row>
    <row r="5" spans="1:18" s="10" customFormat="1" x14ac:dyDescent="0.4">
      <c r="A5" s="21" t="s">
        <v>484</v>
      </c>
      <c r="B5" s="9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J5" s="78"/>
      <c r="K5" s="78"/>
      <c r="L5" s="416" t="s">
        <v>282</v>
      </c>
      <c r="M5" s="416" t="s">
        <v>284</v>
      </c>
      <c r="P5" s="83"/>
    </row>
    <row r="6" spans="1:18" s="10" customFormat="1" x14ac:dyDescent="0.4">
      <c r="A6" s="128" t="s">
        <v>1047</v>
      </c>
      <c r="B6" s="12" t="s">
        <v>1048</v>
      </c>
      <c r="C6" s="78">
        <v>123500</v>
      </c>
      <c r="D6" s="78"/>
      <c r="E6" s="78"/>
      <c r="F6" s="78"/>
      <c r="G6" s="79">
        <f t="shared" ref="G6:G71" si="0">SUM(C6:F6)</f>
        <v>123500</v>
      </c>
      <c r="H6" s="78" t="s">
        <v>287</v>
      </c>
      <c r="I6" s="79">
        <f>G6*1</f>
        <v>123500</v>
      </c>
      <c r="J6" s="78"/>
      <c r="K6" s="78"/>
      <c r="L6" s="417" t="s">
        <v>287</v>
      </c>
      <c r="M6" s="418">
        <v>550537.49</v>
      </c>
      <c r="N6" s="96"/>
      <c r="O6" s="96"/>
      <c r="P6" s="13"/>
    </row>
    <row r="7" spans="1:18" s="10" customFormat="1" x14ac:dyDescent="0.4">
      <c r="A7" s="128" t="s">
        <v>1049</v>
      </c>
      <c r="B7" s="12" t="s">
        <v>1050</v>
      </c>
      <c r="C7" s="78">
        <v>25277.88</v>
      </c>
      <c r="D7" s="78"/>
      <c r="E7" s="78"/>
      <c r="F7" s="78"/>
      <c r="G7" s="79">
        <f t="shared" si="0"/>
        <v>25277.88</v>
      </c>
      <c r="H7" s="78" t="s">
        <v>287</v>
      </c>
      <c r="I7" s="79">
        <f t="shared" ref="I7:I72" si="1">G7*1</f>
        <v>25277.88</v>
      </c>
      <c r="J7" s="78"/>
      <c r="K7" s="78"/>
      <c r="L7" s="417" t="s">
        <v>288</v>
      </c>
      <c r="M7" s="418">
        <v>-296344.23</v>
      </c>
      <c r="N7" s="96"/>
      <c r="O7" s="96"/>
      <c r="P7" s="13"/>
    </row>
    <row r="8" spans="1:18" s="10" customFormat="1" x14ac:dyDescent="0.4">
      <c r="A8" s="128" t="s">
        <v>1051</v>
      </c>
      <c r="B8" s="12" t="s">
        <v>1052</v>
      </c>
      <c r="C8" s="78">
        <v>0</v>
      </c>
      <c r="D8" s="78"/>
      <c r="E8" s="78"/>
      <c r="F8" s="78"/>
      <c r="G8" s="79">
        <f t="shared" si="0"/>
        <v>0</v>
      </c>
      <c r="H8" s="78" t="s">
        <v>287</v>
      </c>
      <c r="I8" s="79">
        <f t="shared" si="1"/>
        <v>0</v>
      </c>
      <c r="J8" s="78"/>
      <c r="K8" s="78"/>
      <c r="L8" s="417" t="s">
        <v>292</v>
      </c>
      <c r="M8" s="418">
        <v>-143105.60000000001</v>
      </c>
      <c r="N8" s="96"/>
      <c r="O8" s="96"/>
      <c r="P8" s="13"/>
    </row>
    <row r="9" spans="1:18" s="10" customFormat="1" x14ac:dyDescent="0.4">
      <c r="A9" s="128" t="s">
        <v>1053</v>
      </c>
      <c r="B9" s="12" t="s">
        <v>1054</v>
      </c>
      <c r="C9" s="78">
        <v>53437.120000000003</v>
      </c>
      <c r="D9" s="78"/>
      <c r="E9" s="78"/>
      <c r="F9" s="78"/>
      <c r="G9" s="79">
        <f t="shared" si="0"/>
        <v>53437.120000000003</v>
      </c>
      <c r="H9" s="78" t="s">
        <v>287</v>
      </c>
      <c r="I9" s="79">
        <f t="shared" si="1"/>
        <v>53437.120000000003</v>
      </c>
      <c r="J9" s="78"/>
      <c r="K9" s="78"/>
      <c r="L9" s="417" t="s">
        <v>291</v>
      </c>
      <c r="M9" s="418">
        <v>-13557.05</v>
      </c>
      <c r="N9" s="96"/>
      <c r="O9" s="96"/>
      <c r="P9" s="13"/>
    </row>
    <row r="10" spans="1:18" s="10" customFormat="1" x14ac:dyDescent="0.4">
      <c r="A10" s="68" t="s">
        <v>1055</v>
      </c>
      <c r="B10" s="12" t="s">
        <v>1056</v>
      </c>
      <c r="C10" s="78">
        <v>0</v>
      </c>
      <c r="D10" s="78"/>
      <c r="E10" s="78"/>
      <c r="F10" s="78">
        <v>0</v>
      </c>
      <c r="G10" s="79">
        <f t="shared" si="0"/>
        <v>0</v>
      </c>
      <c r="H10" s="78" t="s">
        <v>287</v>
      </c>
      <c r="I10" s="79">
        <f t="shared" si="1"/>
        <v>0</v>
      </c>
      <c r="J10" s="78"/>
      <c r="K10" s="78"/>
      <c r="L10" s="417" t="s">
        <v>289</v>
      </c>
      <c r="M10" s="418">
        <v>-78583.839999999997</v>
      </c>
      <c r="N10" s="96"/>
      <c r="O10" s="96"/>
      <c r="P10" s="13"/>
    </row>
    <row r="11" spans="1:18" s="10" customFormat="1" x14ac:dyDescent="0.4">
      <c r="A11" s="125" t="s">
        <v>1057</v>
      </c>
      <c r="B11" s="125" t="s">
        <v>1058</v>
      </c>
      <c r="C11" s="78">
        <v>296350</v>
      </c>
      <c r="D11" s="78"/>
      <c r="E11" s="78"/>
      <c r="F11" s="78"/>
      <c r="G11" s="79">
        <f t="shared" si="0"/>
        <v>296350</v>
      </c>
      <c r="H11" s="78" t="s">
        <v>287</v>
      </c>
      <c r="I11" s="79">
        <f t="shared" si="1"/>
        <v>296350</v>
      </c>
      <c r="J11" s="78"/>
      <c r="K11" s="78"/>
      <c r="L11" s="417" t="s">
        <v>290</v>
      </c>
      <c r="M11" s="418">
        <v>-19637.830000000002</v>
      </c>
      <c r="N11" s="96"/>
      <c r="O11" s="96"/>
      <c r="P11" s="13"/>
    </row>
    <row r="12" spans="1:18" s="78" customFormat="1" x14ac:dyDescent="0.4">
      <c r="A12" s="128" t="s">
        <v>1059</v>
      </c>
      <c r="B12" s="12" t="s">
        <v>1060</v>
      </c>
      <c r="C12" s="78">
        <v>3000</v>
      </c>
      <c r="G12" s="79">
        <f t="shared" si="0"/>
        <v>3000</v>
      </c>
      <c r="H12" s="78" t="s">
        <v>287</v>
      </c>
      <c r="I12" s="79">
        <f t="shared" si="1"/>
        <v>3000</v>
      </c>
      <c r="L12" s="417" t="s">
        <v>299</v>
      </c>
      <c r="M12" s="418">
        <v>-7324.57</v>
      </c>
      <c r="N12" s="96"/>
      <c r="O12" s="96"/>
      <c r="P12" s="13"/>
      <c r="Q12" s="10"/>
      <c r="R12" s="10"/>
    </row>
    <row r="13" spans="1:18" s="78" customFormat="1" x14ac:dyDescent="0.4">
      <c r="A13" s="128" t="s">
        <v>1234</v>
      </c>
      <c r="B13" s="12" t="s">
        <v>1235</v>
      </c>
      <c r="C13" s="78">
        <v>563.52</v>
      </c>
      <c r="G13" s="79">
        <f t="shared" si="0"/>
        <v>563.52</v>
      </c>
      <c r="H13" s="78" t="s">
        <v>287</v>
      </c>
      <c r="I13" s="79">
        <f t="shared" si="1"/>
        <v>563.52</v>
      </c>
      <c r="L13" s="417" t="s">
        <v>862</v>
      </c>
      <c r="M13" s="418">
        <v>0</v>
      </c>
      <c r="N13" s="96"/>
      <c r="O13" s="96"/>
      <c r="P13" s="13"/>
      <c r="Q13" s="10"/>
      <c r="R13" s="10"/>
    </row>
    <row r="14" spans="1:18" s="78" customFormat="1" x14ac:dyDescent="0.4">
      <c r="A14" s="128" t="s">
        <v>1063</v>
      </c>
      <c r="B14" s="12" t="s">
        <v>1064</v>
      </c>
      <c r="C14" s="78">
        <v>42013.75</v>
      </c>
      <c r="G14" s="79">
        <f t="shared" si="0"/>
        <v>42013.75</v>
      </c>
      <c r="H14" s="78" t="s">
        <v>287</v>
      </c>
      <c r="I14" s="79">
        <f t="shared" si="1"/>
        <v>42013.75</v>
      </c>
      <c r="L14" s="417" t="s">
        <v>283</v>
      </c>
      <c r="M14" s="418">
        <v>-8015.6300000000301</v>
      </c>
      <c r="N14" s="96"/>
      <c r="O14" s="96"/>
      <c r="P14" s="13"/>
      <c r="Q14" s="10"/>
      <c r="R14" s="10"/>
    </row>
    <row r="15" spans="1:18" s="10" customFormat="1" ht="14.35" x14ac:dyDescent="0.5">
      <c r="A15" s="128" t="s">
        <v>1065</v>
      </c>
      <c r="B15" s="12" t="s">
        <v>1066</v>
      </c>
      <c r="C15" s="78">
        <v>0</v>
      </c>
      <c r="D15" s="78"/>
      <c r="E15" s="78"/>
      <c r="F15" s="78"/>
      <c r="G15" s="79">
        <f t="shared" si="0"/>
        <v>0</v>
      </c>
      <c r="H15" s="78" t="s">
        <v>287</v>
      </c>
      <c r="I15" s="79">
        <f t="shared" si="1"/>
        <v>0</v>
      </c>
      <c r="J15" s="78"/>
      <c r="K15" s="78"/>
      <c r="L15"/>
      <c r="M15"/>
      <c r="N15" s="96"/>
      <c r="O15" s="96"/>
      <c r="P15" s="13"/>
    </row>
    <row r="16" spans="1:18" s="10" customFormat="1" x14ac:dyDescent="0.4">
      <c r="A16" s="128" t="s">
        <v>1067</v>
      </c>
      <c r="B16" s="12" t="s">
        <v>1068</v>
      </c>
      <c r="C16" s="78">
        <v>5095.95</v>
      </c>
      <c r="D16" s="78"/>
      <c r="E16" s="78"/>
      <c r="F16" s="78"/>
      <c r="G16" s="79">
        <f t="shared" si="0"/>
        <v>5095.95</v>
      </c>
      <c r="H16" s="78" t="s">
        <v>287</v>
      </c>
      <c r="I16" s="79">
        <f t="shared" si="1"/>
        <v>5095.95</v>
      </c>
      <c r="J16" s="78"/>
      <c r="K16" s="78"/>
      <c r="L16" s="76"/>
      <c r="M16" s="76"/>
      <c r="N16" s="96"/>
      <c r="O16" s="96"/>
      <c r="P16" s="13"/>
    </row>
    <row r="17" spans="1:16" s="10" customFormat="1" x14ac:dyDescent="0.4">
      <c r="A17" s="128" t="s">
        <v>1069</v>
      </c>
      <c r="B17" s="12" t="s">
        <v>1070</v>
      </c>
      <c r="C17" s="78">
        <v>0</v>
      </c>
      <c r="D17" s="78"/>
      <c r="E17" s="78"/>
      <c r="F17" s="78"/>
      <c r="G17" s="79">
        <f t="shared" si="0"/>
        <v>0</v>
      </c>
      <c r="H17" s="78" t="s">
        <v>287</v>
      </c>
      <c r="I17" s="79">
        <f t="shared" si="1"/>
        <v>0</v>
      </c>
      <c r="J17" s="78"/>
      <c r="K17" s="78"/>
      <c r="L17" s="76"/>
      <c r="M17" s="76"/>
      <c r="N17" s="96"/>
      <c r="O17" s="96"/>
      <c r="P17" s="13"/>
    </row>
    <row r="18" spans="1:16" s="10" customFormat="1" x14ac:dyDescent="0.4">
      <c r="A18" s="128" t="s">
        <v>1071</v>
      </c>
      <c r="B18" s="12" t="s">
        <v>1072</v>
      </c>
      <c r="C18" s="78">
        <v>1283.8</v>
      </c>
      <c r="D18" s="78"/>
      <c r="E18" s="78"/>
      <c r="F18" s="78"/>
      <c r="G18" s="79">
        <f t="shared" si="0"/>
        <v>1283.8</v>
      </c>
      <c r="H18" s="78" t="s">
        <v>287</v>
      </c>
      <c r="I18" s="79">
        <f t="shared" si="1"/>
        <v>1283.8</v>
      </c>
      <c r="J18" s="78"/>
      <c r="K18" s="78"/>
      <c r="L18" s="76"/>
      <c r="M18" s="76"/>
      <c r="N18" s="96"/>
      <c r="O18" s="96"/>
      <c r="P18" s="13"/>
    </row>
    <row r="19" spans="1:16" s="10" customFormat="1" x14ac:dyDescent="0.4">
      <c r="A19" s="27" t="s">
        <v>1073</v>
      </c>
      <c r="B19" s="125" t="s">
        <v>1074</v>
      </c>
      <c r="C19" s="78">
        <v>15.47</v>
      </c>
      <c r="D19" s="78"/>
      <c r="E19" s="78"/>
      <c r="F19" s="78"/>
      <c r="G19" s="79">
        <f t="shared" si="0"/>
        <v>15.47</v>
      </c>
      <c r="H19" s="78" t="s">
        <v>287</v>
      </c>
      <c r="I19" s="79">
        <f t="shared" si="1"/>
        <v>15.47</v>
      </c>
      <c r="J19" s="78"/>
      <c r="K19" s="78"/>
      <c r="L19" s="76"/>
      <c r="M19" s="77"/>
      <c r="N19" s="96"/>
      <c r="O19" s="96"/>
      <c r="P19" s="13"/>
    </row>
    <row r="20" spans="1:16" s="10" customFormat="1" x14ac:dyDescent="0.4">
      <c r="A20" s="128" t="s">
        <v>1075</v>
      </c>
      <c r="B20" s="12" t="s">
        <v>1076</v>
      </c>
      <c r="C20" s="78">
        <v>-265436.38</v>
      </c>
      <c r="D20" s="78"/>
      <c r="E20" s="78"/>
      <c r="F20" s="78"/>
      <c r="G20" s="79">
        <f t="shared" si="0"/>
        <v>-265436.38</v>
      </c>
      <c r="H20" s="78" t="s">
        <v>288</v>
      </c>
      <c r="I20" s="79">
        <f t="shared" si="1"/>
        <v>-265436.38</v>
      </c>
      <c r="J20" s="78"/>
      <c r="K20" s="78"/>
      <c r="L20" s="76"/>
      <c r="M20" s="76"/>
      <c r="N20" s="96"/>
      <c r="O20" s="96"/>
      <c r="P20" s="13"/>
    </row>
    <row r="21" spans="1:16" s="10" customFormat="1" x14ac:dyDescent="0.4">
      <c r="A21" s="128" t="s">
        <v>509</v>
      </c>
      <c r="B21" s="12" t="s">
        <v>1077</v>
      </c>
      <c r="C21" s="78">
        <v>0</v>
      </c>
      <c r="D21" s="78"/>
      <c r="E21" s="78"/>
      <c r="F21" s="78"/>
      <c r="G21" s="79">
        <f t="shared" si="0"/>
        <v>0</v>
      </c>
      <c r="H21" s="78" t="s">
        <v>288</v>
      </c>
      <c r="I21" s="79">
        <f t="shared" si="1"/>
        <v>0</v>
      </c>
      <c r="J21" s="78"/>
      <c r="K21" s="78"/>
      <c r="L21" s="76"/>
      <c r="M21" s="77"/>
      <c r="N21" s="96"/>
      <c r="O21" s="96"/>
      <c r="P21" s="13"/>
    </row>
    <row r="22" spans="1:16" s="10" customFormat="1" x14ac:dyDescent="0.4">
      <c r="A22" s="128" t="s">
        <v>1078</v>
      </c>
      <c r="B22" s="27" t="s">
        <v>1079</v>
      </c>
      <c r="C22" s="78">
        <v>0</v>
      </c>
      <c r="D22" s="78"/>
      <c r="E22" s="78"/>
      <c r="F22" s="78"/>
      <c r="G22" s="79">
        <f t="shared" si="0"/>
        <v>0</v>
      </c>
      <c r="H22" s="78" t="s">
        <v>288</v>
      </c>
      <c r="I22" s="79">
        <f t="shared" si="1"/>
        <v>0</v>
      </c>
      <c r="J22" s="78"/>
      <c r="K22" s="78"/>
      <c r="L22" s="76"/>
      <c r="M22" s="77"/>
      <c r="N22" s="96"/>
      <c r="O22" s="96"/>
      <c r="P22" s="13"/>
    </row>
    <row r="23" spans="1:16" s="10" customFormat="1" x14ac:dyDescent="0.4">
      <c r="A23" s="128" t="s">
        <v>1080</v>
      </c>
      <c r="B23" s="12" t="s">
        <v>1081</v>
      </c>
      <c r="C23" s="78">
        <v>-13810.92</v>
      </c>
      <c r="D23" s="78"/>
      <c r="E23" s="78"/>
      <c r="F23" s="78"/>
      <c r="G23" s="79">
        <f t="shared" si="0"/>
        <v>-13810.92</v>
      </c>
      <c r="H23" s="78" t="s">
        <v>288</v>
      </c>
      <c r="I23" s="79">
        <f t="shared" si="1"/>
        <v>-13810.92</v>
      </c>
      <c r="J23" s="78"/>
      <c r="K23" s="78"/>
      <c r="L23" s="78"/>
      <c r="M23" s="78"/>
      <c r="N23" s="96"/>
      <c r="O23" s="96"/>
      <c r="P23" s="13"/>
    </row>
    <row r="24" spans="1:16" s="10" customFormat="1" x14ac:dyDescent="0.4">
      <c r="A24" s="128" t="s">
        <v>1082</v>
      </c>
      <c r="B24" s="12" t="s">
        <v>1083</v>
      </c>
      <c r="C24" s="78">
        <v>0</v>
      </c>
      <c r="D24" s="78"/>
      <c r="E24" s="78"/>
      <c r="F24" s="78"/>
      <c r="G24" s="79">
        <f t="shared" si="0"/>
        <v>0</v>
      </c>
      <c r="H24" s="78" t="s">
        <v>288</v>
      </c>
      <c r="I24" s="79">
        <f t="shared" si="1"/>
        <v>0</v>
      </c>
      <c r="J24" s="78"/>
      <c r="K24" s="78"/>
      <c r="L24" s="78"/>
      <c r="M24" s="78"/>
      <c r="N24" s="96"/>
      <c r="O24" s="96"/>
      <c r="P24" s="13"/>
    </row>
    <row r="25" spans="1:16" s="10" customFormat="1" x14ac:dyDescent="0.4">
      <c r="A25" s="125" t="s">
        <v>1084</v>
      </c>
      <c r="B25" s="125" t="s">
        <v>1085</v>
      </c>
      <c r="C25" s="78">
        <v>51.31</v>
      </c>
      <c r="D25" s="78"/>
      <c r="E25" s="78"/>
      <c r="F25" s="78"/>
      <c r="G25" s="79">
        <f t="shared" si="0"/>
        <v>51.31</v>
      </c>
      <c r="H25" s="78" t="s">
        <v>288</v>
      </c>
      <c r="I25" s="79">
        <f t="shared" si="1"/>
        <v>51.31</v>
      </c>
      <c r="J25" s="78"/>
      <c r="K25" s="78"/>
      <c r="L25" s="78"/>
      <c r="M25" s="78"/>
      <c r="N25" s="96"/>
      <c r="O25" s="96"/>
      <c r="P25" s="13"/>
    </row>
    <row r="26" spans="1:16" s="10" customFormat="1" x14ac:dyDescent="0.4">
      <c r="A26" s="128" t="s">
        <v>1086</v>
      </c>
      <c r="B26" s="12" t="s">
        <v>1087</v>
      </c>
      <c r="C26" s="78">
        <v>0</v>
      </c>
      <c r="D26" s="78"/>
      <c r="E26" s="78"/>
      <c r="F26" s="78"/>
      <c r="G26" s="79">
        <f t="shared" si="0"/>
        <v>0</v>
      </c>
      <c r="H26" s="78" t="s">
        <v>288</v>
      </c>
      <c r="I26" s="79">
        <f t="shared" si="1"/>
        <v>0</v>
      </c>
      <c r="J26" s="78"/>
      <c r="L26" s="78"/>
      <c r="M26" s="78"/>
      <c r="N26" s="96"/>
      <c r="O26" s="96"/>
      <c r="P26" s="13"/>
    </row>
    <row r="27" spans="1:16" s="10" customFormat="1" x14ac:dyDescent="0.4">
      <c r="A27" s="128" t="s">
        <v>1088</v>
      </c>
      <c r="B27" s="12" t="s">
        <v>1089</v>
      </c>
      <c r="C27" s="78">
        <v>-6343.16</v>
      </c>
      <c r="D27" s="78"/>
      <c r="E27" s="78"/>
      <c r="F27" s="78"/>
      <c r="G27" s="79">
        <f t="shared" si="0"/>
        <v>-6343.16</v>
      </c>
      <c r="H27" s="78" t="s">
        <v>288</v>
      </c>
      <c r="I27" s="79">
        <f t="shared" si="1"/>
        <v>-6343.16</v>
      </c>
      <c r="J27" s="78"/>
      <c r="K27" s="78"/>
      <c r="L27" s="78"/>
      <c r="M27" s="78"/>
      <c r="N27" s="96"/>
      <c r="O27" s="96"/>
      <c r="P27" s="13"/>
    </row>
    <row r="28" spans="1:16" s="10" customFormat="1" x14ac:dyDescent="0.4">
      <c r="A28" s="128" t="s">
        <v>1090</v>
      </c>
      <c r="B28" s="12" t="s">
        <v>1091</v>
      </c>
      <c r="C28" s="78">
        <v>-1042.1300000000001</v>
      </c>
      <c r="D28" s="78"/>
      <c r="E28" s="78"/>
      <c r="F28" s="78"/>
      <c r="G28" s="79">
        <f t="shared" si="0"/>
        <v>-1042.1300000000001</v>
      </c>
      <c r="H28" s="79" t="s">
        <v>288</v>
      </c>
      <c r="I28" s="79">
        <f t="shared" si="1"/>
        <v>-1042.1300000000001</v>
      </c>
      <c r="J28" s="78"/>
      <c r="K28" s="78"/>
      <c r="L28" s="78"/>
      <c r="M28" s="78"/>
      <c r="N28" s="96"/>
      <c r="O28" s="96"/>
      <c r="P28" s="13"/>
    </row>
    <row r="29" spans="1:16" s="10" customFormat="1" x14ac:dyDescent="0.4">
      <c r="A29" s="128" t="s">
        <v>1092</v>
      </c>
      <c r="B29" s="12" t="s">
        <v>1093</v>
      </c>
      <c r="C29" s="78">
        <v>0</v>
      </c>
      <c r="D29" s="78"/>
      <c r="E29" s="78"/>
      <c r="F29" s="78"/>
      <c r="G29" s="79">
        <f t="shared" si="0"/>
        <v>0</v>
      </c>
      <c r="H29" s="78" t="s">
        <v>288</v>
      </c>
      <c r="I29" s="79">
        <f t="shared" si="1"/>
        <v>0</v>
      </c>
      <c r="J29" s="78"/>
      <c r="K29" s="78"/>
      <c r="L29" s="78"/>
      <c r="M29" s="78"/>
      <c r="N29" s="96"/>
      <c r="O29" s="96"/>
      <c r="P29" s="13"/>
    </row>
    <row r="30" spans="1:16" s="10" customFormat="1" x14ac:dyDescent="0.4">
      <c r="A30" s="128" t="s">
        <v>1094</v>
      </c>
      <c r="B30" s="12" t="s">
        <v>1095</v>
      </c>
      <c r="C30" s="78">
        <v>-9520</v>
      </c>
      <c r="D30" s="78"/>
      <c r="E30" s="78"/>
      <c r="F30" s="78"/>
      <c r="G30" s="79">
        <f t="shared" si="0"/>
        <v>-9520</v>
      </c>
      <c r="H30" s="78" t="s">
        <v>288</v>
      </c>
      <c r="I30" s="79">
        <f t="shared" si="1"/>
        <v>-9520</v>
      </c>
      <c r="J30" s="78"/>
      <c r="K30" s="78"/>
      <c r="L30" s="78"/>
      <c r="M30" s="78"/>
      <c r="N30" s="96"/>
      <c r="O30" s="96"/>
      <c r="P30" s="13"/>
    </row>
    <row r="31" spans="1:16" s="10" customFormat="1" x14ac:dyDescent="0.4">
      <c r="A31" s="128" t="s">
        <v>1096</v>
      </c>
      <c r="B31" s="12" t="s">
        <v>1097</v>
      </c>
      <c r="C31" s="78">
        <v>-242.95</v>
      </c>
      <c r="D31" s="78"/>
      <c r="E31" s="78"/>
      <c r="F31" s="78"/>
      <c r="G31" s="79">
        <f t="shared" si="0"/>
        <v>-242.95</v>
      </c>
      <c r="H31" s="78" t="s">
        <v>288</v>
      </c>
      <c r="I31" s="79">
        <f t="shared" si="1"/>
        <v>-242.95</v>
      </c>
      <c r="J31" s="78"/>
      <c r="K31" s="78"/>
      <c r="L31" s="78"/>
      <c r="M31" s="78"/>
      <c r="N31" s="96"/>
      <c r="O31" s="96"/>
      <c r="P31" s="13"/>
    </row>
    <row r="32" spans="1:16" s="10" customFormat="1" x14ac:dyDescent="0.4">
      <c r="A32" s="128" t="s">
        <v>1098</v>
      </c>
      <c r="B32" s="12" t="s">
        <v>1099</v>
      </c>
      <c r="C32" s="78">
        <v>0</v>
      </c>
      <c r="D32" s="78"/>
      <c r="E32" s="78"/>
      <c r="F32" s="78"/>
      <c r="G32" s="79">
        <f t="shared" si="0"/>
        <v>0</v>
      </c>
      <c r="H32" s="78" t="s">
        <v>288</v>
      </c>
      <c r="I32" s="79">
        <f t="shared" si="1"/>
        <v>0</v>
      </c>
      <c r="J32" s="78"/>
      <c r="K32" s="78"/>
      <c r="L32" s="78"/>
      <c r="M32" s="78"/>
      <c r="N32" s="96"/>
      <c r="O32" s="96"/>
      <c r="P32" s="13"/>
    </row>
    <row r="33" spans="1:19" s="10" customFormat="1" x14ac:dyDescent="0.4">
      <c r="A33" s="128" t="s">
        <v>1100</v>
      </c>
      <c r="B33" s="12" t="s">
        <v>1101</v>
      </c>
      <c r="C33" s="78">
        <v>-19023.25</v>
      </c>
      <c r="D33" s="78"/>
      <c r="E33" s="78"/>
      <c r="F33" s="78"/>
      <c r="G33" s="79">
        <f t="shared" si="0"/>
        <v>-19023.25</v>
      </c>
      <c r="H33" s="78" t="s">
        <v>292</v>
      </c>
      <c r="I33" s="79">
        <f t="shared" si="1"/>
        <v>-19023.25</v>
      </c>
      <c r="J33" s="78"/>
      <c r="K33" s="78"/>
      <c r="L33" s="78"/>
      <c r="M33" s="78"/>
      <c r="N33" s="96"/>
      <c r="O33" s="96"/>
      <c r="P33" s="97"/>
    </row>
    <row r="34" spans="1:19" s="78" customFormat="1" x14ac:dyDescent="0.4">
      <c r="A34" s="128" t="s">
        <v>1102</v>
      </c>
      <c r="B34" s="12" t="s">
        <v>1103</v>
      </c>
      <c r="C34" s="78">
        <v>-20034.12</v>
      </c>
      <c r="G34" s="79">
        <f t="shared" si="0"/>
        <v>-20034.12</v>
      </c>
      <c r="H34" s="78" t="s">
        <v>292</v>
      </c>
      <c r="I34" s="79">
        <f t="shared" si="1"/>
        <v>-20034.12</v>
      </c>
      <c r="J34" s="78">
        <f>SUM(I6:I32)</f>
        <v>254193.26</v>
      </c>
      <c r="N34" s="96"/>
      <c r="O34" s="96"/>
      <c r="P34" s="97"/>
      <c r="Q34" s="10"/>
      <c r="R34" s="10"/>
      <c r="S34" s="10"/>
    </row>
    <row r="35" spans="1:19" s="78" customFormat="1" x14ac:dyDescent="0.4">
      <c r="A35" s="128" t="s">
        <v>1104</v>
      </c>
      <c r="B35" s="12" t="s">
        <v>1105</v>
      </c>
      <c r="C35" s="78">
        <v>-5820.33</v>
      </c>
      <c r="G35" s="79">
        <f t="shared" si="0"/>
        <v>-5820.33</v>
      </c>
      <c r="H35" s="78" t="s">
        <v>292</v>
      </c>
      <c r="I35" s="79">
        <f t="shared" si="1"/>
        <v>-5820.33</v>
      </c>
      <c r="N35" s="96"/>
      <c r="O35" s="96"/>
      <c r="P35" s="97"/>
      <c r="Q35" s="10"/>
      <c r="R35" s="10"/>
      <c r="S35" s="10"/>
    </row>
    <row r="36" spans="1:19" s="10" customFormat="1" x14ac:dyDescent="0.4">
      <c r="A36" s="128" t="s">
        <v>1106</v>
      </c>
      <c r="B36" s="12" t="s">
        <v>1107</v>
      </c>
      <c r="C36" s="78">
        <v>-13960.37</v>
      </c>
      <c r="D36" s="78"/>
      <c r="E36" s="78"/>
      <c r="F36" s="78"/>
      <c r="G36" s="79">
        <f t="shared" si="0"/>
        <v>-13960.37</v>
      </c>
      <c r="H36" s="78" t="s">
        <v>292</v>
      </c>
      <c r="I36" s="79">
        <f t="shared" si="1"/>
        <v>-13960.37</v>
      </c>
      <c r="J36" s="78"/>
      <c r="K36" s="78"/>
      <c r="L36" s="78"/>
      <c r="M36" s="78"/>
      <c r="N36" s="96"/>
      <c r="O36" s="96"/>
      <c r="P36" s="97"/>
    </row>
    <row r="37" spans="1:19" s="10" customFormat="1" x14ac:dyDescent="0.4">
      <c r="A37" s="128" t="s">
        <v>1108</v>
      </c>
      <c r="B37" s="12" t="s">
        <v>1109</v>
      </c>
      <c r="C37" s="78">
        <v>-27929.3</v>
      </c>
      <c r="D37" s="78"/>
      <c r="E37" s="78"/>
      <c r="F37" s="78"/>
      <c r="G37" s="79">
        <f t="shared" si="0"/>
        <v>-27929.3</v>
      </c>
      <c r="H37" s="78" t="s">
        <v>292</v>
      </c>
      <c r="I37" s="79">
        <f t="shared" si="1"/>
        <v>-27929.3</v>
      </c>
      <c r="J37" s="78"/>
      <c r="K37" s="78"/>
      <c r="L37" s="78"/>
      <c r="M37" s="78"/>
      <c r="N37" s="96"/>
      <c r="O37" s="96"/>
      <c r="P37" s="97"/>
    </row>
    <row r="38" spans="1:19" s="10" customFormat="1" x14ac:dyDescent="0.4">
      <c r="A38" s="128" t="s">
        <v>1110</v>
      </c>
      <c r="B38" s="12" t="s">
        <v>1111</v>
      </c>
      <c r="C38" s="78">
        <v>0</v>
      </c>
      <c r="D38" s="78"/>
      <c r="E38" s="78"/>
      <c r="F38" s="78"/>
      <c r="G38" s="79">
        <f t="shared" si="0"/>
        <v>0</v>
      </c>
      <c r="H38" s="78" t="s">
        <v>292</v>
      </c>
      <c r="I38" s="79">
        <f t="shared" si="1"/>
        <v>0</v>
      </c>
      <c r="J38" s="78"/>
      <c r="K38" s="78"/>
      <c r="L38" s="78"/>
      <c r="M38" s="78"/>
      <c r="N38" s="96"/>
      <c r="O38" s="96"/>
      <c r="P38" s="97"/>
    </row>
    <row r="39" spans="1:19" s="10" customFormat="1" x14ac:dyDescent="0.4">
      <c r="A39" s="128" t="s">
        <v>1112</v>
      </c>
      <c r="B39" s="12" t="s">
        <v>1113</v>
      </c>
      <c r="C39" s="78">
        <v>0</v>
      </c>
      <c r="D39" s="78"/>
      <c r="E39" s="78"/>
      <c r="F39" s="78"/>
      <c r="G39" s="79">
        <f t="shared" si="0"/>
        <v>0</v>
      </c>
      <c r="H39" s="78" t="s">
        <v>292</v>
      </c>
      <c r="I39" s="79">
        <f t="shared" si="1"/>
        <v>0</v>
      </c>
      <c r="J39" s="78"/>
      <c r="K39" s="78"/>
      <c r="L39" s="78"/>
      <c r="M39" s="78"/>
      <c r="N39" s="96"/>
      <c r="O39" s="96"/>
      <c r="P39" s="97"/>
    </row>
    <row r="40" spans="1:19" s="10" customFormat="1" x14ac:dyDescent="0.4">
      <c r="A40" s="128" t="s">
        <v>1114</v>
      </c>
      <c r="B40" s="12" t="s">
        <v>1115</v>
      </c>
      <c r="C40" s="78">
        <v>0</v>
      </c>
      <c r="D40" s="78"/>
      <c r="E40" s="78"/>
      <c r="F40" s="78"/>
      <c r="G40" s="79">
        <f t="shared" si="0"/>
        <v>0</v>
      </c>
      <c r="H40" s="78" t="s">
        <v>292</v>
      </c>
      <c r="I40" s="79">
        <f t="shared" si="1"/>
        <v>0</v>
      </c>
      <c r="J40" s="78"/>
      <c r="K40" s="78"/>
      <c r="L40" s="78"/>
      <c r="M40" s="78"/>
      <c r="N40" s="96"/>
      <c r="O40" s="96"/>
      <c r="P40" s="97"/>
    </row>
    <row r="41" spans="1:19" s="10" customFormat="1" x14ac:dyDescent="0.4">
      <c r="A41" s="128" t="s">
        <v>1116</v>
      </c>
      <c r="B41" s="12" t="s">
        <v>1117</v>
      </c>
      <c r="C41" s="78">
        <v>-10321</v>
      </c>
      <c r="D41" s="78"/>
      <c r="E41" s="78"/>
      <c r="F41" s="78"/>
      <c r="G41" s="79">
        <f t="shared" si="0"/>
        <v>-10321</v>
      </c>
      <c r="H41" s="78" t="s">
        <v>291</v>
      </c>
      <c r="I41" s="79">
        <f t="shared" si="1"/>
        <v>-10321</v>
      </c>
      <c r="J41" s="78"/>
      <c r="K41" s="78"/>
      <c r="L41" s="78"/>
      <c r="M41" s="78"/>
      <c r="N41" s="96"/>
      <c r="O41" s="96"/>
      <c r="P41" s="97"/>
    </row>
    <row r="42" spans="1:19" s="10" customFormat="1" x14ac:dyDescent="0.4">
      <c r="A42" s="128" t="s">
        <v>1118</v>
      </c>
      <c r="B42" s="12" t="s">
        <v>1119</v>
      </c>
      <c r="C42" s="78">
        <v>-3236.05</v>
      </c>
      <c r="D42" s="78"/>
      <c r="E42" s="78"/>
      <c r="F42" s="78"/>
      <c r="G42" s="79">
        <f t="shared" si="0"/>
        <v>-3236.05</v>
      </c>
      <c r="H42" s="78" t="s">
        <v>291</v>
      </c>
      <c r="I42" s="79">
        <f t="shared" si="1"/>
        <v>-3236.05</v>
      </c>
      <c r="J42" s="79"/>
      <c r="K42" s="79"/>
      <c r="L42" s="79"/>
      <c r="M42" s="79"/>
      <c r="N42" s="96"/>
      <c r="O42" s="96"/>
      <c r="P42" s="97"/>
    </row>
    <row r="43" spans="1:19" s="10" customFormat="1" x14ac:dyDescent="0.4">
      <c r="A43" s="128" t="s">
        <v>1120</v>
      </c>
      <c r="B43" s="12" t="s">
        <v>1121</v>
      </c>
      <c r="C43" s="78">
        <v>0</v>
      </c>
      <c r="D43" s="78"/>
      <c r="E43" s="78"/>
      <c r="F43" s="78"/>
      <c r="G43" s="79">
        <f t="shared" si="0"/>
        <v>0</v>
      </c>
      <c r="H43" s="78" t="s">
        <v>292</v>
      </c>
      <c r="I43" s="79">
        <f t="shared" si="1"/>
        <v>0</v>
      </c>
      <c r="J43" s="78"/>
      <c r="K43" s="78"/>
      <c r="L43" s="78"/>
      <c r="M43" s="78"/>
      <c r="N43" s="96"/>
      <c r="O43" s="96"/>
      <c r="P43" s="97"/>
    </row>
    <row r="44" spans="1:19" s="10" customFormat="1" x14ac:dyDescent="0.4">
      <c r="A44" s="128" t="s">
        <v>1122</v>
      </c>
      <c r="B44" s="12" t="s">
        <v>1123</v>
      </c>
      <c r="C44" s="78">
        <v>0</v>
      </c>
      <c r="D44" s="78"/>
      <c r="E44" s="78"/>
      <c r="F44" s="78"/>
      <c r="G44" s="79">
        <f t="shared" si="0"/>
        <v>0</v>
      </c>
      <c r="H44" s="78" t="s">
        <v>292</v>
      </c>
      <c r="I44" s="79">
        <f t="shared" si="1"/>
        <v>0</v>
      </c>
      <c r="J44" s="78"/>
      <c r="K44" s="78"/>
      <c r="L44" s="78"/>
      <c r="M44" s="78"/>
      <c r="N44" s="96"/>
      <c r="O44" s="96"/>
      <c r="P44" s="97"/>
    </row>
    <row r="45" spans="1:19" s="10" customFormat="1" x14ac:dyDescent="0.4">
      <c r="A45" s="128" t="s">
        <v>1124</v>
      </c>
      <c r="B45" s="12" t="s">
        <v>1125</v>
      </c>
      <c r="C45" s="78">
        <v>0</v>
      </c>
      <c r="D45" s="78"/>
      <c r="E45" s="78"/>
      <c r="F45" s="78"/>
      <c r="G45" s="79">
        <f t="shared" si="0"/>
        <v>0</v>
      </c>
      <c r="H45" s="78" t="s">
        <v>292</v>
      </c>
      <c r="I45" s="79">
        <f t="shared" si="1"/>
        <v>0</v>
      </c>
      <c r="J45" s="78"/>
      <c r="K45" s="78"/>
      <c r="L45" s="78"/>
      <c r="M45" s="78"/>
      <c r="N45" s="96"/>
      <c r="O45" s="96"/>
      <c r="P45" s="97"/>
    </row>
    <row r="46" spans="1:19" s="10" customFormat="1" x14ac:dyDescent="0.4">
      <c r="A46" s="128" t="s">
        <v>1126</v>
      </c>
      <c r="B46" s="12" t="s">
        <v>1127</v>
      </c>
      <c r="C46" s="78">
        <v>-6054.22</v>
      </c>
      <c r="D46" s="78"/>
      <c r="E46" s="78"/>
      <c r="F46" s="78"/>
      <c r="G46" s="79">
        <f t="shared" si="0"/>
        <v>-6054.22</v>
      </c>
      <c r="H46" s="78" t="s">
        <v>292</v>
      </c>
      <c r="I46" s="79">
        <f t="shared" si="1"/>
        <v>-6054.22</v>
      </c>
      <c r="J46" s="78"/>
      <c r="K46" s="78"/>
      <c r="L46" s="78"/>
      <c r="M46" s="78"/>
      <c r="N46" s="96"/>
      <c r="O46" s="96"/>
      <c r="P46" s="97"/>
    </row>
    <row r="47" spans="1:19" s="10" customFormat="1" x14ac:dyDescent="0.4">
      <c r="A47" s="128" t="s">
        <v>1128</v>
      </c>
      <c r="B47" s="12" t="s">
        <v>1129</v>
      </c>
      <c r="C47" s="78">
        <v>-3280.2</v>
      </c>
      <c r="D47" s="78"/>
      <c r="E47" s="78"/>
      <c r="F47" s="78"/>
      <c r="G47" s="79">
        <f t="shared" si="0"/>
        <v>-3280.2</v>
      </c>
      <c r="H47" s="78" t="s">
        <v>292</v>
      </c>
      <c r="I47" s="79">
        <f t="shared" si="1"/>
        <v>-3280.2</v>
      </c>
      <c r="J47" s="78"/>
      <c r="K47" s="78"/>
      <c r="L47" s="78"/>
      <c r="M47" s="78"/>
      <c r="N47" s="96"/>
      <c r="O47" s="96"/>
      <c r="P47" s="97"/>
    </row>
    <row r="48" spans="1:19" s="10" customFormat="1" x14ac:dyDescent="0.4">
      <c r="A48" s="128" t="s">
        <v>1130</v>
      </c>
      <c r="B48" s="12" t="s">
        <v>1131</v>
      </c>
      <c r="C48" s="78">
        <v>-886.5</v>
      </c>
      <c r="D48" s="78"/>
      <c r="E48" s="78"/>
      <c r="F48" s="78"/>
      <c r="G48" s="79">
        <f t="shared" si="0"/>
        <v>-886.5</v>
      </c>
      <c r="H48" s="78" t="s">
        <v>292</v>
      </c>
      <c r="I48" s="79">
        <f t="shared" si="1"/>
        <v>-886.5</v>
      </c>
      <c r="J48" s="78"/>
      <c r="K48" s="78"/>
      <c r="L48" s="78"/>
      <c r="M48" s="78"/>
      <c r="N48" s="96"/>
      <c r="O48" s="96"/>
      <c r="P48" s="97"/>
    </row>
    <row r="49" spans="1:16" s="10" customFormat="1" x14ac:dyDescent="0.4">
      <c r="A49" s="128" t="s">
        <v>1132</v>
      </c>
      <c r="B49" s="12" t="s">
        <v>186</v>
      </c>
      <c r="C49" s="78">
        <v>0</v>
      </c>
      <c r="D49" s="78"/>
      <c r="E49" s="78"/>
      <c r="F49" s="78"/>
      <c r="G49" s="79">
        <f t="shared" si="0"/>
        <v>0</v>
      </c>
      <c r="H49" s="78" t="s">
        <v>292</v>
      </c>
      <c r="I49" s="79">
        <f t="shared" si="1"/>
        <v>0</v>
      </c>
      <c r="J49" s="78"/>
      <c r="K49" s="78"/>
      <c r="L49" s="78"/>
      <c r="M49" s="78"/>
      <c r="N49" s="96"/>
      <c r="O49" s="96"/>
      <c r="P49" s="97"/>
    </row>
    <row r="50" spans="1:16" s="10" customFormat="1" x14ac:dyDescent="0.4">
      <c r="A50" s="128" t="s">
        <v>1133</v>
      </c>
      <c r="B50" s="12" t="s">
        <v>1134</v>
      </c>
      <c r="C50" s="78">
        <v>-1289.21</v>
      </c>
      <c r="D50" s="78"/>
      <c r="E50" s="78"/>
      <c r="F50" s="78"/>
      <c r="G50" s="79">
        <f t="shared" si="0"/>
        <v>-1289.21</v>
      </c>
      <c r="H50" s="78" t="s">
        <v>292</v>
      </c>
      <c r="I50" s="79">
        <f t="shared" si="1"/>
        <v>-1289.21</v>
      </c>
      <c r="J50" s="78"/>
      <c r="K50" s="78"/>
      <c r="L50" s="78"/>
      <c r="M50" s="78"/>
      <c r="N50" s="96"/>
      <c r="O50" s="96"/>
      <c r="P50" s="97"/>
    </row>
    <row r="51" spans="1:16" s="10" customFormat="1" x14ac:dyDescent="0.4">
      <c r="A51" s="128" t="s">
        <v>1135</v>
      </c>
      <c r="B51" s="12" t="s">
        <v>1136</v>
      </c>
      <c r="C51" s="78">
        <v>-169</v>
      </c>
      <c r="D51" s="78"/>
      <c r="E51" s="78"/>
      <c r="F51" s="78"/>
      <c r="G51" s="79">
        <f t="shared" si="0"/>
        <v>-169</v>
      </c>
      <c r="H51" s="78" t="s">
        <v>292</v>
      </c>
      <c r="I51" s="79">
        <f t="shared" si="1"/>
        <v>-169</v>
      </c>
      <c r="J51" s="78"/>
      <c r="K51" s="78"/>
      <c r="L51" s="78"/>
      <c r="M51" s="78"/>
      <c r="N51" s="96"/>
      <c r="O51" s="96"/>
      <c r="P51" s="97"/>
    </row>
    <row r="52" spans="1:16" s="10" customFormat="1" x14ac:dyDescent="0.4">
      <c r="A52" s="128" t="s">
        <v>1137</v>
      </c>
      <c r="B52" s="12" t="s">
        <v>1138</v>
      </c>
      <c r="C52" s="78">
        <v>223.26</v>
      </c>
      <c r="D52" s="78"/>
      <c r="E52" s="78"/>
      <c r="F52" s="78"/>
      <c r="G52" s="79">
        <f t="shared" si="0"/>
        <v>223.26</v>
      </c>
      <c r="H52" s="78" t="s">
        <v>292</v>
      </c>
      <c r="I52" s="79">
        <f t="shared" si="1"/>
        <v>223.26</v>
      </c>
      <c r="J52" s="78"/>
      <c r="K52" s="78"/>
      <c r="L52" s="78"/>
      <c r="M52" s="78"/>
      <c r="N52" s="96"/>
      <c r="O52" s="96"/>
      <c r="P52" s="97"/>
    </row>
    <row r="53" spans="1:16" s="10" customFormat="1" x14ac:dyDescent="0.4">
      <c r="A53" s="128" t="s">
        <v>1139</v>
      </c>
      <c r="B53" s="12" t="s">
        <v>1140</v>
      </c>
      <c r="C53" s="78">
        <v>0</v>
      </c>
      <c r="D53" s="78"/>
      <c r="E53" s="78"/>
      <c r="F53" s="78"/>
      <c r="G53" s="79">
        <f t="shared" si="0"/>
        <v>0</v>
      </c>
      <c r="H53" s="78" t="s">
        <v>292</v>
      </c>
      <c r="I53" s="79">
        <f t="shared" si="1"/>
        <v>0</v>
      </c>
      <c r="J53" s="78"/>
      <c r="K53" s="78"/>
      <c r="L53" s="78"/>
      <c r="M53" s="78"/>
      <c r="N53" s="96"/>
      <c r="O53" s="96"/>
      <c r="P53" s="97"/>
    </row>
    <row r="54" spans="1:16" s="10" customFormat="1" x14ac:dyDescent="0.4">
      <c r="A54" s="129" t="s">
        <v>1238</v>
      </c>
      <c r="B54" s="12" t="s">
        <v>1251</v>
      </c>
      <c r="C54" s="78">
        <v>-2500</v>
      </c>
      <c r="D54" s="78"/>
      <c r="E54" s="78"/>
      <c r="F54" s="78"/>
      <c r="G54" s="79">
        <f t="shared" si="0"/>
        <v>-2500</v>
      </c>
      <c r="H54" s="78" t="s">
        <v>292</v>
      </c>
      <c r="I54" s="79">
        <f t="shared" si="1"/>
        <v>-2500</v>
      </c>
      <c r="J54" s="78"/>
      <c r="K54" s="78"/>
      <c r="L54" s="78"/>
      <c r="M54" s="78"/>
      <c r="N54" s="125"/>
      <c r="O54" s="125"/>
      <c r="P54" s="97"/>
    </row>
    <row r="55" spans="1:16" s="10" customFormat="1" x14ac:dyDescent="0.4">
      <c r="A55" s="128" t="s">
        <v>1141</v>
      </c>
      <c r="B55" s="12" t="s">
        <v>1142</v>
      </c>
      <c r="C55" s="78">
        <v>-1535.14</v>
      </c>
      <c r="D55" s="78"/>
      <c r="E55" s="78"/>
      <c r="F55" s="78"/>
      <c r="G55" s="79">
        <f t="shared" si="0"/>
        <v>-1535.14</v>
      </c>
      <c r="H55" s="78" t="s">
        <v>292</v>
      </c>
      <c r="I55" s="79">
        <f t="shared" si="1"/>
        <v>-1535.14</v>
      </c>
      <c r="J55" s="78"/>
      <c r="K55" s="78"/>
      <c r="L55" s="78"/>
      <c r="M55" s="78"/>
      <c r="N55" s="96"/>
      <c r="O55" s="96"/>
      <c r="P55" s="97"/>
    </row>
    <row r="56" spans="1:16" s="10" customFormat="1" x14ac:dyDescent="0.4">
      <c r="A56" s="128" t="s">
        <v>1143</v>
      </c>
      <c r="B56" s="12" t="s">
        <v>1144</v>
      </c>
      <c r="C56" s="78">
        <v>-19637.830000000002</v>
      </c>
      <c r="D56" s="78"/>
      <c r="E56" s="78"/>
      <c r="F56" s="78"/>
      <c r="G56" s="79">
        <f t="shared" si="0"/>
        <v>-19637.830000000002</v>
      </c>
      <c r="H56" s="78" t="s">
        <v>290</v>
      </c>
      <c r="I56" s="79">
        <f t="shared" si="1"/>
        <v>-19637.830000000002</v>
      </c>
      <c r="J56" s="78"/>
      <c r="K56" s="78"/>
      <c r="L56" s="78"/>
      <c r="M56" s="78"/>
      <c r="N56" s="96"/>
      <c r="O56" s="96"/>
      <c r="P56" s="97"/>
    </row>
    <row r="57" spans="1:16" s="10" customFormat="1" x14ac:dyDescent="0.4">
      <c r="A57" s="128" t="s">
        <v>1145</v>
      </c>
      <c r="B57" s="12" t="s">
        <v>1146</v>
      </c>
      <c r="C57" s="78">
        <v>-934.12</v>
      </c>
      <c r="D57" s="78"/>
      <c r="E57" s="78"/>
      <c r="F57" s="78"/>
      <c r="G57" s="79">
        <f t="shared" si="0"/>
        <v>-934.12</v>
      </c>
      <c r="H57" s="78" t="s">
        <v>292</v>
      </c>
      <c r="I57" s="79">
        <f t="shared" si="1"/>
        <v>-934.12</v>
      </c>
      <c r="J57" s="78"/>
      <c r="K57" s="78"/>
      <c r="L57" s="78"/>
      <c r="M57" s="78"/>
      <c r="N57" s="96"/>
      <c r="O57" s="96"/>
      <c r="P57" s="97"/>
    </row>
    <row r="58" spans="1:16" s="10" customFormat="1" x14ac:dyDescent="0.4">
      <c r="A58" s="128" t="s">
        <v>1147</v>
      </c>
      <c r="B58" s="12" t="s">
        <v>1148</v>
      </c>
      <c r="C58" s="78">
        <v>-1347.28</v>
      </c>
      <c r="D58" s="78"/>
      <c r="E58" s="78"/>
      <c r="F58" s="78"/>
      <c r="G58" s="79">
        <f t="shared" si="0"/>
        <v>-1347.28</v>
      </c>
      <c r="H58" s="78" t="s">
        <v>292</v>
      </c>
      <c r="I58" s="79">
        <f t="shared" si="1"/>
        <v>-1347.28</v>
      </c>
      <c r="J58" s="78"/>
      <c r="K58" s="78"/>
      <c r="L58" s="78"/>
      <c r="M58" s="78"/>
      <c r="N58" s="96"/>
      <c r="O58" s="96"/>
      <c r="P58" s="97"/>
    </row>
    <row r="59" spans="1:16" s="10" customFormat="1" x14ac:dyDescent="0.4">
      <c r="A59" s="125" t="s">
        <v>1149</v>
      </c>
      <c r="B59" s="125" t="s">
        <v>204</v>
      </c>
      <c r="C59" s="78">
        <v>-74.569999999999993</v>
      </c>
      <c r="D59" s="78"/>
      <c r="E59" s="78"/>
      <c r="F59" s="78"/>
      <c r="G59" s="79">
        <f t="shared" si="0"/>
        <v>-74.569999999999993</v>
      </c>
      <c r="H59" s="78" t="s">
        <v>299</v>
      </c>
      <c r="I59" s="79">
        <f t="shared" si="1"/>
        <v>-74.569999999999993</v>
      </c>
      <c r="J59" s="78"/>
      <c r="K59" s="78"/>
      <c r="L59" s="78"/>
      <c r="M59" s="78"/>
      <c r="N59" s="96"/>
      <c r="O59" s="96"/>
      <c r="P59" s="97"/>
    </row>
    <row r="60" spans="1:16" s="10" customFormat="1" x14ac:dyDescent="0.4">
      <c r="A60" s="128" t="s">
        <v>1150</v>
      </c>
      <c r="B60" s="12" t="s">
        <v>1151</v>
      </c>
      <c r="C60" s="78">
        <v>-393.75</v>
      </c>
      <c r="D60" s="78"/>
      <c r="E60" s="78"/>
      <c r="F60" s="78"/>
      <c r="G60" s="79">
        <f t="shared" si="0"/>
        <v>-393.75</v>
      </c>
      <c r="H60" s="78" t="s">
        <v>292</v>
      </c>
      <c r="I60" s="79">
        <f t="shared" si="1"/>
        <v>-393.75</v>
      </c>
      <c r="J60" s="78"/>
      <c r="K60" s="78"/>
      <c r="L60" s="78"/>
      <c r="M60" s="78"/>
      <c r="N60" s="96"/>
      <c r="O60" s="96"/>
      <c r="P60" s="97"/>
    </row>
    <row r="61" spans="1:16" s="10" customFormat="1" x14ac:dyDescent="0.4">
      <c r="A61" s="128" t="s">
        <v>1152</v>
      </c>
      <c r="B61" s="12" t="s">
        <v>1153</v>
      </c>
      <c r="C61" s="78">
        <v>0</v>
      </c>
      <c r="D61" s="78"/>
      <c r="E61" s="78"/>
      <c r="F61" s="78"/>
      <c r="G61" s="79">
        <f t="shared" si="0"/>
        <v>0</v>
      </c>
      <c r="H61" s="78" t="s">
        <v>292</v>
      </c>
      <c r="I61" s="79">
        <f t="shared" si="1"/>
        <v>0</v>
      </c>
      <c r="J61" s="78"/>
      <c r="K61" s="78"/>
      <c r="L61" s="78"/>
      <c r="M61" s="78"/>
      <c r="N61" s="96"/>
      <c r="O61" s="96"/>
      <c r="P61" s="97"/>
    </row>
    <row r="62" spans="1:16" s="10" customFormat="1" x14ac:dyDescent="0.4">
      <c r="A62" s="128" t="s">
        <v>1154</v>
      </c>
      <c r="B62" s="12" t="s">
        <v>210</v>
      </c>
      <c r="C62" s="78">
        <v>0</v>
      </c>
      <c r="D62" s="78"/>
      <c r="E62" s="78"/>
      <c r="F62" s="78"/>
      <c r="G62" s="79">
        <f t="shared" si="0"/>
        <v>0</v>
      </c>
      <c r="H62" s="78" t="s">
        <v>292</v>
      </c>
      <c r="I62" s="79">
        <f t="shared" si="1"/>
        <v>0</v>
      </c>
      <c r="J62" s="78"/>
      <c r="K62" s="78"/>
      <c r="L62" s="78"/>
      <c r="M62" s="78"/>
      <c r="N62" s="96"/>
      <c r="O62" s="96"/>
      <c r="P62" s="97"/>
    </row>
    <row r="63" spans="1:16" s="10" customFormat="1" x14ac:dyDescent="0.4">
      <c r="A63" s="128" t="s">
        <v>1155</v>
      </c>
      <c r="B63" s="12" t="s">
        <v>1156</v>
      </c>
      <c r="C63" s="78">
        <v>0</v>
      </c>
      <c r="D63" s="78"/>
      <c r="E63" s="78"/>
      <c r="F63" s="78"/>
      <c r="G63" s="79">
        <f t="shared" si="0"/>
        <v>0</v>
      </c>
      <c r="H63" s="78" t="s">
        <v>292</v>
      </c>
      <c r="I63" s="79">
        <f t="shared" si="1"/>
        <v>0</v>
      </c>
      <c r="J63" s="78"/>
      <c r="K63" s="78"/>
      <c r="L63" s="78"/>
      <c r="M63" s="78"/>
      <c r="N63" s="96"/>
      <c r="O63" s="96"/>
      <c r="P63" s="97"/>
    </row>
    <row r="64" spans="1:16" s="10" customFormat="1" x14ac:dyDescent="0.4">
      <c r="A64" s="128" t="s">
        <v>1157</v>
      </c>
      <c r="B64" s="12" t="s">
        <v>1158</v>
      </c>
      <c r="C64" s="78">
        <v>0</v>
      </c>
      <c r="D64" s="78"/>
      <c r="E64" s="78"/>
      <c r="F64" s="78"/>
      <c r="G64" s="79">
        <f t="shared" si="0"/>
        <v>0</v>
      </c>
      <c r="H64" s="78" t="s">
        <v>292</v>
      </c>
      <c r="I64" s="79">
        <f t="shared" si="1"/>
        <v>0</v>
      </c>
      <c r="J64" s="78"/>
      <c r="K64" s="78"/>
      <c r="L64" s="78"/>
      <c r="M64" s="78"/>
      <c r="N64" s="96"/>
      <c r="O64" s="96"/>
      <c r="P64" s="97"/>
    </row>
    <row r="65" spans="1:16" s="10" customFormat="1" x14ac:dyDescent="0.4">
      <c r="A65" s="128" t="s">
        <v>1159</v>
      </c>
      <c r="B65" s="12" t="s">
        <v>181</v>
      </c>
      <c r="C65" s="78">
        <v>0</v>
      </c>
      <c r="D65" s="78"/>
      <c r="E65" s="78"/>
      <c r="F65" s="78"/>
      <c r="G65" s="79">
        <f t="shared" si="0"/>
        <v>0</v>
      </c>
      <c r="H65" s="78" t="s">
        <v>292</v>
      </c>
      <c r="I65" s="79">
        <f t="shared" si="1"/>
        <v>0</v>
      </c>
      <c r="J65" s="78"/>
      <c r="K65" s="78"/>
      <c r="L65" s="78"/>
      <c r="M65" s="78"/>
      <c r="N65" s="96"/>
      <c r="O65" s="96"/>
      <c r="P65" s="97"/>
    </row>
    <row r="66" spans="1:16" s="10" customFormat="1" x14ac:dyDescent="0.4">
      <c r="A66" s="125" t="s">
        <v>1160</v>
      </c>
      <c r="B66" s="125" t="s">
        <v>203</v>
      </c>
      <c r="C66" s="78">
        <v>-2747.58</v>
      </c>
      <c r="D66" s="78"/>
      <c r="E66" s="78"/>
      <c r="F66" s="78"/>
      <c r="G66" s="79">
        <f t="shared" si="0"/>
        <v>-2747.58</v>
      </c>
      <c r="H66" s="78" t="s">
        <v>292</v>
      </c>
      <c r="I66" s="79">
        <f t="shared" si="1"/>
        <v>-2747.58</v>
      </c>
      <c r="J66" s="78"/>
      <c r="K66" s="78"/>
      <c r="L66" s="78"/>
      <c r="M66" s="78"/>
      <c r="N66" s="96"/>
      <c r="O66" s="96"/>
      <c r="P66" s="97"/>
    </row>
    <row r="67" spans="1:16" s="10" customFormat="1" x14ac:dyDescent="0.4">
      <c r="A67" s="128" t="s">
        <v>1161</v>
      </c>
      <c r="B67" s="12" t="s">
        <v>1162</v>
      </c>
      <c r="C67" s="78">
        <v>-558.71</v>
      </c>
      <c r="D67" s="78"/>
      <c r="E67" s="78"/>
      <c r="F67" s="78"/>
      <c r="G67" s="79">
        <f t="shared" si="0"/>
        <v>-558.71</v>
      </c>
      <c r="H67" s="78" t="s">
        <v>292</v>
      </c>
      <c r="I67" s="79">
        <f t="shared" si="1"/>
        <v>-558.71</v>
      </c>
      <c r="J67" s="78"/>
      <c r="K67" s="78"/>
      <c r="L67" s="78"/>
      <c r="M67" s="78"/>
      <c r="N67" s="96"/>
      <c r="O67" s="96"/>
      <c r="P67" s="97"/>
    </row>
    <row r="68" spans="1:16" s="10" customFormat="1" x14ac:dyDescent="0.4">
      <c r="A68" s="128" t="s">
        <v>1163</v>
      </c>
      <c r="B68" s="12" t="s">
        <v>250</v>
      </c>
      <c r="C68" s="78">
        <v>-1092</v>
      </c>
      <c r="D68" s="78"/>
      <c r="E68" s="78"/>
      <c r="F68" s="78"/>
      <c r="G68" s="79">
        <f t="shared" si="0"/>
        <v>-1092</v>
      </c>
      <c r="H68" s="78" t="s">
        <v>292</v>
      </c>
      <c r="I68" s="79">
        <f t="shared" si="1"/>
        <v>-1092</v>
      </c>
      <c r="J68" s="78"/>
      <c r="K68" s="78"/>
      <c r="L68" s="78"/>
      <c r="M68" s="78"/>
      <c r="N68" s="96"/>
      <c r="O68" s="96"/>
      <c r="P68" s="97"/>
    </row>
    <row r="69" spans="1:16" s="10" customFormat="1" x14ac:dyDescent="0.4">
      <c r="A69" s="128" t="s">
        <v>1164</v>
      </c>
      <c r="B69" s="12" t="s">
        <v>1165</v>
      </c>
      <c r="C69" s="78">
        <v>-3824.9</v>
      </c>
      <c r="D69" s="78"/>
      <c r="E69" s="78"/>
      <c r="F69" s="78"/>
      <c r="G69" s="79">
        <f t="shared" si="0"/>
        <v>-3824.9</v>
      </c>
      <c r="H69" s="78" t="s">
        <v>292</v>
      </c>
      <c r="I69" s="79">
        <f t="shared" si="1"/>
        <v>-3824.9</v>
      </c>
      <c r="J69" s="78"/>
      <c r="K69" s="78"/>
      <c r="L69" s="78"/>
      <c r="M69" s="78"/>
      <c r="N69" s="96"/>
      <c r="O69" s="96"/>
      <c r="P69" s="97"/>
    </row>
    <row r="70" spans="1:16" s="10" customFormat="1" x14ac:dyDescent="0.4">
      <c r="A70" s="128" t="s">
        <v>1166</v>
      </c>
      <c r="B70" s="12" t="s">
        <v>1167</v>
      </c>
      <c r="C70" s="78">
        <v>-5211.63</v>
      </c>
      <c r="D70" s="78"/>
      <c r="E70" s="78"/>
      <c r="F70" s="78"/>
      <c r="G70" s="79">
        <f t="shared" si="0"/>
        <v>-5211.63</v>
      </c>
      <c r="H70" s="78" t="s">
        <v>292</v>
      </c>
      <c r="I70" s="79">
        <f t="shared" si="1"/>
        <v>-5211.63</v>
      </c>
      <c r="J70" s="78"/>
      <c r="K70" s="78"/>
      <c r="L70" s="78"/>
      <c r="M70" s="78"/>
      <c r="N70" s="96"/>
      <c r="O70" s="96"/>
      <c r="P70" s="97"/>
    </row>
    <row r="71" spans="1:16" s="10" customFormat="1" x14ac:dyDescent="0.4">
      <c r="A71" s="128" t="s">
        <v>1168</v>
      </c>
      <c r="B71" s="12" t="s">
        <v>1169</v>
      </c>
      <c r="C71" s="78">
        <v>-234</v>
      </c>
      <c r="D71" s="78"/>
      <c r="E71" s="78"/>
      <c r="F71" s="78"/>
      <c r="G71" s="79">
        <f t="shared" si="0"/>
        <v>-234</v>
      </c>
      <c r="H71" s="78" t="s">
        <v>292</v>
      </c>
      <c r="I71" s="79">
        <f t="shared" si="1"/>
        <v>-234</v>
      </c>
      <c r="J71" s="78"/>
      <c r="K71" s="78"/>
      <c r="L71" s="78"/>
      <c r="M71" s="78"/>
      <c r="N71" s="96"/>
      <c r="O71" s="96"/>
      <c r="P71" s="97"/>
    </row>
    <row r="72" spans="1:16" s="10" customFormat="1" x14ac:dyDescent="0.4">
      <c r="A72" s="128" t="s">
        <v>1170</v>
      </c>
      <c r="B72" s="12" t="s">
        <v>1171</v>
      </c>
      <c r="C72" s="78">
        <v>-35</v>
      </c>
      <c r="D72" s="78"/>
      <c r="E72" s="78"/>
      <c r="F72" s="78"/>
      <c r="G72" s="79">
        <f t="shared" ref="G72:G104" si="2">SUM(C72:F72)</f>
        <v>-35</v>
      </c>
      <c r="H72" s="78" t="s">
        <v>292</v>
      </c>
      <c r="I72" s="79">
        <f t="shared" si="1"/>
        <v>-35</v>
      </c>
      <c r="J72" s="78"/>
      <c r="K72" s="78"/>
      <c r="L72" s="78"/>
      <c r="M72" s="78"/>
      <c r="N72" s="96"/>
      <c r="O72" s="96"/>
      <c r="P72" s="97"/>
    </row>
    <row r="73" spans="1:16" s="10" customFormat="1" x14ac:dyDescent="0.4">
      <c r="A73" s="128" t="s">
        <v>1172</v>
      </c>
      <c r="B73" s="12" t="s">
        <v>1173</v>
      </c>
      <c r="C73" s="78">
        <v>-3378.27</v>
      </c>
      <c r="D73" s="78"/>
      <c r="E73" s="78"/>
      <c r="F73" s="78"/>
      <c r="G73" s="79">
        <f t="shared" si="2"/>
        <v>-3378.27</v>
      </c>
      <c r="H73" s="78" t="s">
        <v>292</v>
      </c>
      <c r="I73" s="79">
        <f t="shared" ref="I73:I103" si="3">G73*1</f>
        <v>-3378.27</v>
      </c>
      <c r="J73" s="78"/>
      <c r="K73" s="78"/>
      <c r="L73" s="78"/>
      <c r="M73" s="78"/>
      <c r="N73" s="96"/>
      <c r="O73" s="96"/>
      <c r="P73" s="97"/>
    </row>
    <row r="74" spans="1:16" s="10" customFormat="1" x14ac:dyDescent="0.4">
      <c r="A74" s="128" t="s">
        <v>1174</v>
      </c>
      <c r="B74" s="12" t="s">
        <v>1175</v>
      </c>
      <c r="C74" s="78">
        <v>0</v>
      </c>
      <c r="D74" s="78"/>
      <c r="E74" s="78"/>
      <c r="F74" s="78"/>
      <c r="G74" s="79">
        <f t="shared" si="2"/>
        <v>0</v>
      </c>
      <c r="H74" s="78" t="s">
        <v>292</v>
      </c>
      <c r="I74" s="79">
        <f t="shared" si="3"/>
        <v>0</v>
      </c>
      <c r="J74" s="78"/>
      <c r="K74" s="78"/>
      <c r="L74" s="78"/>
      <c r="M74" s="78"/>
      <c r="N74" s="96"/>
      <c r="O74" s="96"/>
      <c r="P74" s="97"/>
    </row>
    <row r="75" spans="1:16" s="10" customFormat="1" x14ac:dyDescent="0.4">
      <c r="A75" s="128" t="s">
        <v>1176</v>
      </c>
      <c r="B75" s="12" t="s">
        <v>1177</v>
      </c>
      <c r="C75" s="78">
        <v>0</v>
      </c>
      <c r="D75" s="78"/>
      <c r="E75" s="78"/>
      <c r="F75" s="78"/>
      <c r="G75" s="79">
        <f t="shared" si="2"/>
        <v>0</v>
      </c>
      <c r="H75" s="78" t="s">
        <v>292</v>
      </c>
      <c r="I75" s="79">
        <f t="shared" si="3"/>
        <v>0</v>
      </c>
      <c r="J75" s="78"/>
      <c r="K75" s="78"/>
      <c r="L75" s="78"/>
      <c r="M75" s="78"/>
      <c r="N75" s="96"/>
      <c r="O75" s="96"/>
      <c r="P75" s="97"/>
    </row>
    <row r="76" spans="1:16" s="10" customFormat="1" x14ac:dyDescent="0.4">
      <c r="A76" s="128" t="s">
        <v>1178</v>
      </c>
      <c r="B76" s="12" t="s">
        <v>1179</v>
      </c>
      <c r="C76" s="78">
        <v>-80.180000000000007</v>
      </c>
      <c r="D76" s="78"/>
      <c r="E76" s="78"/>
      <c r="F76" s="78"/>
      <c r="G76" s="79">
        <f t="shared" si="2"/>
        <v>-80.180000000000007</v>
      </c>
      <c r="H76" s="78" t="s">
        <v>292</v>
      </c>
      <c r="I76" s="79">
        <f t="shared" si="3"/>
        <v>-80.180000000000007</v>
      </c>
      <c r="J76" s="78"/>
      <c r="K76" s="78"/>
      <c r="L76" s="78"/>
      <c r="M76" s="78"/>
      <c r="N76" s="96"/>
      <c r="O76" s="96"/>
      <c r="P76" s="97"/>
    </row>
    <row r="77" spans="1:16" s="10" customFormat="1" x14ac:dyDescent="0.4">
      <c r="A77" s="128" t="s">
        <v>1180</v>
      </c>
      <c r="B77" s="12" t="s">
        <v>1181</v>
      </c>
      <c r="C77" s="78">
        <v>0</v>
      </c>
      <c r="D77" s="78"/>
      <c r="E77" s="78"/>
      <c r="F77" s="78"/>
      <c r="G77" s="79">
        <f t="shared" si="2"/>
        <v>0</v>
      </c>
      <c r="H77" s="78" t="s">
        <v>292</v>
      </c>
      <c r="I77" s="79">
        <f t="shared" si="3"/>
        <v>0</v>
      </c>
      <c r="J77" s="78"/>
      <c r="K77" s="78"/>
      <c r="L77" s="78"/>
      <c r="M77" s="78"/>
      <c r="N77" s="96"/>
      <c r="O77" s="96"/>
      <c r="P77" s="97"/>
    </row>
    <row r="78" spans="1:16" s="10" customFormat="1" x14ac:dyDescent="0.4">
      <c r="A78" s="125" t="s">
        <v>1182</v>
      </c>
      <c r="B78" s="125" t="s">
        <v>1183</v>
      </c>
      <c r="C78" s="78">
        <v>0</v>
      </c>
      <c r="D78" s="78"/>
      <c r="E78" s="78"/>
      <c r="F78" s="78"/>
      <c r="G78" s="79">
        <f t="shared" si="2"/>
        <v>0</v>
      </c>
      <c r="H78" s="78" t="s">
        <v>292</v>
      </c>
      <c r="I78" s="79">
        <f t="shared" si="3"/>
        <v>0</v>
      </c>
      <c r="J78" s="78"/>
      <c r="K78" s="78"/>
      <c r="L78" s="78"/>
      <c r="M78" s="78"/>
      <c r="N78" s="96"/>
      <c r="O78" s="96"/>
      <c r="P78" s="97"/>
    </row>
    <row r="79" spans="1:16" s="10" customFormat="1" x14ac:dyDescent="0.4">
      <c r="A79" s="128" t="s">
        <v>1184</v>
      </c>
      <c r="B79" s="12" t="s">
        <v>1185</v>
      </c>
      <c r="C79" s="78">
        <v>0</v>
      </c>
      <c r="D79" s="78"/>
      <c r="E79" s="78"/>
      <c r="F79" s="78"/>
      <c r="G79" s="79">
        <f t="shared" si="2"/>
        <v>0</v>
      </c>
      <c r="H79" s="78" t="s">
        <v>299</v>
      </c>
      <c r="I79" s="79">
        <f t="shared" si="3"/>
        <v>0</v>
      </c>
      <c r="J79" s="78"/>
      <c r="K79" s="78"/>
      <c r="L79" s="78"/>
      <c r="M79" s="78"/>
      <c r="N79" s="96"/>
      <c r="O79" s="96"/>
      <c r="P79" s="97"/>
    </row>
    <row r="80" spans="1:16" s="10" customFormat="1" x14ac:dyDescent="0.4">
      <c r="A80" s="128" t="s">
        <v>1186</v>
      </c>
      <c r="B80" s="12" t="s">
        <v>252</v>
      </c>
      <c r="C80" s="78">
        <v>-1441</v>
      </c>
      <c r="D80" s="78"/>
      <c r="E80" s="78"/>
      <c r="F80" s="78"/>
      <c r="G80" s="79">
        <f t="shared" si="2"/>
        <v>-1441</v>
      </c>
      <c r="H80" s="78" t="s">
        <v>292</v>
      </c>
      <c r="I80" s="79">
        <f t="shared" si="3"/>
        <v>-1441</v>
      </c>
      <c r="J80" s="78"/>
      <c r="K80" s="78"/>
      <c r="L80" s="78"/>
      <c r="M80" s="78"/>
      <c r="N80" s="96"/>
      <c r="O80" s="96"/>
      <c r="P80" s="97"/>
    </row>
    <row r="81" spans="1:16" s="10" customFormat="1" x14ac:dyDescent="0.4">
      <c r="A81" s="128" t="s">
        <v>1187</v>
      </c>
      <c r="B81" s="12" t="s">
        <v>1188</v>
      </c>
      <c r="C81" s="78">
        <v>-1069.6600000000001</v>
      </c>
      <c r="D81" s="78"/>
      <c r="E81" s="78"/>
      <c r="F81" s="78"/>
      <c r="G81" s="79">
        <f t="shared" si="2"/>
        <v>-1069.6600000000001</v>
      </c>
      <c r="H81" s="78" t="s">
        <v>292</v>
      </c>
      <c r="I81" s="79">
        <f t="shared" si="3"/>
        <v>-1069.6600000000001</v>
      </c>
      <c r="J81" s="78"/>
      <c r="K81" s="78"/>
      <c r="L81" s="78"/>
      <c r="M81" s="78"/>
      <c r="N81" s="96"/>
      <c r="O81" s="96"/>
      <c r="P81" s="97"/>
    </row>
    <row r="82" spans="1:16" s="10" customFormat="1" x14ac:dyDescent="0.4">
      <c r="A82" s="128" t="s">
        <v>1189</v>
      </c>
      <c r="B82" s="12" t="s">
        <v>220</v>
      </c>
      <c r="C82" s="78">
        <v>-91.56</v>
      </c>
      <c r="D82" s="78"/>
      <c r="E82" s="78"/>
      <c r="F82" s="78"/>
      <c r="G82" s="79">
        <f t="shared" si="2"/>
        <v>-91.56</v>
      </c>
      <c r="H82" s="78" t="s">
        <v>292</v>
      </c>
      <c r="I82" s="79">
        <f t="shared" si="3"/>
        <v>-91.56</v>
      </c>
      <c r="J82" s="78"/>
      <c r="K82" s="78"/>
      <c r="L82" s="78"/>
      <c r="M82" s="78"/>
      <c r="N82" s="96"/>
      <c r="O82" s="96"/>
      <c r="P82" s="97"/>
    </row>
    <row r="83" spans="1:16" s="10" customFormat="1" x14ac:dyDescent="0.4">
      <c r="A83" s="128" t="s">
        <v>1190</v>
      </c>
      <c r="B83" s="12" t="s">
        <v>1191</v>
      </c>
      <c r="C83" s="78">
        <v>-951</v>
      </c>
      <c r="D83" s="78"/>
      <c r="E83" s="78"/>
      <c r="F83" s="78"/>
      <c r="G83" s="79">
        <f t="shared" si="2"/>
        <v>-951</v>
      </c>
      <c r="H83" s="78" t="s">
        <v>292</v>
      </c>
      <c r="I83" s="79">
        <f t="shared" si="3"/>
        <v>-951</v>
      </c>
      <c r="J83" s="78"/>
      <c r="K83" s="78"/>
      <c r="L83" s="78"/>
      <c r="M83" s="78"/>
      <c r="N83" s="96"/>
      <c r="O83" s="96"/>
      <c r="P83" s="97"/>
    </row>
    <row r="84" spans="1:16" s="10" customFormat="1" x14ac:dyDescent="0.4">
      <c r="A84" s="128" t="s">
        <v>1192</v>
      </c>
      <c r="B84" s="12" t="s">
        <v>1193</v>
      </c>
      <c r="C84" s="78">
        <v>-663.52</v>
      </c>
      <c r="D84" s="78"/>
      <c r="E84" s="78"/>
      <c r="F84" s="78"/>
      <c r="G84" s="79">
        <f t="shared" si="2"/>
        <v>-663.52</v>
      </c>
      <c r="H84" s="78" t="s">
        <v>292</v>
      </c>
      <c r="I84" s="79">
        <f t="shared" si="3"/>
        <v>-663.52</v>
      </c>
      <c r="J84" s="78"/>
      <c r="K84" s="78"/>
      <c r="L84" s="78"/>
      <c r="M84" s="78"/>
      <c r="N84" s="96"/>
      <c r="O84" s="96"/>
      <c r="P84" s="97"/>
    </row>
    <row r="85" spans="1:16" s="10" customFormat="1" x14ac:dyDescent="0.4">
      <c r="A85" s="128" t="s">
        <v>1194</v>
      </c>
      <c r="B85" s="12" t="s">
        <v>1195</v>
      </c>
      <c r="C85" s="78">
        <v>-16401.13</v>
      </c>
      <c r="D85" s="78"/>
      <c r="E85" s="78"/>
      <c r="F85" s="78"/>
      <c r="G85" s="79">
        <f t="shared" si="2"/>
        <v>-16401.13</v>
      </c>
      <c r="H85" s="78" t="s">
        <v>292</v>
      </c>
      <c r="I85" s="79">
        <f t="shared" si="3"/>
        <v>-16401.13</v>
      </c>
      <c r="J85" s="78"/>
      <c r="K85" s="78"/>
      <c r="L85" s="78"/>
      <c r="M85" s="78"/>
      <c r="N85" s="96"/>
      <c r="O85" s="96"/>
      <c r="P85" s="97"/>
    </row>
    <row r="86" spans="1:16" s="10" customFormat="1" x14ac:dyDescent="0.4">
      <c r="A86" s="128" t="s">
        <v>1196</v>
      </c>
      <c r="B86" s="12" t="s">
        <v>1197</v>
      </c>
      <c r="C86" s="78">
        <v>-1143.44</v>
      </c>
      <c r="D86" s="78"/>
      <c r="E86" s="78"/>
      <c r="F86" s="78"/>
      <c r="G86" s="79">
        <f t="shared" si="2"/>
        <v>-1143.44</v>
      </c>
      <c r="H86" s="78" t="s">
        <v>292</v>
      </c>
      <c r="I86" s="79">
        <f t="shared" si="3"/>
        <v>-1143.44</v>
      </c>
      <c r="J86" s="78"/>
      <c r="K86" s="78"/>
      <c r="L86" s="78"/>
      <c r="M86" s="78"/>
      <c r="N86" s="96"/>
      <c r="O86" s="96"/>
      <c r="P86" s="97"/>
    </row>
    <row r="87" spans="1:16" s="10" customFormat="1" x14ac:dyDescent="0.4">
      <c r="A87" s="128" t="s">
        <v>1198</v>
      </c>
      <c r="B87" s="12" t="s">
        <v>1199</v>
      </c>
      <c r="C87" s="78">
        <v>-97.95</v>
      </c>
      <c r="D87" s="78"/>
      <c r="E87" s="78"/>
      <c r="F87" s="78"/>
      <c r="G87" s="79">
        <f t="shared" si="2"/>
        <v>-97.95</v>
      </c>
      <c r="H87" s="78" t="s">
        <v>292</v>
      </c>
      <c r="I87" s="79">
        <f t="shared" si="3"/>
        <v>-97.95</v>
      </c>
      <c r="J87" s="78"/>
      <c r="K87" s="78"/>
      <c r="L87" s="78"/>
      <c r="M87" s="78"/>
      <c r="N87" s="96"/>
      <c r="O87" s="96"/>
      <c r="P87" s="97"/>
    </row>
    <row r="88" spans="1:16" s="10" customFormat="1" x14ac:dyDescent="0.4">
      <c r="A88" s="128" t="s">
        <v>1200</v>
      </c>
      <c r="B88" s="12" t="s">
        <v>1201</v>
      </c>
      <c r="C88" s="78">
        <v>-1065</v>
      </c>
      <c r="D88" s="78"/>
      <c r="E88" s="78"/>
      <c r="F88" s="78"/>
      <c r="G88" s="79">
        <f t="shared" si="2"/>
        <v>-1065</v>
      </c>
      <c r="H88" s="78" t="s">
        <v>292</v>
      </c>
      <c r="I88" s="79">
        <f t="shared" si="3"/>
        <v>-1065</v>
      </c>
      <c r="J88" s="78"/>
      <c r="K88" s="78"/>
      <c r="L88" s="78"/>
      <c r="M88" s="78"/>
      <c r="N88" s="96"/>
      <c r="O88" s="96"/>
      <c r="P88" s="97"/>
    </row>
    <row r="89" spans="1:16" s="10" customFormat="1" x14ac:dyDescent="0.4">
      <c r="A89" s="128" t="s">
        <v>1202</v>
      </c>
      <c r="B89" s="12" t="s">
        <v>1203</v>
      </c>
      <c r="C89" s="78">
        <v>-1739.01</v>
      </c>
      <c r="D89" s="78"/>
      <c r="E89" s="78"/>
      <c r="F89" s="78"/>
      <c r="G89" s="79">
        <f t="shared" si="2"/>
        <v>-1739.01</v>
      </c>
      <c r="H89" s="78" t="s">
        <v>292</v>
      </c>
      <c r="I89" s="79">
        <f t="shared" si="3"/>
        <v>-1739.01</v>
      </c>
      <c r="J89" s="78"/>
      <c r="K89" s="78"/>
      <c r="L89" s="78"/>
      <c r="M89" s="78"/>
      <c r="N89" s="96"/>
      <c r="O89" s="96"/>
      <c r="P89" s="97"/>
    </row>
    <row r="90" spans="1:16" s="10" customFormat="1" x14ac:dyDescent="0.4">
      <c r="A90" s="128" t="s">
        <v>1204</v>
      </c>
      <c r="B90" s="12" t="s">
        <v>1205</v>
      </c>
      <c r="C90" s="78">
        <v>-2630</v>
      </c>
      <c r="D90" s="78"/>
      <c r="E90" s="78"/>
      <c r="F90" s="78"/>
      <c r="G90" s="79">
        <f t="shared" si="2"/>
        <v>-2630</v>
      </c>
      <c r="H90" s="78" t="s">
        <v>292</v>
      </c>
      <c r="I90" s="79">
        <f t="shared" si="3"/>
        <v>-2630</v>
      </c>
      <c r="J90" s="78"/>
      <c r="K90" s="78"/>
      <c r="L90" s="78"/>
      <c r="M90" s="78"/>
      <c r="N90" s="96"/>
      <c r="O90" s="96"/>
      <c r="P90" s="97"/>
    </row>
    <row r="91" spans="1:16" s="10" customFormat="1" x14ac:dyDescent="0.4">
      <c r="A91" s="128" t="s">
        <v>1206</v>
      </c>
      <c r="B91" s="12" t="s">
        <v>1207</v>
      </c>
      <c r="C91" s="78">
        <v>-842.22</v>
      </c>
      <c r="D91" s="78"/>
      <c r="E91" s="78"/>
      <c r="F91" s="78"/>
      <c r="G91" s="79">
        <f t="shared" si="2"/>
        <v>-842.22</v>
      </c>
      <c r="H91" s="78" t="s">
        <v>292</v>
      </c>
      <c r="I91" s="79">
        <f t="shared" si="3"/>
        <v>-842.22</v>
      </c>
      <c r="J91" s="78"/>
      <c r="K91" s="78"/>
      <c r="L91" s="78"/>
      <c r="M91" s="78"/>
      <c r="N91" s="96"/>
      <c r="O91" s="96"/>
      <c r="P91" s="97"/>
    </row>
    <row r="92" spans="1:16" s="10" customFormat="1" x14ac:dyDescent="0.4">
      <c r="A92" s="128" t="s">
        <v>1208</v>
      </c>
      <c r="B92" s="12" t="s">
        <v>1209</v>
      </c>
      <c r="C92" s="78">
        <v>-2555</v>
      </c>
      <c r="D92" s="78"/>
      <c r="E92" s="78"/>
      <c r="F92" s="78"/>
      <c r="G92" s="79">
        <f t="shared" si="2"/>
        <v>-2555</v>
      </c>
      <c r="H92" s="78" t="s">
        <v>292</v>
      </c>
      <c r="I92" s="79">
        <f t="shared" si="3"/>
        <v>-2555</v>
      </c>
      <c r="J92" s="78"/>
      <c r="K92" s="78"/>
      <c r="L92" s="78"/>
      <c r="M92" s="78"/>
      <c r="N92" s="96"/>
      <c r="O92" s="96"/>
      <c r="P92" s="97"/>
    </row>
    <row r="93" spans="1:16" s="10" customFormat="1" x14ac:dyDescent="0.4">
      <c r="A93" s="128" t="s">
        <v>1210</v>
      </c>
      <c r="B93" s="12" t="s">
        <v>1211</v>
      </c>
      <c r="C93" s="82">
        <v>0</v>
      </c>
      <c r="D93" s="78"/>
      <c r="E93" s="78"/>
      <c r="F93" s="78"/>
      <c r="G93" s="79">
        <f t="shared" si="2"/>
        <v>0</v>
      </c>
      <c r="H93" s="78" t="s">
        <v>862</v>
      </c>
      <c r="I93" s="79">
        <f t="shared" si="3"/>
        <v>0</v>
      </c>
      <c r="J93" s="78"/>
      <c r="K93" s="78"/>
      <c r="L93" s="78"/>
      <c r="M93" s="78"/>
      <c r="N93" s="96"/>
      <c r="O93" s="96"/>
      <c r="P93" s="97"/>
    </row>
    <row r="94" spans="1:16" s="10" customFormat="1" x14ac:dyDescent="0.4">
      <c r="A94" s="128" t="s">
        <v>1212</v>
      </c>
      <c r="B94" s="12" t="s">
        <v>161</v>
      </c>
      <c r="C94" s="82">
        <v>0</v>
      </c>
      <c r="D94" s="78"/>
      <c r="E94" s="78"/>
      <c r="F94" s="78"/>
      <c r="G94" s="79">
        <f t="shared" si="2"/>
        <v>0</v>
      </c>
      <c r="H94" s="78" t="s">
        <v>287</v>
      </c>
      <c r="I94" s="79">
        <f t="shared" si="3"/>
        <v>0</v>
      </c>
      <c r="J94" s="78"/>
      <c r="K94" s="78"/>
      <c r="L94" s="78"/>
      <c r="M94" s="78"/>
      <c r="N94" s="96"/>
      <c r="O94" s="96"/>
      <c r="P94" s="97"/>
    </row>
    <row r="95" spans="1:16" s="10" customFormat="1" x14ac:dyDescent="0.4">
      <c r="A95" s="128" t="s">
        <v>1213</v>
      </c>
      <c r="B95" s="12" t="s">
        <v>900</v>
      </c>
      <c r="C95" s="82">
        <v>0</v>
      </c>
      <c r="D95" s="78"/>
      <c r="E95" s="78"/>
      <c r="F95" s="78"/>
      <c r="G95" s="79">
        <f t="shared" si="2"/>
        <v>0</v>
      </c>
      <c r="H95" s="78" t="s">
        <v>287</v>
      </c>
      <c r="I95" s="79">
        <f t="shared" si="3"/>
        <v>0</v>
      </c>
      <c r="J95" s="78"/>
      <c r="K95" s="78"/>
      <c r="L95" s="78"/>
      <c r="M95" s="78"/>
      <c r="N95" s="96"/>
      <c r="O95" s="96"/>
      <c r="P95" s="97"/>
    </row>
    <row r="96" spans="1:16" s="10" customFormat="1" x14ac:dyDescent="0.4">
      <c r="A96" s="128" t="s">
        <v>1214</v>
      </c>
      <c r="B96" s="12" t="s">
        <v>1215</v>
      </c>
      <c r="C96" s="78">
        <v>0</v>
      </c>
      <c r="D96" s="78"/>
      <c r="E96" s="78"/>
      <c r="F96" s="78"/>
      <c r="G96" s="79">
        <f t="shared" si="2"/>
        <v>0</v>
      </c>
      <c r="H96" s="78" t="s">
        <v>862</v>
      </c>
      <c r="I96" s="79">
        <f t="shared" si="3"/>
        <v>0</v>
      </c>
      <c r="J96" s="78"/>
      <c r="K96" s="78"/>
      <c r="L96" s="78"/>
      <c r="M96" s="78"/>
      <c r="N96" s="96"/>
      <c r="O96" s="96"/>
      <c r="P96" s="97"/>
    </row>
    <row r="97" spans="1:19" s="10" customFormat="1" x14ac:dyDescent="0.4">
      <c r="A97" s="128" t="s">
        <v>1216</v>
      </c>
      <c r="B97" s="12" t="s">
        <v>1217</v>
      </c>
      <c r="C97" s="78">
        <v>0</v>
      </c>
      <c r="D97" s="78"/>
      <c r="E97" s="78"/>
      <c r="F97" s="78"/>
      <c r="G97" s="79">
        <f t="shared" si="2"/>
        <v>0</v>
      </c>
      <c r="H97" s="78" t="s">
        <v>862</v>
      </c>
      <c r="I97" s="79">
        <f t="shared" si="3"/>
        <v>0</v>
      </c>
      <c r="J97" s="78"/>
      <c r="K97" s="78"/>
      <c r="L97" s="78"/>
      <c r="M97" s="78"/>
      <c r="N97" s="96"/>
      <c r="O97" s="96"/>
      <c r="P97" s="97"/>
    </row>
    <row r="98" spans="1:19" s="10" customFormat="1" x14ac:dyDescent="0.4">
      <c r="A98" s="128" t="s">
        <v>1218</v>
      </c>
      <c r="B98" s="12" t="s">
        <v>1219</v>
      </c>
      <c r="C98" s="78">
        <v>9680.69</v>
      </c>
      <c r="D98" s="78"/>
      <c r="E98" s="78"/>
      <c r="F98" s="78"/>
      <c r="G98" s="79">
        <f t="shared" si="2"/>
        <v>9680.69</v>
      </c>
      <c r="H98" s="78" t="s">
        <v>292</v>
      </c>
      <c r="I98" s="79">
        <f t="shared" si="3"/>
        <v>9680.69</v>
      </c>
      <c r="J98" s="78"/>
      <c r="K98" s="78"/>
      <c r="L98" s="78"/>
      <c r="M98" s="78"/>
      <c r="N98" s="96"/>
      <c r="O98" s="96"/>
      <c r="P98" s="97"/>
    </row>
    <row r="99" spans="1:19" s="10" customFormat="1" x14ac:dyDescent="0.4">
      <c r="A99" s="128" t="s">
        <v>1220</v>
      </c>
      <c r="B99" s="12" t="s">
        <v>1221</v>
      </c>
      <c r="C99" s="78">
        <v>0</v>
      </c>
      <c r="D99" s="78"/>
      <c r="E99" s="78"/>
      <c r="F99" s="78"/>
      <c r="G99" s="79">
        <f t="shared" si="2"/>
        <v>0</v>
      </c>
      <c r="H99" s="78" t="s">
        <v>292</v>
      </c>
      <c r="I99" s="79">
        <f t="shared" si="3"/>
        <v>0</v>
      </c>
      <c r="J99" s="78"/>
      <c r="K99" s="78"/>
      <c r="L99" s="78"/>
      <c r="M99" s="78"/>
      <c r="N99" s="96"/>
      <c r="O99" s="96"/>
      <c r="P99" s="97"/>
      <c r="S99" s="78"/>
    </row>
    <row r="100" spans="1:19" s="10" customFormat="1" x14ac:dyDescent="0.4">
      <c r="A100" s="128" t="s">
        <v>1222</v>
      </c>
      <c r="B100" s="12" t="s">
        <v>1223</v>
      </c>
      <c r="C100" s="78">
        <v>-78583.839999999997</v>
      </c>
      <c r="D100" s="78"/>
      <c r="E100" s="78"/>
      <c r="F100" s="78"/>
      <c r="G100" s="79">
        <f t="shared" si="2"/>
        <v>-78583.839999999997</v>
      </c>
      <c r="H100" s="78" t="s">
        <v>289</v>
      </c>
      <c r="I100" s="79">
        <f t="shared" si="3"/>
        <v>-78583.839999999997</v>
      </c>
      <c r="J100" s="78"/>
      <c r="K100" s="78"/>
      <c r="L100" s="78"/>
      <c r="M100" s="78"/>
      <c r="N100" s="96"/>
      <c r="O100" s="96"/>
      <c r="P100" s="97"/>
      <c r="S100" s="78"/>
    </row>
    <row r="101" spans="1:19" s="10" customFormat="1" x14ac:dyDescent="0.4">
      <c r="A101" s="128" t="s">
        <v>1224</v>
      </c>
      <c r="B101" s="12" t="s">
        <v>1225</v>
      </c>
      <c r="C101" s="78">
        <v>0</v>
      </c>
      <c r="D101" s="78"/>
      <c r="E101" s="78"/>
      <c r="F101" s="78"/>
      <c r="G101" s="79">
        <f t="shared" si="2"/>
        <v>0</v>
      </c>
      <c r="H101" s="78" t="s">
        <v>292</v>
      </c>
      <c r="I101" s="79">
        <f t="shared" si="3"/>
        <v>0</v>
      </c>
      <c r="J101" s="78"/>
      <c r="K101" s="78"/>
      <c r="L101" s="78"/>
      <c r="M101" s="78"/>
      <c r="N101" s="96"/>
      <c r="O101" s="96"/>
      <c r="P101" s="97"/>
    </row>
    <row r="102" spans="1:19" s="10" customFormat="1" x14ac:dyDescent="0.4">
      <c r="A102" s="128" t="s">
        <v>1226</v>
      </c>
      <c r="B102" s="12" t="s">
        <v>1227</v>
      </c>
      <c r="C102" s="78">
        <v>-7250</v>
      </c>
      <c r="D102" s="78"/>
      <c r="E102" s="78"/>
      <c r="F102" s="78"/>
      <c r="G102" s="79">
        <f t="shared" si="2"/>
        <v>-7250</v>
      </c>
      <c r="H102" s="78" t="s">
        <v>299</v>
      </c>
      <c r="I102" s="79">
        <f t="shared" si="3"/>
        <v>-7250</v>
      </c>
      <c r="J102" s="78"/>
      <c r="K102" s="78"/>
      <c r="L102" s="78"/>
      <c r="M102" s="78"/>
      <c r="N102" s="96"/>
      <c r="O102" s="96"/>
      <c r="P102" s="97"/>
      <c r="S102" s="78"/>
    </row>
    <row r="103" spans="1:19" s="10" customFormat="1" x14ac:dyDescent="0.4">
      <c r="A103" s="128" t="s">
        <v>1228</v>
      </c>
      <c r="B103" s="12" t="s">
        <v>1229</v>
      </c>
      <c r="C103" s="78">
        <v>0</v>
      </c>
      <c r="D103" s="78"/>
      <c r="E103" s="78"/>
      <c r="F103" s="78"/>
      <c r="G103" s="79">
        <f t="shared" si="2"/>
        <v>0</v>
      </c>
      <c r="H103" s="78" t="s">
        <v>299</v>
      </c>
      <c r="I103" s="79">
        <f t="shared" si="3"/>
        <v>0</v>
      </c>
      <c r="J103" s="78"/>
      <c r="K103" s="78"/>
      <c r="L103" s="78"/>
      <c r="M103" s="78"/>
      <c r="N103" s="96"/>
      <c r="O103" s="96"/>
      <c r="P103" s="97"/>
    </row>
    <row r="104" spans="1:19" s="10" customFormat="1" x14ac:dyDescent="0.4">
      <c r="A104" s="128" t="s">
        <v>1230</v>
      </c>
      <c r="B104" s="12" t="s">
        <v>1231</v>
      </c>
      <c r="C104" s="78">
        <v>0</v>
      </c>
      <c r="D104" s="78"/>
      <c r="E104" s="78"/>
      <c r="F104" s="78"/>
      <c r="G104" s="79">
        <f t="shared" si="2"/>
        <v>0</v>
      </c>
      <c r="H104" s="78" t="s">
        <v>299</v>
      </c>
      <c r="I104" s="79">
        <f>G104*1</f>
        <v>0</v>
      </c>
      <c r="J104" s="78"/>
      <c r="K104" s="78"/>
      <c r="L104" s="78"/>
      <c r="M104" s="78"/>
      <c r="N104" s="96"/>
      <c r="O104" s="96"/>
      <c r="P104" s="97"/>
    </row>
    <row r="105" spans="1:19" s="10" customFormat="1" x14ac:dyDescent="0.4">
      <c r="A105" s="21"/>
      <c r="B105" s="9"/>
      <c r="C105" s="20">
        <f>SUM(C6:C104)</f>
        <v>-8015.63</v>
      </c>
      <c r="D105" s="20">
        <f>SUM(D6:D104)</f>
        <v>0</v>
      </c>
      <c r="E105" s="20">
        <f>SUM(E6:E104)</f>
        <v>0</v>
      </c>
      <c r="F105" s="20">
        <f>SUM(F6:F104)</f>
        <v>0</v>
      </c>
      <c r="G105" s="20">
        <f>SUM(G6:G104)</f>
        <v>-8015.63</v>
      </c>
      <c r="H105" s="84"/>
      <c r="I105" s="20">
        <f>SUM(I6:I104)</f>
        <v>-8015.63</v>
      </c>
      <c r="J105" s="78"/>
      <c r="K105" s="78"/>
      <c r="L105" s="78"/>
      <c r="M105" s="78"/>
      <c r="N105" s="96"/>
      <c r="O105" s="96"/>
      <c r="P105" s="97"/>
    </row>
    <row r="106" spans="1:19" s="10" customFormat="1" x14ac:dyDescent="0.4">
      <c r="A106" s="21"/>
      <c r="B106" s="9"/>
      <c r="C106" s="14"/>
      <c r="D106" s="78"/>
      <c r="E106" s="78"/>
      <c r="F106" s="78"/>
      <c r="G106" s="79"/>
      <c r="H106" s="76"/>
      <c r="I106" s="79"/>
      <c r="J106" s="78"/>
      <c r="K106" s="78"/>
      <c r="L106" s="78"/>
      <c r="M106" s="78"/>
      <c r="N106" s="96"/>
      <c r="O106" s="96"/>
      <c r="P106" s="97"/>
    </row>
    <row r="107" spans="1:19" s="10" customFormat="1" x14ac:dyDescent="0.4">
      <c r="A107" s="21"/>
      <c r="B107" s="9"/>
      <c r="C107" s="78"/>
      <c r="D107" s="78"/>
      <c r="E107" s="78"/>
      <c r="F107" s="78"/>
      <c r="G107" s="79"/>
      <c r="H107" s="76"/>
      <c r="I107" s="79"/>
      <c r="J107" s="78"/>
      <c r="K107" s="78"/>
      <c r="L107" s="78"/>
      <c r="M107" s="78"/>
      <c r="N107" s="96"/>
      <c r="O107" s="96"/>
      <c r="P107" s="97"/>
    </row>
    <row r="108" spans="1:19" s="10" customFormat="1" x14ac:dyDescent="0.4">
      <c r="A108" s="21"/>
      <c r="B108" s="9"/>
      <c r="C108" s="14"/>
      <c r="D108" s="78"/>
      <c r="E108" s="78"/>
      <c r="F108" s="78"/>
      <c r="G108" s="79"/>
      <c r="H108" s="76"/>
      <c r="I108" s="79"/>
      <c r="J108" s="78"/>
      <c r="K108" s="78"/>
      <c r="L108" s="78"/>
      <c r="M108" s="78"/>
      <c r="N108" s="96"/>
      <c r="O108" s="96"/>
      <c r="P108" s="97"/>
    </row>
    <row r="109" spans="1:19" s="78" customFormat="1" x14ac:dyDescent="0.4">
      <c r="A109" s="21"/>
      <c r="B109" s="9"/>
      <c r="C109" s="14"/>
      <c r="G109" s="79"/>
      <c r="H109" s="76"/>
      <c r="I109" s="67"/>
      <c r="N109" s="96"/>
      <c r="O109" s="96"/>
      <c r="P109" s="97"/>
      <c r="Q109" s="10"/>
      <c r="R109" s="10"/>
      <c r="S109" s="10"/>
    </row>
    <row r="110" spans="1:19" s="78" customFormat="1" x14ac:dyDescent="0.4">
      <c r="A110" s="21"/>
      <c r="B110" s="21"/>
      <c r="C110" s="14"/>
      <c r="G110" s="79"/>
      <c r="H110" s="76"/>
      <c r="I110" s="79"/>
      <c r="N110" s="96"/>
      <c r="O110" s="96"/>
      <c r="P110" s="97"/>
      <c r="Q110" s="10"/>
      <c r="R110" s="10"/>
      <c r="S110" s="10"/>
    </row>
    <row r="111" spans="1:19" s="10" customFormat="1" x14ac:dyDescent="0.4">
      <c r="A111" s="21"/>
      <c r="B111" s="21"/>
      <c r="C111" s="14"/>
      <c r="D111" s="78"/>
      <c r="E111" s="78"/>
      <c r="F111" s="78"/>
      <c r="G111" s="79"/>
      <c r="H111" s="76"/>
      <c r="I111" s="79"/>
      <c r="J111" s="78"/>
      <c r="K111" s="78"/>
      <c r="L111" s="78"/>
      <c r="M111" s="78"/>
      <c r="N111" s="96"/>
      <c r="O111" s="96"/>
      <c r="P111" s="97"/>
    </row>
    <row r="112" spans="1:19" s="78" customFormat="1" x14ac:dyDescent="0.4">
      <c r="A112" s="21"/>
      <c r="B112" s="21"/>
      <c r="C112" s="14" t="s">
        <v>261</v>
      </c>
      <c r="G112" s="79"/>
      <c r="H112" s="76"/>
      <c r="I112" s="79"/>
      <c r="N112" s="96"/>
      <c r="O112" s="96"/>
      <c r="P112" s="97"/>
      <c r="Q112" s="10"/>
      <c r="R112" s="10"/>
      <c r="S112" s="10"/>
    </row>
    <row r="113" spans="1:19" s="10" customFormat="1" x14ac:dyDescent="0.4">
      <c r="A113" s="21"/>
      <c r="B113" s="21"/>
      <c r="C113" s="14"/>
      <c r="D113" s="78"/>
      <c r="E113" s="78"/>
      <c r="F113" s="78"/>
      <c r="G113" s="79"/>
      <c r="H113" s="76"/>
      <c r="I113" s="79"/>
      <c r="J113" s="78"/>
      <c r="K113" s="78"/>
      <c r="L113" s="78"/>
      <c r="M113" s="78"/>
      <c r="N113" s="96"/>
      <c r="O113" s="96"/>
      <c r="P113" s="97"/>
    </row>
    <row r="114" spans="1:19" s="10" customFormat="1" x14ac:dyDescent="0.4">
      <c r="A114" s="21"/>
      <c r="B114" s="21"/>
      <c r="C114" s="14"/>
      <c r="D114" s="78"/>
      <c r="E114" s="78"/>
      <c r="F114" s="78"/>
      <c r="G114" s="79"/>
      <c r="H114" s="76"/>
      <c r="I114" s="79"/>
      <c r="J114" s="78"/>
      <c r="K114" s="78"/>
      <c r="L114" s="78"/>
      <c r="M114" s="78"/>
      <c r="N114" s="96"/>
      <c r="O114" s="96"/>
      <c r="P114" s="97"/>
    </row>
    <row r="115" spans="1:19" s="10" customFormat="1" x14ac:dyDescent="0.4">
      <c r="A115" s="21"/>
      <c r="B115" s="21"/>
      <c r="C115" s="14"/>
      <c r="D115" s="78"/>
      <c r="E115" s="78"/>
      <c r="F115" s="78"/>
      <c r="G115" s="79"/>
      <c r="H115" s="76"/>
      <c r="I115" s="79"/>
      <c r="J115" s="78"/>
      <c r="K115" s="78"/>
      <c r="L115" s="78"/>
      <c r="M115" s="78"/>
      <c r="N115" s="96"/>
      <c r="O115" s="96"/>
      <c r="P115" s="97"/>
    </row>
    <row r="116" spans="1:19" s="10" customFormat="1" x14ac:dyDescent="0.4">
      <c r="A116" s="21"/>
      <c r="B116" s="21"/>
      <c r="C116" s="78"/>
      <c r="D116" s="78"/>
      <c r="E116" s="78"/>
      <c r="F116" s="78"/>
      <c r="G116" s="79"/>
      <c r="H116" s="76"/>
      <c r="I116" s="79"/>
      <c r="J116" s="78"/>
      <c r="K116" s="78"/>
      <c r="L116" s="78"/>
      <c r="M116" s="78"/>
      <c r="N116" s="96"/>
      <c r="O116" s="96"/>
      <c r="P116" s="97"/>
    </row>
    <row r="117" spans="1:19" s="10" customFormat="1" x14ac:dyDescent="0.4">
      <c r="A117" s="21"/>
      <c r="B117" s="21"/>
      <c r="C117" s="78"/>
      <c r="D117" s="78"/>
      <c r="E117" s="78"/>
      <c r="F117" s="78"/>
      <c r="G117" s="79"/>
      <c r="H117" s="76"/>
      <c r="I117" s="79"/>
      <c r="J117" s="78"/>
      <c r="K117" s="78"/>
      <c r="L117" s="78"/>
      <c r="M117" s="78"/>
      <c r="N117" s="96"/>
      <c r="O117" s="96"/>
      <c r="P117" s="97"/>
    </row>
    <row r="118" spans="1:19" s="10" customFormat="1" x14ac:dyDescent="0.4">
      <c r="A118" s="21"/>
      <c r="B118" s="21"/>
      <c r="C118" s="78"/>
      <c r="D118" s="78"/>
      <c r="E118" s="78"/>
      <c r="F118" s="78"/>
      <c r="G118" s="79"/>
      <c r="H118" s="76"/>
      <c r="I118" s="79"/>
      <c r="J118" s="78"/>
      <c r="K118" s="78"/>
      <c r="L118" s="78"/>
      <c r="M118" s="78"/>
      <c r="N118" s="96"/>
      <c r="O118" s="96"/>
      <c r="P118" s="97"/>
    </row>
    <row r="119" spans="1:19" s="10" customFormat="1" x14ac:dyDescent="0.4">
      <c r="A119" s="21"/>
      <c r="B119" s="21"/>
      <c r="C119" s="78"/>
      <c r="D119" s="78"/>
      <c r="E119" s="78"/>
      <c r="F119" s="78"/>
      <c r="G119" s="79"/>
      <c r="H119" s="76"/>
      <c r="I119" s="79"/>
      <c r="J119" s="78"/>
      <c r="K119" s="78"/>
      <c r="L119" s="78"/>
      <c r="M119" s="78"/>
      <c r="N119" s="96"/>
      <c r="O119" s="96"/>
      <c r="P119" s="97"/>
    </row>
    <row r="120" spans="1:19" s="10" customFormat="1" x14ac:dyDescent="0.4">
      <c r="A120" s="21"/>
      <c r="B120" s="9"/>
      <c r="C120" s="78"/>
      <c r="D120" s="78"/>
      <c r="E120" s="78"/>
      <c r="F120" s="78"/>
      <c r="G120" s="79"/>
      <c r="H120" s="76"/>
      <c r="I120" s="79"/>
      <c r="J120" s="78"/>
      <c r="K120" s="78"/>
      <c r="L120" s="78"/>
      <c r="M120" s="78"/>
      <c r="N120" s="96"/>
      <c r="O120" s="96"/>
      <c r="P120" s="97"/>
    </row>
    <row r="121" spans="1:19" s="10" customFormat="1" x14ac:dyDescent="0.4">
      <c r="A121" s="21"/>
      <c r="B121" s="9"/>
      <c r="C121" s="78"/>
      <c r="D121" s="78"/>
      <c r="E121" s="78"/>
      <c r="F121" s="78"/>
      <c r="G121" s="79"/>
      <c r="H121" s="76"/>
      <c r="I121" s="79"/>
      <c r="J121" s="78"/>
      <c r="K121" s="78"/>
      <c r="L121" s="78"/>
      <c r="M121" s="78"/>
      <c r="N121" s="96"/>
      <c r="O121" s="96"/>
      <c r="P121" s="97"/>
    </row>
    <row r="122" spans="1:19" s="10" customFormat="1" x14ac:dyDescent="0.4">
      <c r="A122" s="21"/>
      <c r="B122" s="9"/>
      <c r="C122" s="78"/>
      <c r="D122" s="78"/>
      <c r="E122" s="78"/>
      <c r="F122" s="78"/>
      <c r="G122" s="79"/>
      <c r="H122" s="76"/>
      <c r="I122" s="79"/>
      <c r="J122" s="78"/>
      <c r="K122" s="78"/>
      <c r="L122" s="78"/>
      <c r="M122" s="78"/>
      <c r="N122" s="96"/>
      <c r="O122" s="96"/>
      <c r="P122" s="97"/>
      <c r="S122" s="21"/>
    </row>
    <row r="123" spans="1:19" s="10" customFormat="1" x14ac:dyDescent="0.4">
      <c r="A123" s="21"/>
      <c r="B123" s="9"/>
      <c r="C123" s="78"/>
      <c r="D123" s="78"/>
      <c r="E123" s="78"/>
      <c r="F123" s="78"/>
      <c r="G123" s="79"/>
      <c r="H123" s="76"/>
      <c r="I123" s="79"/>
      <c r="J123" s="78"/>
      <c r="K123" s="78"/>
      <c r="L123" s="78"/>
      <c r="M123" s="78"/>
      <c r="N123" s="96"/>
      <c r="O123" s="96"/>
      <c r="P123" s="97"/>
      <c r="S123" s="21"/>
    </row>
    <row r="124" spans="1:19" s="10" customFormat="1" x14ac:dyDescent="0.4">
      <c r="A124" s="21"/>
      <c r="B124" s="9"/>
      <c r="C124" s="78"/>
      <c r="D124" s="78"/>
      <c r="E124" s="78"/>
      <c r="F124" s="78"/>
      <c r="G124" s="79"/>
      <c r="H124" s="76"/>
      <c r="I124" s="79"/>
      <c r="J124" s="78"/>
      <c r="K124" s="78"/>
      <c r="L124" s="78"/>
      <c r="M124" s="78"/>
      <c r="N124" s="96"/>
      <c r="O124" s="96"/>
      <c r="P124" s="97"/>
      <c r="S124" s="21"/>
    </row>
    <row r="125" spans="1:19" s="10" customFormat="1" x14ac:dyDescent="0.4">
      <c r="A125" s="21"/>
      <c r="B125" s="9"/>
      <c r="C125" s="78"/>
      <c r="D125" s="78"/>
      <c r="E125" s="78"/>
      <c r="F125" s="78"/>
      <c r="G125" s="79"/>
      <c r="H125" s="76"/>
      <c r="I125" s="79"/>
      <c r="J125" s="78"/>
      <c r="K125" s="78"/>
      <c r="L125" s="78"/>
      <c r="M125" s="78"/>
      <c r="N125" s="96"/>
      <c r="O125" s="96"/>
      <c r="P125" s="97"/>
      <c r="S125" s="21"/>
    </row>
    <row r="126" spans="1:19" s="10" customFormat="1" x14ac:dyDescent="0.4">
      <c r="A126" s="21"/>
      <c r="B126" s="9"/>
      <c r="C126" s="78"/>
      <c r="D126" s="78"/>
      <c r="E126" s="78"/>
      <c r="F126" s="78"/>
      <c r="G126" s="79"/>
      <c r="H126" s="76"/>
      <c r="I126" s="79"/>
      <c r="J126" s="78"/>
      <c r="K126" s="78"/>
      <c r="L126" s="78"/>
      <c r="M126" s="78"/>
      <c r="N126" s="96"/>
      <c r="O126" s="96"/>
      <c r="P126" s="97"/>
      <c r="S126" s="21"/>
    </row>
    <row r="127" spans="1:19" s="10" customFormat="1" x14ac:dyDescent="0.4">
      <c r="A127" s="21"/>
      <c r="B127" s="9"/>
      <c r="C127" s="78"/>
      <c r="D127" s="78"/>
      <c r="E127" s="78"/>
      <c r="F127" s="78"/>
      <c r="G127" s="79"/>
      <c r="H127" s="76"/>
      <c r="I127" s="79"/>
      <c r="J127" s="78"/>
      <c r="K127" s="78"/>
      <c r="L127" s="78"/>
      <c r="M127" s="78"/>
      <c r="N127" s="96"/>
      <c r="O127" s="96"/>
      <c r="P127" s="97"/>
      <c r="S127" s="21"/>
    </row>
    <row r="128" spans="1:19" s="10" customFormat="1" x14ac:dyDescent="0.4">
      <c r="A128" s="21"/>
      <c r="B128" s="9"/>
      <c r="C128" s="78"/>
      <c r="D128" s="78"/>
      <c r="E128" s="78"/>
      <c r="F128" s="78"/>
      <c r="G128" s="79"/>
      <c r="H128" s="76"/>
      <c r="I128" s="79"/>
      <c r="J128" s="78"/>
      <c r="K128" s="78"/>
      <c r="L128" s="78"/>
      <c r="M128" s="78"/>
      <c r="N128" s="96"/>
      <c r="O128" s="96"/>
      <c r="P128" s="97"/>
      <c r="S128" s="21"/>
    </row>
    <row r="129" spans="1:19" s="10" customFormat="1" x14ac:dyDescent="0.4">
      <c r="A129" s="21"/>
      <c r="B129" s="9"/>
      <c r="C129" s="78"/>
      <c r="D129" s="78"/>
      <c r="E129" s="78"/>
      <c r="F129" s="78"/>
      <c r="G129" s="79"/>
      <c r="H129" s="76"/>
      <c r="I129" s="79"/>
      <c r="J129" s="78"/>
      <c r="K129" s="78"/>
      <c r="L129" s="78"/>
      <c r="M129" s="78"/>
      <c r="N129" s="96"/>
      <c r="O129" s="96"/>
      <c r="P129" s="97"/>
      <c r="S129" s="21"/>
    </row>
    <row r="130" spans="1:19" s="10" customFormat="1" x14ac:dyDescent="0.4">
      <c r="A130" s="21"/>
      <c r="B130" s="9"/>
      <c r="C130" s="78"/>
      <c r="D130" s="78"/>
      <c r="E130" s="78"/>
      <c r="F130" s="78"/>
      <c r="G130" s="79"/>
      <c r="H130" s="76"/>
      <c r="I130" s="79"/>
      <c r="J130" s="78"/>
      <c r="K130" s="78"/>
      <c r="L130" s="78"/>
      <c r="M130" s="78"/>
      <c r="N130" s="96"/>
      <c r="O130" s="96"/>
      <c r="P130" s="97"/>
      <c r="S130" s="21"/>
    </row>
    <row r="131" spans="1:19" s="10" customFormat="1" x14ac:dyDescent="0.4">
      <c r="A131" s="21"/>
      <c r="B131" s="9"/>
      <c r="C131" s="78"/>
      <c r="D131" s="78"/>
      <c r="E131" s="78"/>
      <c r="F131" s="78"/>
      <c r="G131" s="79"/>
      <c r="H131" s="76"/>
      <c r="I131" s="79"/>
      <c r="J131" s="78"/>
      <c r="K131" s="78"/>
      <c r="L131" s="78"/>
      <c r="M131" s="78"/>
      <c r="N131" s="96"/>
      <c r="O131" s="96"/>
      <c r="P131" s="97"/>
      <c r="S131" s="21"/>
    </row>
    <row r="132" spans="1:19" x14ac:dyDescent="0.4">
      <c r="J132" s="78"/>
      <c r="K132" s="78"/>
      <c r="L132" s="78"/>
      <c r="M132" s="78"/>
      <c r="N132" s="96"/>
      <c r="O132" s="96"/>
      <c r="P132" s="97"/>
      <c r="Q132" s="10"/>
      <c r="R132" s="10"/>
    </row>
    <row r="133" spans="1:19" x14ac:dyDescent="0.4">
      <c r="J133" s="78"/>
      <c r="K133" s="78"/>
      <c r="L133" s="78"/>
      <c r="M133" s="78"/>
      <c r="N133" s="96"/>
      <c r="O133" s="96"/>
      <c r="P133" s="97"/>
      <c r="Q133" s="10"/>
      <c r="R133" s="10"/>
    </row>
    <row r="134" spans="1:19" x14ac:dyDescent="0.4">
      <c r="J134" s="78"/>
      <c r="K134" s="78"/>
      <c r="L134" s="78"/>
      <c r="M134" s="78"/>
      <c r="N134" s="96"/>
      <c r="O134" s="96"/>
      <c r="P134" s="97"/>
      <c r="Q134" s="10"/>
      <c r="R134" s="10"/>
    </row>
    <row r="135" spans="1:19" x14ac:dyDescent="0.4">
      <c r="J135" s="78"/>
      <c r="K135" s="78"/>
      <c r="L135" s="78"/>
      <c r="N135" s="96"/>
      <c r="O135" s="96"/>
      <c r="P135" s="97"/>
      <c r="Q135" s="10"/>
      <c r="R135" s="10"/>
    </row>
    <row r="136" spans="1:19" x14ac:dyDescent="0.4">
      <c r="J136" s="78"/>
      <c r="K136" s="78"/>
      <c r="N136" s="96"/>
      <c r="O136" s="96"/>
      <c r="P136" s="97"/>
      <c r="Q136" s="10"/>
      <c r="R136" s="10"/>
    </row>
    <row r="137" spans="1:19" x14ac:dyDescent="0.4">
      <c r="J137" s="78"/>
      <c r="K137" s="78"/>
      <c r="N137" s="96"/>
      <c r="O137" s="96"/>
      <c r="P137" s="97"/>
      <c r="Q137" s="10"/>
      <c r="R137" s="10"/>
    </row>
    <row r="138" spans="1:19" x14ac:dyDescent="0.4">
      <c r="J138" s="78"/>
      <c r="K138" s="78"/>
      <c r="N138" s="96"/>
      <c r="O138" s="96"/>
      <c r="P138" s="97"/>
      <c r="Q138" s="10"/>
      <c r="R138" s="10"/>
    </row>
    <row r="139" spans="1:19" x14ac:dyDescent="0.4">
      <c r="J139" s="78"/>
      <c r="K139" s="78"/>
      <c r="N139" s="96"/>
      <c r="O139" s="96"/>
      <c r="P139" s="97"/>
      <c r="Q139" s="10"/>
      <c r="R139" s="10"/>
    </row>
  </sheetData>
  <pageMargins left="0.7" right="0.7" top="0.75" bottom="0.75" header="0.3" footer="0.3"/>
  <pageSetup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5"/>
  <dimension ref="A1:W97"/>
  <sheetViews>
    <sheetView workbookViewId="0">
      <selection activeCell="E62" sqref="E62"/>
    </sheetView>
  </sheetViews>
  <sheetFormatPr defaultColWidth="9.05859375" defaultRowHeight="12.7" outlineLevelCol="1" x14ac:dyDescent="0.4"/>
  <cols>
    <col min="1" max="1" width="11.05859375" style="76" customWidth="1"/>
    <col min="2" max="2" width="31" style="76" bestFit="1" customWidth="1"/>
    <col min="3" max="3" width="14.05859375" style="78" customWidth="1" outlineLevel="1"/>
    <col min="4" max="4" width="11" style="78" customWidth="1" outlineLevel="1"/>
    <col min="5" max="5" width="13.52734375" style="78" customWidth="1" outlineLevel="1"/>
    <col min="6" max="6" width="12" style="78" customWidth="1" outlineLevel="1"/>
    <col min="7" max="7" width="14.87890625" style="79" customWidth="1" outlineLevel="1"/>
    <col min="8" max="8" width="19" style="76" customWidth="1" outlineLevel="1"/>
    <col min="9" max="9" width="14.52734375" style="79" customWidth="1"/>
    <col min="10" max="10" width="14.52734375" style="76" customWidth="1"/>
    <col min="11" max="11" width="13.87890625" style="76" customWidth="1"/>
    <col min="12" max="12" width="17.29296875" style="76" customWidth="1"/>
    <col min="13" max="13" width="14.17578125" style="76" bestFit="1" customWidth="1"/>
    <col min="14" max="15" width="9.05859375" style="76"/>
    <col min="16" max="16" width="13.46875" style="77" bestFit="1" customWidth="1"/>
    <col min="17" max="16384" width="9.05859375" style="76"/>
  </cols>
  <sheetData>
    <row r="1" spans="1:16" x14ac:dyDescent="0.4">
      <c r="A1" s="75" t="s">
        <v>901</v>
      </c>
    </row>
    <row r="2" spans="1:16" x14ac:dyDescent="0.4">
      <c r="A2" s="75" t="s">
        <v>482</v>
      </c>
    </row>
    <row r="3" spans="1:16" x14ac:dyDescent="0.4">
      <c r="A3" s="3">
        <v>43281</v>
      </c>
      <c r="D3" s="14" t="s">
        <v>261</v>
      </c>
      <c r="E3" s="14"/>
      <c r="F3" s="14"/>
      <c r="G3" s="19"/>
      <c r="H3" s="4"/>
    </row>
    <row r="5" spans="1:16" x14ac:dyDescent="0.4">
      <c r="A5" s="76" t="s">
        <v>484</v>
      </c>
      <c r="B5" s="68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L5" s="416" t="s">
        <v>282</v>
      </c>
      <c r="M5" s="416" t="s">
        <v>284</v>
      </c>
    </row>
    <row r="6" spans="1:16" x14ac:dyDescent="0.4">
      <c r="A6" s="68" t="s">
        <v>971</v>
      </c>
      <c r="B6" s="68" t="s">
        <v>903</v>
      </c>
      <c r="C6" s="82">
        <v>84093.53</v>
      </c>
      <c r="G6" s="79">
        <f t="shared" ref="G6:G69" si="0">SUM(C6:F6)</f>
        <v>84093.53</v>
      </c>
      <c r="H6" s="78" t="s">
        <v>264</v>
      </c>
      <c r="I6" s="79">
        <f>G6</f>
        <v>84093.53</v>
      </c>
      <c r="L6" s="417" t="s">
        <v>264</v>
      </c>
      <c r="M6" s="418">
        <v>102048.8</v>
      </c>
      <c r="N6" s="100"/>
      <c r="O6" s="100"/>
      <c r="P6" s="82"/>
    </row>
    <row r="7" spans="1:16" x14ac:dyDescent="0.4">
      <c r="A7" s="68" t="s">
        <v>972</v>
      </c>
      <c r="B7" s="68" t="s">
        <v>904</v>
      </c>
      <c r="C7" s="82">
        <v>14179.23</v>
      </c>
      <c r="G7" s="79">
        <f t="shared" si="0"/>
        <v>14179.23</v>
      </c>
      <c r="H7" s="78" t="s">
        <v>264</v>
      </c>
      <c r="I7" s="79">
        <f t="shared" ref="I7:I70" si="1">G7</f>
        <v>14179.23</v>
      </c>
      <c r="L7" s="417" t="s">
        <v>265</v>
      </c>
      <c r="M7" s="418">
        <v>512353.91</v>
      </c>
      <c r="N7" s="100"/>
      <c r="O7" s="100"/>
      <c r="P7" s="82"/>
    </row>
    <row r="8" spans="1:16" x14ac:dyDescent="0.4">
      <c r="A8" s="68" t="s">
        <v>973</v>
      </c>
      <c r="B8" s="68" t="s">
        <v>905</v>
      </c>
      <c r="C8" s="82">
        <v>0</v>
      </c>
      <c r="G8" s="79">
        <f t="shared" si="0"/>
        <v>0</v>
      </c>
      <c r="H8" s="78" t="s">
        <v>264</v>
      </c>
      <c r="I8" s="79">
        <f t="shared" si="1"/>
        <v>0</v>
      </c>
      <c r="L8" s="417" t="s">
        <v>268</v>
      </c>
      <c r="M8" s="418">
        <v>20799.150000000001</v>
      </c>
      <c r="N8" s="100"/>
      <c r="O8" s="100"/>
      <c r="P8" s="82"/>
    </row>
    <row r="9" spans="1:16" x14ac:dyDescent="0.4">
      <c r="A9" s="68" t="s">
        <v>974</v>
      </c>
      <c r="B9" s="68" t="s">
        <v>906</v>
      </c>
      <c r="C9" s="82">
        <v>864</v>
      </c>
      <c r="G9" s="79">
        <f t="shared" si="0"/>
        <v>864</v>
      </c>
      <c r="H9" s="78" t="s">
        <v>264</v>
      </c>
      <c r="I9" s="79">
        <f t="shared" si="1"/>
        <v>864</v>
      </c>
      <c r="L9" s="417" t="s">
        <v>271</v>
      </c>
      <c r="M9" s="418">
        <v>303516.58</v>
      </c>
      <c r="N9" s="100"/>
      <c r="O9" s="100"/>
      <c r="P9" s="82"/>
    </row>
    <row r="10" spans="1:16" x14ac:dyDescent="0.4">
      <c r="A10" s="68" t="s">
        <v>975</v>
      </c>
      <c r="B10" s="68" t="s">
        <v>907</v>
      </c>
      <c r="C10" s="82">
        <v>2634.08</v>
      </c>
      <c r="G10" s="79">
        <f t="shared" si="0"/>
        <v>2634.08</v>
      </c>
      <c r="H10" s="78" t="s">
        <v>264</v>
      </c>
      <c r="I10" s="79">
        <f t="shared" si="1"/>
        <v>2634.08</v>
      </c>
      <c r="L10" s="417" t="s">
        <v>266</v>
      </c>
      <c r="M10" s="418">
        <v>5850544.9199999999</v>
      </c>
      <c r="N10" s="100"/>
      <c r="O10" s="100"/>
      <c r="P10" s="82"/>
    </row>
    <row r="11" spans="1:16" x14ac:dyDescent="0.4">
      <c r="A11" s="68" t="s">
        <v>976</v>
      </c>
      <c r="B11" s="125" t="s">
        <v>908</v>
      </c>
      <c r="C11" s="82">
        <v>0</v>
      </c>
      <c r="G11" s="79">
        <f t="shared" si="0"/>
        <v>0</v>
      </c>
      <c r="H11" s="78" t="s">
        <v>264</v>
      </c>
      <c r="I11" s="79">
        <f t="shared" si="1"/>
        <v>0</v>
      </c>
      <c r="L11" s="417" t="s">
        <v>272</v>
      </c>
      <c r="M11" s="418">
        <v>-3149212.23</v>
      </c>
      <c r="N11" s="100"/>
      <c r="O11" s="100"/>
      <c r="P11" s="82"/>
    </row>
    <row r="12" spans="1:16" x14ac:dyDescent="0.4">
      <c r="A12" s="68" t="s">
        <v>977</v>
      </c>
      <c r="B12" s="125" t="s">
        <v>909</v>
      </c>
      <c r="C12" s="82">
        <v>-79.53</v>
      </c>
      <c r="G12" s="79">
        <f t="shared" si="0"/>
        <v>-79.53</v>
      </c>
      <c r="H12" s="78" t="s">
        <v>264</v>
      </c>
      <c r="I12" s="79">
        <f t="shared" si="1"/>
        <v>-79.53</v>
      </c>
      <c r="L12" s="417" t="s">
        <v>274</v>
      </c>
      <c r="M12" s="418">
        <v>-3364401.66</v>
      </c>
      <c r="N12" s="100"/>
      <c r="O12" s="100"/>
      <c r="P12" s="82"/>
    </row>
    <row r="13" spans="1:16" x14ac:dyDescent="0.4">
      <c r="A13" s="68" t="s">
        <v>312</v>
      </c>
      <c r="B13" s="68" t="s">
        <v>910</v>
      </c>
      <c r="C13" s="82">
        <v>569078.91</v>
      </c>
      <c r="G13" s="79">
        <f t="shared" si="0"/>
        <v>569078.91</v>
      </c>
      <c r="H13" s="78" t="s">
        <v>265</v>
      </c>
      <c r="I13" s="79">
        <f t="shared" si="1"/>
        <v>569078.91</v>
      </c>
      <c r="L13" s="417" t="s">
        <v>650</v>
      </c>
      <c r="M13" s="418">
        <v>1707616.5</v>
      </c>
      <c r="N13" s="100"/>
      <c r="O13" s="100"/>
      <c r="P13" s="82"/>
    </row>
    <row r="14" spans="1:16" x14ac:dyDescent="0.4">
      <c r="A14" s="68" t="s">
        <v>978</v>
      </c>
      <c r="B14" s="68" t="s">
        <v>14</v>
      </c>
      <c r="C14" s="82">
        <v>-56725</v>
      </c>
      <c r="G14" s="79">
        <f t="shared" si="0"/>
        <v>-56725</v>
      </c>
      <c r="H14" s="78" t="s">
        <v>265</v>
      </c>
      <c r="I14" s="79">
        <f t="shared" si="1"/>
        <v>-56725</v>
      </c>
      <c r="L14" s="417" t="s">
        <v>278</v>
      </c>
      <c r="M14" s="418">
        <v>20555654.559999999</v>
      </c>
      <c r="N14" s="100"/>
      <c r="O14" s="100"/>
      <c r="P14" s="82"/>
    </row>
    <row r="15" spans="1:16" x14ac:dyDescent="0.4">
      <c r="A15" s="68" t="s">
        <v>1043</v>
      </c>
      <c r="B15" s="68" t="s">
        <v>1044</v>
      </c>
      <c r="C15" s="82">
        <v>0</v>
      </c>
      <c r="G15" s="79">
        <f t="shared" si="0"/>
        <v>0</v>
      </c>
      <c r="H15" s="78" t="s">
        <v>271</v>
      </c>
      <c r="I15" s="79">
        <f t="shared" si="1"/>
        <v>0</v>
      </c>
      <c r="L15" s="417" t="s">
        <v>276</v>
      </c>
      <c r="M15" s="418">
        <v>-754016.84</v>
      </c>
      <c r="N15" s="100"/>
      <c r="O15" s="100"/>
      <c r="P15" s="82"/>
    </row>
    <row r="16" spans="1:16" x14ac:dyDescent="0.4">
      <c r="A16" s="68" t="s">
        <v>979</v>
      </c>
      <c r="B16" s="68" t="s">
        <v>911</v>
      </c>
      <c r="C16" s="82">
        <v>5455.58</v>
      </c>
      <c r="G16" s="79">
        <f t="shared" si="0"/>
        <v>5455.58</v>
      </c>
      <c r="H16" s="78" t="s">
        <v>271</v>
      </c>
      <c r="I16" s="79">
        <f t="shared" si="1"/>
        <v>5455.58</v>
      </c>
      <c r="L16" s="417" t="s">
        <v>275</v>
      </c>
      <c r="M16" s="418">
        <v>5437.5</v>
      </c>
      <c r="N16" s="100"/>
      <c r="O16" s="100"/>
      <c r="P16" s="82"/>
    </row>
    <row r="17" spans="1:16" x14ac:dyDescent="0.4">
      <c r="A17" s="68" t="s">
        <v>980</v>
      </c>
      <c r="B17" s="68" t="s">
        <v>912</v>
      </c>
      <c r="C17" s="82">
        <v>422345.93</v>
      </c>
      <c r="G17" s="79">
        <f t="shared" si="0"/>
        <v>422345.93</v>
      </c>
      <c r="H17" s="78" t="s">
        <v>650</v>
      </c>
      <c r="I17" s="79">
        <f t="shared" si="1"/>
        <v>422345.93</v>
      </c>
      <c r="J17" s="77"/>
      <c r="K17" s="77"/>
      <c r="L17" s="417" t="s">
        <v>277</v>
      </c>
      <c r="M17" s="418">
        <v>-20785924.02</v>
      </c>
      <c r="N17" s="100"/>
      <c r="O17" s="100"/>
      <c r="P17" s="82"/>
    </row>
    <row r="18" spans="1:16" x14ac:dyDescent="0.4">
      <c r="A18" s="125" t="s">
        <v>981</v>
      </c>
      <c r="B18" s="125" t="s">
        <v>913</v>
      </c>
      <c r="C18" s="82">
        <v>1128980.55</v>
      </c>
      <c r="G18" s="79">
        <f t="shared" si="0"/>
        <v>1128980.55</v>
      </c>
      <c r="H18" s="78" t="s">
        <v>650</v>
      </c>
      <c r="I18" s="79">
        <f t="shared" si="1"/>
        <v>1128980.55</v>
      </c>
      <c r="J18" s="77"/>
      <c r="K18" s="77"/>
      <c r="L18" s="417" t="s">
        <v>859</v>
      </c>
      <c r="M18" s="418">
        <v>-919742.12</v>
      </c>
      <c r="N18" s="100"/>
      <c r="O18" s="100"/>
      <c r="P18" s="82"/>
    </row>
    <row r="19" spans="1:16" x14ac:dyDescent="0.4">
      <c r="A19" s="125" t="s">
        <v>982</v>
      </c>
      <c r="B19" s="125" t="s">
        <v>914</v>
      </c>
      <c r="C19" s="82">
        <v>557674</v>
      </c>
      <c r="G19" s="79">
        <f t="shared" si="0"/>
        <v>557674</v>
      </c>
      <c r="H19" s="78" t="s">
        <v>650</v>
      </c>
      <c r="I19" s="79">
        <f t="shared" si="1"/>
        <v>557674</v>
      </c>
      <c r="L19" s="417" t="s">
        <v>860</v>
      </c>
      <c r="M19" s="418">
        <v>-84675.05</v>
      </c>
      <c r="N19" s="100"/>
      <c r="O19" s="100"/>
      <c r="P19" s="82"/>
    </row>
    <row r="20" spans="1:16" x14ac:dyDescent="0.4">
      <c r="A20" s="68" t="s">
        <v>983</v>
      </c>
      <c r="B20" s="68" t="s">
        <v>915</v>
      </c>
      <c r="C20" s="82">
        <v>51220.9</v>
      </c>
      <c r="G20" s="79">
        <f t="shared" si="0"/>
        <v>51220.9</v>
      </c>
      <c r="H20" s="78" t="s">
        <v>650</v>
      </c>
      <c r="I20" s="79">
        <f t="shared" si="1"/>
        <v>51220.9</v>
      </c>
      <c r="L20" s="417" t="s">
        <v>283</v>
      </c>
      <c r="M20" s="418">
        <v>0</v>
      </c>
      <c r="N20" s="100"/>
      <c r="O20" s="100"/>
      <c r="P20" s="82"/>
    </row>
    <row r="21" spans="1:16" ht="14.35" x14ac:dyDescent="0.5">
      <c r="A21" s="68" t="s">
        <v>984</v>
      </c>
      <c r="B21" s="68" t="s">
        <v>916</v>
      </c>
      <c r="C21" s="82">
        <v>60000</v>
      </c>
      <c r="G21" s="79">
        <f t="shared" si="0"/>
        <v>60000</v>
      </c>
      <c r="H21" s="78" t="s">
        <v>271</v>
      </c>
      <c r="I21" s="79">
        <f t="shared" si="1"/>
        <v>60000</v>
      </c>
      <c r="L21"/>
      <c r="M21"/>
      <c r="N21" s="100"/>
      <c r="O21" s="100"/>
      <c r="P21" s="82"/>
    </row>
    <row r="22" spans="1:16" ht="14.35" x14ac:dyDescent="0.5">
      <c r="A22" s="68" t="s">
        <v>985</v>
      </c>
      <c r="B22" s="68" t="s">
        <v>917</v>
      </c>
      <c r="C22" s="82">
        <v>-27854.86</v>
      </c>
      <c r="G22" s="79">
        <f t="shared" si="0"/>
        <v>-27854.86</v>
      </c>
      <c r="H22" s="78" t="s">
        <v>650</v>
      </c>
      <c r="I22" s="79">
        <f t="shared" si="1"/>
        <v>-27854.86</v>
      </c>
      <c r="L22"/>
      <c r="M22"/>
      <c r="N22" s="100"/>
      <c r="O22" s="100"/>
      <c r="P22" s="82"/>
    </row>
    <row r="23" spans="1:16" ht="14.35" x14ac:dyDescent="0.5">
      <c r="A23" s="68" t="s">
        <v>986</v>
      </c>
      <c r="B23" s="68" t="s">
        <v>918</v>
      </c>
      <c r="C23" s="82">
        <v>-454729.95</v>
      </c>
      <c r="G23" s="79">
        <f t="shared" si="0"/>
        <v>-454729.95</v>
      </c>
      <c r="H23" s="78" t="s">
        <v>650</v>
      </c>
      <c r="I23" s="79">
        <f t="shared" si="1"/>
        <v>-454729.95</v>
      </c>
      <c r="L23"/>
      <c r="M23"/>
      <c r="N23" s="100"/>
      <c r="O23" s="100"/>
      <c r="P23" s="82"/>
    </row>
    <row r="24" spans="1:16" ht="14.35" x14ac:dyDescent="0.5">
      <c r="A24" s="68" t="s">
        <v>987</v>
      </c>
      <c r="B24" s="68" t="s">
        <v>919</v>
      </c>
      <c r="C24" s="82">
        <v>29979.93</v>
      </c>
      <c r="G24" s="79">
        <f t="shared" si="0"/>
        <v>29979.93</v>
      </c>
      <c r="H24" s="78" t="s">
        <v>650</v>
      </c>
      <c r="I24" s="79">
        <f t="shared" si="1"/>
        <v>29979.93</v>
      </c>
      <c r="L24"/>
      <c r="M24"/>
      <c r="N24" s="100"/>
      <c r="O24" s="100"/>
      <c r="P24" s="82"/>
    </row>
    <row r="25" spans="1:16" ht="14.35" x14ac:dyDescent="0.5">
      <c r="A25" s="68" t="s">
        <v>1240</v>
      </c>
      <c r="B25" s="68" t="s">
        <v>1241</v>
      </c>
      <c r="C25" s="82">
        <v>-718.94</v>
      </c>
      <c r="G25" s="79">
        <f t="shared" si="0"/>
        <v>-718.94</v>
      </c>
      <c r="H25" s="78" t="s">
        <v>271</v>
      </c>
      <c r="I25" s="79">
        <f t="shared" si="1"/>
        <v>-718.94</v>
      </c>
      <c r="L25"/>
      <c r="M25"/>
      <c r="N25" s="100"/>
      <c r="O25" s="100"/>
      <c r="P25" s="82"/>
    </row>
    <row r="26" spans="1:16" ht="14.35" x14ac:dyDescent="0.5">
      <c r="A26" s="68" t="s">
        <v>988</v>
      </c>
      <c r="B26" s="68" t="s">
        <v>55</v>
      </c>
      <c r="C26" s="82">
        <v>356104.48</v>
      </c>
      <c r="G26" s="79">
        <f t="shared" si="0"/>
        <v>356104.48</v>
      </c>
      <c r="H26" s="78" t="s">
        <v>266</v>
      </c>
      <c r="I26" s="79">
        <f t="shared" si="1"/>
        <v>356104.48</v>
      </c>
      <c r="L26"/>
      <c r="M26"/>
      <c r="N26" s="100"/>
      <c r="O26" s="100"/>
      <c r="P26" s="82"/>
    </row>
    <row r="27" spans="1:16" ht="14.35" x14ac:dyDescent="0.5">
      <c r="A27" s="68" t="s">
        <v>989</v>
      </c>
      <c r="B27" s="68" t="s">
        <v>920</v>
      </c>
      <c r="C27" s="82">
        <v>-153789.94</v>
      </c>
      <c r="G27" s="79">
        <f t="shared" si="0"/>
        <v>-153789.94</v>
      </c>
      <c r="H27" s="78" t="s">
        <v>266</v>
      </c>
      <c r="I27" s="79">
        <f t="shared" si="1"/>
        <v>-153789.94</v>
      </c>
      <c r="L27" s="80"/>
      <c r="M27" s="80"/>
      <c r="N27" s="100"/>
      <c r="O27" s="100"/>
      <c r="P27" s="82"/>
    </row>
    <row r="28" spans="1:16" ht="14.35" x14ac:dyDescent="0.5">
      <c r="A28" s="68" t="s">
        <v>990</v>
      </c>
      <c r="B28" s="68" t="s">
        <v>921</v>
      </c>
      <c r="C28" s="82">
        <v>22222.54</v>
      </c>
      <c r="G28" s="79">
        <f t="shared" si="0"/>
        <v>22222.54</v>
      </c>
      <c r="H28" s="78" t="s">
        <v>266</v>
      </c>
      <c r="I28" s="79">
        <f t="shared" si="1"/>
        <v>22222.54</v>
      </c>
      <c r="L28" s="80"/>
      <c r="M28" s="80"/>
      <c r="N28" s="100"/>
      <c r="O28" s="100"/>
      <c r="P28" s="82"/>
    </row>
    <row r="29" spans="1:16" ht="14.35" x14ac:dyDescent="0.5">
      <c r="A29" s="68" t="s">
        <v>991</v>
      </c>
      <c r="B29" s="68" t="s">
        <v>922</v>
      </c>
      <c r="C29" s="82">
        <v>-20957.12</v>
      </c>
      <c r="G29" s="79">
        <f t="shared" si="0"/>
        <v>-20957.12</v>
      </c>
      <c r="H29" s="78" t="s">
        <v>266</v>
      </c>
      <c r="I29" s="79">
        <f t="shared" si="1"/>
        <v>-20957.12</v>
      </c>
      <c r="L29" s="80"/>
      <c r="M29" s="80"/>
      <c r="N29" s="100"/>
      <c r="O29" s="100"/>
      <c r="P29" s="82"/>
    </row>
    <row r="30" spans="1:16" x14ac:dyDescent="0.4">
      <c r="A30" s="68" t="s">
        <v>992</v>
      </c>
      <c r="B30" s="68" t="s">
        <v>923</v>
      </c>
      <c r="C30" s="82">
        <v>42000.76</v>
      </c>
      <c r="G30" s="79">
        <f t="shared" si="0"/>
        <v>42000.76</v>
      </c>
      <c r="H30" s="78" t="s">
        <v>266</v>
      </c>
      <c r="I30" s="79">
        <f t="shared" si="1"/>
        <v>42000.76</v>
      </c>
      <c r="N30" s="100"/>
      <c r="O30" s="100"/>
      <c r="P30" s="82"/>
    </row>
    <row r="31" spans="1:16" x14ac:dyDescent="0.4">
      <c r="A31" s="68" t="s">
        <v>993</v>
      </c>
      <c r="B31" s="68" t="s">
        <v>924</v>
      </c>
      <c r="C31" s="82">
        <v>-30534.05</v>
      </c>
      <c r="G31" s="79">
        <f t="shared" si="0"/>
        <v>-30534.05</v>
      </c>
      <c r="H31" s="78" t="s">
        <v>266</v>
      </c>
      <c r="I31" s="79">
        <f t="shared" si="1"/>
        <v>-30534.05</v>
      </c>
      <c r="N31" s="100"/>
      <c r="O31" s="100"/>
      <c r="P31" s="82"/>
    </row>
    <row r="32" spans="1:16" x14ac:dyDescent="0.4">
      <c r="A32" s="68" t="s">
        <v>994</v>
      </c>
      <c r="B32" s="68" t="s">
        <v>925</v>
      </c>
      <c r="C32" s="82">
        <v>1751973.07</v>
      </c>
      <c r="G32" s="79">
        <f t="shared" si="0"/>
        <v>1751973.07</v>
      </c>
      <c r="H32" s="78" t="s">
        <v>266</v>
      </c>
      <c r="I32" s="79">
        <f t="shared" si="1"/>
        <v>1751973.07</v>
      </c>
      <c r="N32" s="100"/>
      <c r="O32" s="100"/>
      <c r="P32" s="82"/>
    </row>
    <row r="33" spans="1:16" x14ac:dyDescent="0.4">
      <c r="A33" s="125" t="s">
        <v>995</v>
      </c>
      <c r="B33" s="125" t="s">
        <v>926</v>
      </c>
      <c r="C33" s="82">
        <v>4705788.3499999996</v>
      </c>
      <c r="G33" s="79">
        <f t="shared" si="0"/>
        <v>4705788.3499999996</v>
      </c>
      <c r="H33" s="78" t="s">
        <v>266</v>
      </c>
      <c r="I33" s="79">
        <f t="shared" si="1"/>
        <v>4705788.3499999996</v>
      </c>
      <c r="N33" s="100"/>
      <c r="O33" s="100"/>
      <c r="P33" s="82"/>
    </row>
    <row r="34" spans="1:16" x14ac:dyDescent="0.4">
      <c r="A34" s="125" t="s">
        <v>996</v>
      </c>
      <c r="B34" s="125" t="s">
        <v>45</v>
      </c>
      <c r="C34" s="82">
        <v>-1491141.53</v>
      </c>
      <c r="G34" s="79">
        <f t="shared" si="0"/>
        <v>-1491141.53</v>
      </c>
      <c r="H34" s="78" t="s">
        <v>266</v>
      </c>
      <c r="I34" s="79">
        <f t="shared" si="1"/>
        <v>-1491141.53</v>
      </c>
      <c r="K34" s="77"/>
      <c r="N34" s="100"/>
      <c r="O34" s="100"/>
      <c r="P34" s="82"/>
    </row>
    <row r="35" spans="1:16" x14ac:dyDescent="0.4">
      <c r="A35" s="68" t="s">
        <v>997</v>
      </c>
      <c r="B35" s="68" t="s">
        <v>927</v>
      </c>
      <c r="C35" s="82">
        <v>225185</v>
      </c>
      <c r="G35" s="79">
        <f t="shared" si="0"/>
        <v>225185</v>
      </c>
      <c r="H35" s="78" t="s">
        <v>266</v>
      </c>
      <c r="I35" s="79">
        <f t="shared" si="1"/>
        <v>225185</v>
      </c>
      <c r="N35" s="100"/>
      <c r="O35" s="100"/>
      <c r="P35" s="82"/>
    </row>
    <row r="36" spans="1:16" x14ac:dyDescent="0.4">
      <c r="A36" s="68" t="s">
        <v>998</v>
      </c>
      <c r="B36" s="68" t="s">
        <v>928</v>
      </c>
      <c r="C36" s="82">
        <v>-131954.54</v>
      </c>
      <c r="G36" s="79">
        <f t="shared" si="0"/>
        <v>-131954.54</v>
      </c>
      <c r="H36" s="78" t="s">
        <v>266</v>
      </c>
      <c r="I36" s="79">
        <f t="shared" si="1"/>
        <v>-131954.54</v>
      </c>
      <c r="N36" s="100"/>
      <c r="O36" s="100"/>
      <c r="P36" s="82"/>
    </row>
    <row r="37" spans="1:16" x14ac:dyDescent="0.4">
      <c r="A37" s="68" t="s">
        <v>999</v>
      </c>
      <c r="B37" s="68" t="s">
        <v>929</v>
      </c>
      <c r="C37" s="82">
        <v>882006.43</v>
      </c>
      <c r="G37" s="79">
        <f t="shared" si="0"/>
        <v>882006.43</v>
      </c>
      <c r="H37" s="78" t="s">
        <v>266</v>
      </c>
      <c r="I37" s="79">
        <f t="shared" si="1"/>
        <v>882006.43</v>
      </c>
      <c r="N37" s="100"/>
      <c r="O37" s="100"/>
      <c r="P37" s="82"/>
    </row>
    <row r="38" spans="1:16" x14ac:dyDescent="0.4">
      <c r="A38" s="68" t="s">
        <v>1000</v>
      </c>
      <c r="B38" s="68" t="s">
        <v>930</v>
      </c>
      <c r="C38" s="82">
        <v>-316226.69</v>
      </c>
      <c r="G38" s="79">
        <f t="shared" si="0"/>
        <v>-316226.69</v>
      </c>
      <c r="H38" s="78" t="s">
        <v>266</v>
      </c>
      <c r="I38" s="79">
        <f t="shared" si="1"/>
        <v>-316226.69</v>
      </c>
      <c r="N38" s="100"/>
      <c r="O38" s="100"/>
      <c r="P38" s="82"/>
    </row>
    <row r="39" spans="1:16" x14ac:dyDescent="0.4">
      <c r="A39" s="68" t="s">
        <v>1001</v>
      </c>
      <c r="B39" s="68" t="s">
        <v>931</v>
      </c>
      <c r="C39" s="82">
        <v>19737.259999999998</v>
      </c>
      <c r="G39" s="79">
        <f t="shared" si="0"/>
        <v>19737.259999999998</v>
      </c>
      <c r="H39" s="78" t="s">
        <v>266</v>
      </c>
      <c r="I39" s="79">
        <f t="shared" si="1"/>
        <v>19737.259999999998</v>
      </c>
      <c r="N39" s="100"/>
      <c r="O39" s="100"/>
      <c r="P39" s="82"/>
    </row>
    <row r="40" spans="1:16" x14ac:dyDescent="0.4">
      <c r="A40" s="125" t="s">
        <v>1002</v>
      </c>
      <c r="B40" s="125" t="s">
        <v>932</v>
      </c>
      <c r="C40" s="82">
        <v>-9869.1</v>
      </c>
      <c r="G40" s="79">
        <f t="shared" si="0"/>
        <v>-9869.1</v>
      </c>
      <c r="H40" s="78" t="s">
        <v>266</v>
      </c>
      <c r="I40" s="79">
        <f t="shared" si="1"/>
        <v>-9869.1</v>
      </c>
      <c r="N40" s="100"/>
      <c r="O40" s="100"/>
      <c r="P40" s="82"/>
    </row>
    <row r="41" spans="1:16" x14ac:dyDescent="0.4">
      <c r="A41" s="68" t="s">
        <v>1003</v>
      </c>
      <c r="B41" s="68" t="s">
        <v>933</v>
      </c>
      <c r="C41" s="82">
        <v>20799.150000000001</v>
      </c>
      <c r="G41" s="79">
        <f t="shared" si="0"/>
        <v>20799.150000000001</v>
      </c>
      <c r="H41" s="78" t="s">
        <v>268</v>
      </c>
      <c r="I41" s="79">
        <f t="shared" si="1"/>
        <v>20799.150000000001</v>
      </c>
      <c r="K41" s="77">
        <f>SUM(C41:C48)</f>
        <v>259936.58</v>
      </c>
      <c r="N41" s="100"/>
      <c r="O41" s="100"/>
      <c r="P41" s="82"/>
    </row>
    <row r="42" spans="1:16" x14ac:dyDescent="0.4">
      <c r="A42" s="68" t="s">
        <v>1004</v>
      </c>
      <c r="B42" s="68" t="s">
        <v>934</v>
      </c>
      <c r="C42" s="82">
        <f>3737+968.48</f>
        <v>4705.4799999999996</v>
      </c>
      <c r="G42" s="79">
        <f t="shared" si="0"/>
        <v>4705.4799999999996</v>
      </c>
      <c r="H42" s="78" t="s">
        <v>271</v>
      </c>
      <c r="I42" s="79">
        <f t="shared" si="1"/>
        <v>4705.4799999999996</v>
      </c>
      <c r="K42" s="76">
        <v>258968.1</v>
      </c>
      <c r="N42" s="100"/>
      <c r="O42" s="100"/>
      <c r="P42" s="82"/>
    </row>
    <row r="43" spans="1:16" x14ac:dyDescent="0.4">
      <c r="A43" s="68" t="s">
        <v>1005</v>
      </c>
      <c r="B43" s="68" t="s">
        <v>935</v>
      </c>
      <c r="C43" s="82">
        <v>49513.04</v>
      </c>
      <c r="G43" s="79">
        <f t="shared" si="0"/>
        <v>49513.04</v>
      </c>
      <c r="H43" s="78" t="s">
        <v>271</v>
      </c>
      <c r="I43" s="79">
        <f t="shared" si="1"/>
        <v>49513.04</v>
      </c>
      <c r="K43" s="77">
        <f>K41-K42</f>
        <v>968.48</v>
      </c>
      <c r="N43" s="100"/>
      <c r="O43" s="100"/>
      <c r="P43" s="82"/>
    </row>
    <row r="44" spans="1:16" x14ac:dyDescent="0.4">
      <c r="A44" s="68" t="s">
        <v>1006</v>
      </c>
      <c r="B44" s="68" t="s">
        <v>936</v>
      </c>
      <c r="C44" s="82">
        <v>67820.13</v>
      </c>
      <c r="G44" s="79">
        <f t="shared" si="0"/>
        <v>67820.13</v>
      </c>
      <c r="H44" s="78" t="s">
        <v>271</v>
      </c>
      <c r="I44" s="79">
        <f t="shared" si="1"/>
        <v>67820.13</v>
      </c>
      <c r="K44" s="77">
        <f>SUM(C51:C53)</f>
        <v>-3233887.28</v>
      </c>
      <c r="N44" s="100"/>
      <c r="O44" s="100"/>
      <c r="P44" s="82"/>
    </row>
    <row r="45" spans="1:16" x14ac:dyDescent="0.4">
      <c r="A45" s="68" t="s">
        <v>1007</v>
      </c>
      <c r="B45" s="68" t="s">
        <v>937</v>
      </c>
      <c r="C45" s="82">
        <v>62701.68</v>
      </c>
      <c r="G45" s="79">
        <f t="shared" si="0"/>
        <v>62701.68</v>
      </c>
      <c r="H45" s="78" t="s">
        <v>271</v>
      </c>
      <c r="I45" s="79">
        <f t="shared" si="1"/>
        <v>62701.68</v>
      </c>
      <c r="K45" s="77">
        <f>SUM(K43:K44)</f>
        <v>-3232918.8</v>
      </c>
      <c r="N45" s="100"/>
      <c r="O45" s="100"/>
      <c r="P45" s="82"/>
    </row>
    <row r="46" spans="1:16" x14ac:dyDescent="0.4">
      <c r="A46" s="125" t="s">
        <v>1008</v>
      </c>
      <c r="B46" s="68" t="s">
        <v>938</v>
      </c>
      <c r="C46" s="82">
        <v>41444</v>
      </c>
      <c r="G46" s="79">
        <f t="shared" si="0"/>
        <v>41444</v>
      </c>
      <c r="H46" s="78" t="s">
        <v>271</v>
      </c>
      <c r="I46" s="79">
        <f t="shared" si="1"/>
        <v>41444</v>
      </c>
      <c r="N46" s="100"/>
      <c r="O46" s="100"/>
      <c r="P46" s="82"/>
    </row>
    <row r="47" spans="1:16" x14ac:dyDescent="0.4">
      <c r="A47" s="68" t="s">
        <v>1009</v>
      </c>
      <c r="B47" s="68" t="s">
        <v>939</v>
      </c>
      <c r="C47" s="82">
        <v>12595.61</v>
      </c>
      <c r="G47" s="79">
        <f t="shared" si="0"/>
        <v>12595.61</v>
      </c>
      <c r="H47" s="78" t="s">
        <v>271</v>
      </c>
      <c r="I47" s="79">
        <f t="shared" si="1"/>
        <v>12595.61</v>
      </c>
      <c r="N47" s="100"/>
      <c r="O47" s="100"/>
      <c r="P47" s="82"/>
    </row>
    <row r="48" spans="1:16" x14ac:dyDescent="0.4">
      <c r="A48" s="68" t="s">
        <v>1010</v>
      </c>
      <c r="B48" s="68" t="s">
        <v>940</v>
      </c>
      <c r="C48" s="82">
        <v>357.49</v>
      </c>
      <c r="G48" s="79">
        <f t="shared" si="0"/>
        <v>357.49</v>
      </c>
      <c r="H48" s="78" t="s">
        <v>264</v>
      </c>
      <c r="I48" s="79">
        <f t="shared" si="1"/>
        <v>357.49</v>
      </c>
      <c r="N48" s="100"/>
      <c r="O48" s="100"/>
      <c r="P48" s="82"/>
    </row>
    <row r="49" spans="1:16" x14ac:dyDescent="0.4">
      <c r="A49" s="68" t="s">
        <v>363</v>
      </c>
      <c r="B49" s="68" t="s">
        <v>64</v>
      </c>
      <c r="C49" s="77">
        <v>-876704.14</v>
      </c>
      <c r="G49" s="79">
        <f t="shared" si="0"/>
        <v>-876704.14</v>
      </c>
      <c r="H49" s="78" t="s">
        <v>859</v>
      </c>
      <c r="I49" s="79">
        <f t="shared" si="1"/>
        <v>-876704.14</v>
      </c>
      <c r="N49" s="100"/>
      <c r="O49" s="100"/>
      <c r="P49" s="82"/>
    </row>
    <row r="50" spans="1:16" x14ac:dyDescent="0.4">
      <c r="A50" s="68" t="s">
        <v>1011</v>
      </c>
      <c r="B50" s="68" t="s">
        <v>941</v>
      </c>
      <c r="C50" s="77">
        <v>-43037.98</v>
      </c>
      <c r="D50" s="76"/>
      <c r="G50" s="79">
        <f t="shared" si="0"/>
        <v>-43037.98</v>
      </c>
      <c r="H50" s="78" t="s">
        <v>859</v>
      </c>
      <c r="I50" s="79">
        <f t="shared" si="1"/>
        <v>-43037.98</v>
      </c>
      <c r="N50" s="100"/>
      <c r="O50" s="100"/>
      <c r="P50" s="82"/>
    </row>
    <row r="51" spans="1:16" x14ac:dyDescent="0.4">
      <c r="A51" s="68" t="s">
        <v>1012</v>
      </c>
      <c r="B51" s="68" t="s">
        <v>125</v>
      </c>
      <c r="C51" s="77">
        <v>-3149212.23</v>
      </c>
      <c r="G51" s="79">
        <f t="shared" si="0"/>
        <v>-3149212.23</v>
      </c>
      <c r="H51" s="78" t="s">
        <v>272</v>
      </c>
      <c r="I51" s="79">
        <f t="shared" si="1"/>
        <v>-3149212.23</v>
      </c>
      <c r="N51" s="100"/>
      <c r="O51" s="100"/>
      <c r="P51" s="82"/>
    </row>
    <row r="52" spans="1:16" x14ac:dyDescent="0.4">
      <c r="A52" s="125" t="s">
        <v>1013</v>
      </c>
      <c r="B52" s="125" t="s">
        <v>942</v>
      </c>
      <c r="C52" s="77">
        <v>22084.95</v>
      </c>
      <c r="G52" s="79">
        <f t="shared" si="0"/>
        <v>22084.95</v>
      </c>
      <c r="H52" s="78" t="s">
        <v>860</v>
      </c>
      <c r="I52" s="79">
        <f t="shared" si="1"/>
        <v>22084.95</v>
      </c>
      <c r="K52" s="77"/>
      <c r="N52" s="100"/>
      <c r="O52" s="100"/>
      <c r="P52" s="82"/>
    </row>
    <row r="53" spans="1:16" x14ac:dyDescent="0.4">
      <c r="A53" s="68" t="s">
        <v>1014</v>
      </c>
      <c r="B53" s="68" t="s">
        <v>943</v>
      </c>
      <c r="C53" s="77">
        <v>-106760</v>
      </c>
      <c r="G53" s="79">
        <f t="shared" si="0"/>
        <v>-106760</v>
      </c>
      <c r="H53" s="78" t="s">
        <v>860</v>
      </c>
      <c r="I53" s="79">
        <f t="shared" si="1"/>
        <v>-106760</v>
      </c>
      <c r="N53" s="100"/>
      <c r="O53" s="100"/>
      <c r="P53" s="82"/>
    </row>
    <row r="54" spans="1:16" x14ac:dyDescent="0.4">
      <c r="A54" s="68" t="s">
        <v>1015</v>
      </c>
      <c r="B54" s="68" t="s">
        <v>944</v>
      </c>
      <c r="C54" s="77">
        <v>-112444.25</v>
      </c>
      <c r="G54" s="79">
        <f t="shared" si="0"/>
        <v>-112444.25</v>
      </c>
      <c r="H54" s="78" t="s">
        <v>274</v>
      </c>
      <c r="I54" s="79">
        <f t="shared" si="1"/>
        <v>-112444.25</v>
      </c>
      <c r="N54" s="100"/>
      <c r="O54" s="100"/>
      <c r="P54" s="82"/>
    </row>
    <row r="55" spans="1:16" x14ac:dyDescent="0.4">
      <c r="A55" s="68" t="s">
        <v>1016</v>
      </c>
      <c r="B55" s="68" t="s">
        <v>945</v>
      </c>
      <c r="C55" s="77">
        <v>-112588.96</v>
      </c>
      <c r="G55" s="79">
        <f t="shared" si="0"/>
        <v>-112588.96</v>
      </c>
      <c r="H55" s="78" t="s">
        <v>274</v>
      </c>
      <c r="I55" s="79">
        <f t="shared" si="1"/>
        <v>-112588.96</v>
      </c>
      <c r="N55" s="100"/>
      <c r="O55" s="100"/>
      <c r="P55" s="82"/>
    </row>
    <row r="56" spans="1:16" x14ac:dyDescent="0.4">
      <c r="A56" s="68" t="s">
        <v>1017</v>
      </c>
      <c r="B56" s="68" t="s">
        <v>946</v>
      </c>
      <c r="C56" s="77">
        <v>-380899.73</v>
      </c>
      <c r="G56" s="79">
        <f t="shared" si="0"/>
        <v>-380899.73</v>
      </c>
      <c r="H56" s="78" t="s">
        <v>274</v>
      </c>
      <c r="I56" s="79">
        <f t="shared" si="1"/>
        <v>-380899.73</v>
      </c>
      <c r="N56" s="100"/>
      <c r="O56" s="100"/>
      <c r="P56" s="82"/>
    </row>
    <row r="57" spans="1:16" x14ac:dyDescent="0.4">
      <c r="A57" s="68" t="s">
        <v>1018</v>
      </c>
      <c r="B57" s="68" t="s">
        <v>947</v>
      </c>
      <c r="C57" s="77">
        <v>-39316.980000000003</v>
      </c>
      <c r="G57" s="79">
        <f t="shared" si="0"/>
        <v>-39316.980000000003</v>
      </c>
      <c r="H57" s="78" t="s">
        <v>274</v>
      </c>
      <c r="I57" s="79">
        <f t="shared" si="1"/>
        <v>-39316.980000000003</v>
      </c>
      <c r="K57" s="77"/>
      <c r="N57" s="100"/>
      <c r="O57" s="100"/>
      <c r="P57" s="82"/>
    </row>
    <row r="58" spans="1:16" x14ac:dyDescent="0.4">
      <c r="A58" s="68" t="s">
        <v>1019</v>
      </c>
      <c r="B58" s="68" t="s">
        <v>948</v>
      </c>
      <c r="C58" s="77">
        <v>-12071.9</v>
      </c>
      <c r="G58" s="79">
        <f t="shared" si="0"/>
        <v>-12071.9</v>
      </c>
      <c r="H58" s="78" t="s">
        <v>274</v>
      </c>
      <c r="I58" s="79">
        <f t="shared" si="1"/>
        <v>-12071.9</v>
      </c>
      <c r="K58" s="77"/>
      <c r="N58" s="100"/>
      <c r="O58" s="100"/>
      <c r="P58" s="82"/>
    </row>
    <row r="59" spans="1:16" x14ac:dyDescent="0.4">
      <c r="A59" s="68" t="s">
        <v>1020</v>
      </c>
      <c r="B59" s="68" t="s">
        <v>949</v>
      </c>
      <c r="C59" s="77">
        <v>-38227.75</v>
      </c>
      <c r="G59" s="79">
        <f t="shared" si="0"/>
        <v>-38227.75</v>
      </c>
      <c r="H59" s="78" t="s">
        <v>274</v>
      </c>
      <c r="I59" s="79">
        <f t="shared" si="1"/>
        <v>-38227.75</v>
      </c>
      <c r="K59" s="77"/>
      <c r="N59" s="100"/>
      <c r="O59" s="100"/>
      <c r="P59" s="82"/>
    </row>
    <row r="60" spans="1:16" x14ac:dyDescent="0.4">
      <c r="A60" s="68" t="s">
        <v>1021</v>
      </c>
      <c r="B60" s="68" t="s">
        <v>950</v>
      </c>
      <c r="C60" s="77">
        <v>-51704</v>
      </c>
      <c r="G60" s="79">
        <f t="shared" si="0"/>
        <v>-51704</v>
      </c>
      <c r="H60" s="78" t="s">
        <v>274</v>
      </c>
      <c r="I60" s="79">
        <f t="shared" si="1"/>
        <v>-51704</v>
      </c>
      <c r="K60" s="77"/>
      <c r="N60" s="100"/>
      <c r="O60" s="100"/>
      <c r="P60" s="82"/>
    </row>
    <row r="61" spans="1:16" x14ac:dyDescent="0.4">
      <c r="A61" s="68" t="s">
        <v>1023</v>
      </c>
      <c r="B61" s="68" t="s">
        <v>952</v>
      </c>
      <c r="C61" s="77">
        <v>-26341.9</v>
      </c>
      <c r="G61" s="79">
        <f t="shared" si="0"/>
        <v>-26341.9</v>
      </c>
      <c r="H61" s="78" t="s">
        <v>274</v>
      </c>
      <c r="I61" s="79">
        <f t="shared" si="1"/>
        <v>-26341.9</v>
      </c>
      <c r="N61" s="100"/>
      <c r="O61" s="100"/>
      <c r="P61" s="82"/>
    </row>
    <row r="62" spans="1:16" x14ac:dyDescent="0.4">
      <c r="A62" s="68" t="s">
        <v>1024</v>
      </c>
      <c r="B62" s="68" t="s">
        <v>953</v>
      </c>
      <c r="C62" s="77">
        <v>-101733.28</v>
      </c>
      <c r="G62" s="79">
        <f t="shared" si="0"/>
        <v>-101733.28</v>
      </c>
      <c r="H62" s="78" t="s">
        <v>274</v>
      </c>
      <c r="I62" s="79">
        <f t="shared" si="1"/>
        <v>-101733.28</v>
      </c>
      <c r="N62" s="100"/>
      <c r="O62" s="100"/>
      <c r="P62" s="82"/>
    </row>
    <row r="63" spans="1:16" x14ac:dyDescent="0.4">
      <c r="A63" s="68" t="s">
        <v>1026</v>
      </c>
      <c r="B63" s="68" t="s">
        <v>955</v>
      </c>
      <c r="C63" s="77">
        <v>-31011.88</v>
      </c>
      <c r="G63" s="79">
        <f t="shared" si="0"/>
        <v>-31011.88</v>
      </c>
      <c r="H63" s="78" t="s">
        <v>274</v>
      </c>
      <c r="I63" s="79">
        <f t="shared" si="1"/>
        <v>-31011.88</v>
      </c>
      <c r="N63" s="100"/>
      <c r="O63" s="100"/>
      <c r="P63" s="82"/>
    </row>
    <row r="64" spans="1:16" x14ac:dyDescent="0.4">
      <c r="A64" s="68" t="s">
        <v>1027</v>
      </c>
      <c r="B64" s="68" t="s">
        <v>956</v>
      </c>
      <c r="C64" s="77">
        <v>-491500</v>
      </c>
      <c r="G64" s="79">
        <f t="shared" si="0"/>
        <v>-491500</v>
      </c>
      <c r="H64" s="78" t="s">
        <v>274</v>
      </c>
      <c r="I64" s="79">
        <f t="shared" si="1"/>
        <v>-491500</v>
      </c>
      <c r="N64" s="100"/>
      <c r="O64" s="100"/>
      <c r="P64" s="82"/>
    </row>
    <row r="65" spans="1:16" x14ac:dyDescent="0.4">
      <c r="A65" s="68" t="s">
        <v>1028</v>
      </c>
      <c r="B65" s="68" t="s">
        <v>957</v>
      </c>
      <c r="C65" s="77">
        <v>-45712.38</v>
      </c>
      <c r="G65" s="79">
        <f t="shared" si="0"/>
        <v>-45712.38</v>
      </c>
      <c r="H65" s="78" t="s">
        <v>274</v>
      </c>
      <c r="I65" s="79">
        <f t="shared" si="1"/>
        <v>-45712.38</v>
      </c>
      <c r="K65" s="77"/>
      <c r="N65" s="100"/>
      <c r="O65" s="100"/>
      <c r="P65" s="82"/>
    </row>
    <row r="66" spans="1:16" x14ac:dyDescent="0.4">
      <c r="A66" s="68" t="s">
        <v>1029</v>
      </c>
      <c r="B66" s="68" t="s">
        <v>958</v>
      </c>
      <c r="C66" s="77">
        <v>-35201.99</v>
      </c>
      <c r="G66" s="79">
        <f t="shared" si="0"/>
        <v>-35201.99</v>
      </c>
      <c r="H66" s="78" t="s">
        <v>274</v>
      </c>
      <c r="I66" s="79">
        <f t="shared" si="1"/>
        <v>-35201.99</v>
      </c>
      <c r="N66" s="100"/>
      <c r="O66" s="100"/>
      <c r="P66" s="82"/>
    </row>
    <row r="67" spans="1:16" x14ac:dyDescent="0.4">
      <c r="A67" s="68" t="s">
        <v>1030</v>
      </c>
      <c r="B67" s="68" t="s">
        <v>959</v>
      </c>
      <c r="C67" s="77">
        <v>-200500</v>
      </c>
      <c r="G67" s="79">
        <f t="shared" si="0"/>
        <v>-200500</v>
      </c>
      <c r="H67" s="78" t="s">
        <v>274</v>
      </c>
      <c r="I67" s="79">
        <f t="shared" si="1"/>
        <v>-200500</v>
      </c>
      <c r="N67" s="100"/>
      <c r="O67" s="100"/>
      <c r="P67" s="82"/>
    </row>
    <row r="68" spans="1:16" x14ac:dyDescent="0.4">
      <c r="A68" s="68" t="s">
        <v>1031</v>
      </c>
      <c r="B68" s="68" t="s">
        <v>960</v>
      </c>
      <c r="C68" s="77">
        <v>-143831.59</v>
      </c>
      <c r="G68" s="79">
        <f t="shared" si="0"/>
        <v>-143831.59</v>
      </c>
      <c r="H68" s="78" t="s">
        <v>274</v>
      </c>
      <c r="I68" s="79">
        <f t="shared" si="1"/>
        <v>-143831.59</v>
      </c>
      <c r="N68" s="100"/>
      <c r="O68" s="100"/>
      <c r="P68" s="82"/>
    </row>
    <row r="69" spans="1:16" x14ac:dyDescent="0.4">
      <c r="A69" s="68" t="s">
        <v>1032</v>
      </c>
      <c r="B69" s="68" t="s">
        <v>961</v>
      </c>
      <c r="C69" s="77">
        <v>-53339.98</v>
      </c>
      <c r="G69" s="79">
        <f t="shared" si="0"/>
        <v>-53339.98</v>
      </c>
      <c r="H69" s="78" t="s">
        <v>274</v>
      </c>
      <c r="I69" s="79">
        <f t="shared" si="1"/>
        <v>-53339.98</v>
      </c>
      <c r="N69" s="100"/>
      <c r="O69" s="100"/>
      <c r="P69" s="82"/>
    </row>
    <row r="70" spans="1:16" x14ac:dyDescent="0.4">
      <c r="A70" s="68" t="s">
        <v>1033</v>
      </c>
      <c r="B70" s="68" t="s">
        <v>962</v>
      </c>
      <c r="C70" s="77">
        <v>-38508.39</v>
      </c>
      <c r="G70" s="79">
        <f t="shared" ref="G70:G84" si="2">SUM(C70:F70)</f>
        <v>-38508.39</v>
      </c>
      <c r="H70" s="78" t="s">
        <v>274</v>
      </c>
      <c r="I70" s="79">
        <f t="shared" si="1"/>
        <v>-38508.39</v>
      </c>
      <c r="N70" s="100"/>
      <c r="O70" s="100"/>
      <c r="P70" s="82"/>
    </row>
    <row r="71" spans="1:16" x14ac:dyDescent="0.4">
      <c r="A71" s="68" t="s">
        <v>1034</v>
      </c>
      <c r="B71" s="68" t="s">
        <v>963</v>
      </c>
      <c r="C71" s="77">
        <v>-42693.59</v>
      </c>
      <c r="G71" s="79">
        <f t="shared" si="2"/>
        <v>-42693.59</v>
      </c>
      <c r="H71" s="78" t="s">
        <v>274</v>
      </c>
      <c r="I71" s="79">
        <f t="shared" ref="I71:I84" si="3">G71</f>
        <v>-42693.59</v>
      </c>
      <c r="N71" s="100"/>
      <c r="O71" s="100"/>
      <c r="P71" s="82"/>
    </row>
    <row r="72" spans="1:16" x14ac:dyDescent="0.4">
      <c r="A72" s="68" t="s">
        <v>1035</v>
      </c>
      <c r="B72" s="68" t="s">
        <v>964</v>
      </c>
      <c r="C72" s="77">
        <v>-51066.1</v>
      </c>
      <c r="G72" s="79">
        <f t="shared" si="2"/>
        <v>-51066.1</v>
      </c>
      <c r="H72" s="78" t="s">
        <v>274</v>
      </c>
      <c r="I72" s="79">
        <f t="shared" si="3"/>
        <v>-51066.1</v>
      </c>
      <c r="N72" s="100"/>
      <c r="O72" s="100"/>
      <c r="P72" s="82"/>
    </row>
    <row r="73" spans="1:16" x14ac:dyDescent="0.4">
      <c r="A73" s="68" t="s">
        <v>1037</v>
      </c>
      <c r="B73" s="68" t="s">
        <v>966</v>
      </c>
      <c r="C73" s="77">
        <v>-103990.28</v>
      </c>
      <c r="G73" s="79">
        <f t="shared" si="2"/>
        <v>-103990.28</v>
      </c>
      <c r="H73" s="78" t="s">
        <v>274</v>
      </c>
      <c r="I73" s="79">
        <f t="shared" si="3"/>
        <v>-103990.28</v>
      </c>
      <c r="N73" s="100"/>
      <c r="O73" s="100"/>
      <c r="P73" s="82"/>
    </row>
    <row r="74" spans="1:16" x14ac:dyDescent="0.4">
      <c r="A74" s="68" t="s">
        <v>1249</v>
      </c>
      <c r="B74" s="68" t="s">
        <v>926</v>
      </c>
      <c r="C74" s="77">
        <v>-889466</v>
      </c>
      <c r="G74" s="79">
        <f t="shared" si="2"/>
        <v>-889466</v>
      </c>
      <c r="H74" s="78" t="s">
        <v>274</v>
      </c>
      <c r="I74" s="79">
        <f t="shared" si="3"/>
        <v>-889466</v>
      </c>
      <c r="N74" s="125"/>
      <c r="O74" s="125"/>
      <c r="P74" s="82"/>
    </row>
    <row r="75" spans="1:16" x14ac:dyDescent="0.4">
      <c r="A75" s="68" t="s">
        <v>1232</v>
      </c>
      <c r="B75" s="68" t="s">
        <v>1233</v>
      </c>
      <c r="C75" s="77">
        <v>-140508.88</v>
      </c>
      <c r="G75" s="79">
        <f t="shared" si="2"/>
        <v>-140508.88</v>
      </c>
      <c r="H75" s="78" t="s">
        <v>274</v>
      </c>
      <c r="I75" s="79">
        <f t="shared" si="3"/>
        <v>-140508.88</v>
      </c>
      <c r="K75" s="77"/>
      <c r="N75" s="100"/>
      <c r="O75" s="100"/>
      <c r="P75" s="82"/>
    </row>
    <row r="76" spans="1:16" x14ac:dyDescent="0.4">
      <c r="A76" s="68" t="s">
        <v>1236</v>
      </c>
      <c r="B76" s="68" t="s">
        <v>1237</v>
      </c>
      <c r="C76" s="77">
        <v>-86577.82</v>
      </c>
      <c r="G76" s="79">
        <f t="shared" si="2"/>
        <v>-86577.82</v>
      </c>
      <c r="H76" s="78" t="s">
        <v>274</v>
      </c>
      <c r="I76" s="79">
        <f t="shared" si="3"/>
        <v>-86577.82</v>
      </c>
      <c r="N76" s="100"/>
      <c r="O76" s="100"/>
      <c r="P76" s="82"/>
    </row>
    <row r="77" spans="1:16" x14ac:dyDescent="0.4">
      <c r="A77" s="68" t="s">
        <v>1242</v>
      </c>
      <c r="B77" s="68" t="s">
        <v>1243</v>
      </c>
      <c r="C77" s="77">
        <v>-72664.03</v>
      </c>
      <c r="G77" s="79">
        <f t="shared" si="2"/>
        <v>-72664.03</v>
      </c>
      <c r="H77" s="78" t="s">
        <v>274</v>
      </c>
      <c r="I77" s="79">
        <f t="shared" si="3"/>
        <v>-72664.03</v>
      </c>
      <c r="N77" s="100"/>
      <c r="O77" s="100"/>
      <c r="P77" s="82"/>
    </row>
    <row r="78" spans="1:16" x14ac:dyDescent="0.4">
      <c r="A78" s="68" t="s">
        <v>1246</v>
      </c>
      <c r="B78" s="68" t="s">
        <v>1247</v>
      </c>
      <c r="C78" s="77">
        <v>-62500</v>
      </c>
      <c r="G78" s="79">
        <f t="shared" si="2"/>
        <v>-62500</v>
      </c>
      <c r="H78" s="78" t="s">
        <v>274</v>
      </c>
      <c r="I78" s="79">
        <f t="shared" si="3"/>
        <v>-62500</v>
      </c>
      <c r="K78" s="77">
        <f>SUM(C54:C78)</f>
        <v>-3364401.66</v>
      </c>
      <c r="N78" s="125"/>
      <c r="O78" s="125"/>
      <c r="P78" s="82"/>
    </row>
    <row r="79" spans="1:16" x14ac:dyDescent="0.4">
      <c r="A79" s="68" t="s">
        <v>1244</v>
      </c>
      <c r="B79" s="68" t="s">
        <v>1245</v>
      </c>
      <c r="C79" s="77">
        <v>141827</v>
      </c>
      <c r="G79" s="79">
        <f t="shared" si="2"/>
        <v>141827</v>
      </c>
      <c r="H79" s="78" t="s">
        <v>278</v>
      </c>
      <c r="I79" s="79">
        <f t="shared" si="3"/>
        <v>141827</v>
      </c>
      <c r="K79" s="76">
        <v>3364401.66</v>
      </c>
      <c r="N79" s="100"/>
      <c r="O79" s="100"/>
      <c r="P79" s="82"/>
    </row>
    <row r="80" spans="1:16" x14ac:dyDescent="0.4">
      <c r="A80" s="68" t="s">
        <v>1039</v>
      </c>
      <c r="B80" s="68" t="s">
        <v>138</v>
      </c>
      <c r="C80" s="77">
        <v>20808269.530000001</v>
      </c>
      <c r="G80" s="79">
        <f t="shared" si="2"/>
        <v>20808269.530000001</v>
      </c>
      <c r="H80" s="78" t="s">
        <v>278</v>
      </c>
      <c r="I80" s="79">
        <f t="shared" si="3"/>
        <v>20808269.530000001</v>
      </c>
      <c r="K80" s="77">
        <f>SUM(K78:K79)</f>
        <v>0</v>
      </c>
      <c r="N80" s="100"/>
      <c r="O80" s="100"/>
      <c r="P80" s="82"/>
    </row>
    <row r="81" spans="1:20" x14ac:dyDescent="0.4">
      <c r="A81" s="68" t="s">
        <v>1040</v>
      </c>
      <c r="B81" s="68" t="s">
        <v>968</v>
      </c>
      <c r="C81" s="77">
        <v>-754016.84</v>
      </c>
      <c r="G81" s="79">
        <f t="shared" si="2"/>
        <v>-754016.84</v>
      </c>
      <c r="H81" s="78" t="s">
        <v>276</v>
      </c>
      <c r="I81" s="79">
        <f t="shared" si="3"/>
        <v>-754016.84</v>
      </c>
      <c r="N81" s="125"/>
      <c r="O81" s="125"/>
      <c r="P81" s="82"/>
    </row>
    <row r="82" spans="1:20" x14ac:dyDescent="0.4">
      <c r="A82" s="68" t="s">
        <v>1041</v>
      </c>
      <c r="B82" s="68" t="s">
        <v>969</v>
      </c>
      <c r="C82" s="77">
        <v>5437.5</v>
      </c>
      <c r="G82" s="79">
        <f t="shared" si="2"/>
        <v>5437.5</v>
      </c>
      <c r="H82" s="78" t="s">
        <v>275</v>
      </c>
      <c r="I82" s="79">
        <f t="shared" si="3"/>
        <v>5437.5</v>
      </c>
      <c r="N82" s="125"/>
      <c r="O82" s="125"/>
      <c r="P82" s="82"/>
    </row>
    <row r="83" spans="1:20" x14ac:dyDescent="0.4">
      <c r="A83" s="68" t="s">
        <v>1042</v>
      </c>
      <c r="B83" s="68" t="s">
        <v>970</v>
      </c>
      <c r="C83" s="77">
        <v>-20785924.02</v>
      </c>
      <c r="G83" s="79">
        <f t="shared" si="2"/>
        <v>-20785924.02</v>
      </c>
      <c r="H83" s="78" t="s">
        <v>277</v>
      </c>
      <c r="I83" s="79">
        <f t="shared" si="3"/>
        <v>-20785924.02</v>
      </c>
      <c r="N83" s="100"/>
      <c r="O83" s="100"/>
      <c r="P83" s="82"/>
      <c r="Q83" s="79"/>
    </row>
    <row r="84" spans="1:20" x14ac:dyDescent="0.4">
      <c r="A84" s="68" t="s">
        <v>304</v>
      </c>
      <c r="B84" s="68" t="s">
        <v>142</v>
      </c>
      <c r="C84" s="77">
        <v>-394441.97</v>
      </c>
      <c r="G84" s="79">
        <f t="shared" si="2"/>
        <v>-394441.97</v>
      </c>
      <c r="H84" s="78" t="s">
        <v>278</v>
      </c>
      <c r="I84" s="79">
        <f t="shared" si="3"/>
        <v>-394441.97</v>
      </c>
      <c r="N84" s="100"/>
      <c r="O84" s="100"/>
      <c r="P84" s="82"/>
      <c r="Q84" s="79"/>
    </row>
    <row r="85" spans="1:20" x14ac:dyDescent="0.4">
      <c r="A85" s="76" t="s">
        <v>483</v>
      </c>
      <c r="B85" s="8"/>
      <c r="C85" s="20">
        <f t="shared" ref="C85:I85" si="4">SUM(C6:C48)+SUM(C49:C84)</f>
        <v>0</v>
      </c>
      <c r="D85" s="20">
        <f t="shared" si="4"/>
        <v>0</v>
      </c>
      <c r="E85" s="20">
        <f t="shared" si="4"/>
        <v>0</v>
      </c>
      <c r="F85" s="20">
        <f t="shared" si="4"/>
        <v>0</v>
      </c>
      <c r="G85" s="20">
        <f t="shared" si="4"/>
        <v>0</v>
      </c>
      <c r="H85" s="20">
        <f t="shared" si="4"/>
        <v>0</v>
      </c>
      <c r="I85" s="20">
        <f t="shared" si="4"/>
        <v>0</v>
      </c>
      <c r="J85" s="20"/>
      <c r="K85" s="20"/>
      <c r="L85" s="20"/>
      <c r="M85" s="20"/>
      <c r="N85" s="99"/>
      <c r="O85" s="99"/>
      <c r="P85" s="74"/>
      <c r="Q85" s="79"/>
      <c r="R85" s="79"/>
    </row>
    <row r="86" spans="1:20" x14ac:dyDescent="0.4">
      <c r="B86" s="8"/>
      <c r="H86" s="78"/>
      <c r="N86" s="99"/>
      <c r="O86" s="99"/>
      <c r="P86" s="74"/>
      <c r="Q86" s="79"/>
      <c r="R86" s="79"/>
    </row>
    <row r="87" spans="1:20" x14ac:dyDescent="0.4">
      <c r="B87" s="8" t="s">
        <v>261</v>
      </c>
      <c r="H87" s="78"/>
      <c r="N87" s="99"/>
      <c r="O87" s="99"/>
      <c r="P87" s="74"/>
      <c r="Q87" s="79"/>
      <c r="R87" s="79"/>
    </row>
    <row r="88" spans="1:20" x14ac:dyDescent="0.4">
      <c r="B88" s="76" t="s">
        <v>285</v>
      </c>
      <c r="C88" s="78">
        <f t="shared" ref="C88:I88" si="5">SUM(C6:C48)</f>
        <v>8496879.8599999994</v>
      </c>
      <c r="D88" s="78">
        <f t="shared" si="5"/>
        <v>0</v>
      </c>
      <c r="E88" s="78">
        <f t="shared" si="5"/>
        <v>0</v>
      </c>
      <c r="F88" s="78">
        <f t="shared" si="5"/>
        <v>0</v>
      </c>
      <c r="G88" s="78">
        <f t="shared" si="5"/>
        <v>8496879.8599999994</v>
      </c>
      <c r="H88" s="78">
        <f t="shared" si="5"/>
        <v>0</v>
      </c>
      <c r="I88" s="78">
        <f t="shared" si="5"/>
        <v>8496879.8599999994</v>
      </c>
      <c r="J88" s="77"/>
      <c r="N88" s="99"/>
      <c r="O88" s="99"/>
      <c r="P88" s="74"/>
      <c r="Q88" s="79"/>
      <c r="R88" s="79"/>
    </row>
    <row r="89" spans="1:20" x14ac:dyDescent="0.4">
      <c r="B89" s="76" t="s">
        <v>286</v>
      </c>
      <c r="C89" s="78">
        <f>SUM(C49:C78)</f>
        <v>-7518031.0599999996</v>
      </c>
      <c r="D89" s="78">
        <f>SUM(D49:D76)</f>
        <v>0</v>
      </c>
      <c r="E89" s="78">
        <f>SUM(E49:E76)</f>
        <v>0</v>
      </c>
      <c r="F89" s="78">
        <f>SUM(F49:F76)</f>
        <v>0</v>
      </c>
      <c r="G89" s="78">
        <f>SUM(G49:G78)</f>
        <v>-7518031.0599999996</v>
      </c>
      <c r="H89" s="78">
        <f>SUM(H49:H76)</f>
        <v>0</v>
      </c>
      <c r="I89" s="78">
        <f>SUM(I49:I78)</f>
        <v>-7518031.0599999996</v>
      </c>
      <c r="J89" s="77"/>
      <c r="N89" s="99"/>
      <c r="O89" s="99"/>
      <c r="P89" s="74"/>
      <c r="Q89" s="79"/>
      <c r="R89" s="79"/>
    </row>
    <row r="90" spans="1:20" x14ac:dyDescent="0.4">
      <c r="B90" s="76" t="s">
        <v>607</v>
      </c>
      <c r="C90" s="78">
        <f>SUM(C79:C84)</f>
        <v>-978848.8</v>
      </c>
      <c r="D90" s="78">
        <f t="shared" ref="D90:H90" si="6">SUM(D80:D84)</f>
        <v>0</v>
      </c>
      <c r="E90" s="78">
        <f t="shared" si="6"/>
        <v>0</v>
      </c>
      <c r="F90" s="78">
        <f t="shared" si="6"/>
        <v>0</v>
      </c>
      <c r="G90" s="78">
        <f>SUM(G79:G84)</f>
        <v>-978848.8</v>
      </c>
      <c r="H90" s="78">
        <f t="shared" si="6"/>
        <v>0</v>
      </c>
      <c r="I90" s="78">
        <f>SUM(I79:I84)</f>
        <v>-978848.8</v>
      </c>
      <c r="J90" s="77"/>
      <c r="N90" s="99"/>
      <c r="O90" s="99"/>
      <c r="P90" s="74"/>
      <c r="Q90" s="79"/>
      <c r="R90" s="79"/>
    </row>
    <row r="91" spans="1:20" x14ac:dyDescent="0.4">
      <c r="B91" s="76" t="s">
        <v>483</v>
      </c>
      <c r="C91" s="78">
        <f>SUM(C88:C90)</f>
        <v>0</v>
      </c>
      <c r="D91" s="78">
        <f t="shared" ref="D91:I91" si="7">SUM(D88:D90)</f>
        <v>0</v>
      </c>
      <c r="E91" s="78">
        <f t="shared" si="7"/>
        <v>0</v>
      </c>
      <c r="F91" s="78">
        <f t="shared" si="7"/>
        <v>0</v>
      </c>
      <c r="G91" s="78">
        <f>SUM(G88:G90)</f>
        <v>0</v>
      </c>
      <c r="H91" s="78">
        <f t="shared" si="7"/>
        <v>0</v>
      </c>
      <c r="I91" s="78">
        <f t="shared" si="7"/>
        <v>0</v>
      </c>
      <c r="J91" s="77"/>
      <c r="N91" s="99"/>
      <c r="O91" s="99"/>
      <c r="P91" s="74"/>
      <c r="Q91" s="79"/>
      <c r="R91" s="79"/>
    </row>
    <row r="92" spans="1:20" x14ac:dyDescent="0.4">
      <c r="E92" s="77">
        <f>C85+F85</f>
        <v>0</v>
      </c>
      <c r="F92" s="76"/>
      <c r="G92" s="78"/>
      <c r="H92" s="78"/>
      <c r="N92" s="99"/>
      <c r="O92" s="99"/>
      <c r="P92" s="74"/>
      <c r="Q92" s="79"/>
      <c r="R92" s="79"/>
    </row>
    <row r="93" spans="1:20" x14ac:dyDescent="0.4">
      <c r="D93" s="76"/>
      <c r="H93" s="78"/>
      <c r="N93" s="99"/>
      <c r="O93" s="99"/>
      <c r="P93" s="74"/>
      <c r="Q93" s="79"/>
      <c r="R93" s="79"/>
    </row>
    <row r="94" spans="1:20" x14ac:dyDescent="0.4">
      <c r="D94" s="76"/>
      <c r="H94" s="78"/>
      <c r="N94" s="99"/>
      <c r="O94" s="99"/>
      <c r="P94" s="74"/>
      <c r="Q94" s="79"/>
      <c r="R94" s="79"/>
    </row>
    <row r="95" spans="1:20" x14ac:dyDescent="0.4">
      <c r="D95" s="76"/>
      <c r="H95" s="78"/>
      <c r="N95" s="99"/>
      <c r="O95" s="99"/>
      <c r="P95" s="74"/>
      <c r="Q95" s="79"/>
      <c r="R95" s="79"/>
      <c r="T95" s="79"/>
    </row>
    <row r="96" spans="1:20" x14ac:dyDescent="0.4">
      <c r="D96" s="76"/>
      <c r="H96" s="78"/>
      <c r="N96" s="99"/>
      <c r="O96" s="99"/>
      <c r="P96" s="74"/>
      <c r="Q96" s="79"/>
      <c r="R96" s="79"/>
      <c r="S96" s="79"/>
      <c r="T96" s="79"/>
    </row>
    <row r="97" spans="1:23" s="78" customFormat="1" x14ac:dyDescent="0.4">
      <c r="A97" s="76"/>
      <c r="B97" s="76"/>
      <c r="G97" s="79"/>
      <c r="H97" s="76"/>
      <c r="I97" s="79"/>
      <c r="J97" s="76"/>
      <c r="K97" s="76"/>
      <c r="L97" s="76"/>
      <c r="M97" s="76"/>
      <c r="N97" s="76"/>
      <c r="O97" s="76"/>
      <c r="P97" s="77"/>
      <c r="Q97" s="76"/>
      <c r="R97" s="76"/>
      <c r="S97" s="76"/>
      <c r="T97" s="76"/>
      <c r="U97" s="76"/>
      <c r="V97" s="76"/>
      <c r="W97" s="76"/>
    </row>
  </sheetData>
  <pageMargins left="0.7" right="0.7" top="0.75" bottom="0.75" header="0.3" footer="0.3"/>
  <pageSetup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6"/>
  <dimension ref="A1:AD284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3.52734375" style="21" bestFit="1" customWidth="1"/>
    <col min="2" max="2" width="29.64453125" style="9" customWidth="1"/>
    <col min="3" max="3" width="13.64453125" style="78" hidden="1" customWidth="1" outlineLevel="1"/>
    <col min="4" max="5" width="11" style="78" hidden="1" customWidth="1" outlineLevel="1"/>
    <col min="6" max="6" width="12.3515625" style="78" hidden="1" customWidth="1" outlineLevel="1"/>
    <col min="7" max="7" width="15.64453125" style="79" hidden="1" customWidth="1" outlineLevel="1"/>
    <col min="8" max="8" width="15.46875" style="76" hidden="1" customWidth="1" outlineLevel="1"/>
    <col min="9" max="9" width="22" style="79" bestFit="1" customWidth="1" collapsed="1"/>
    <col min="10" max="10" width="13.46875" style="76" customWidth="1"/>
    <col min="11" max="11" width="11.64453125" style="76" customWidth="1"/>
    <col min="12" max="12" width="13.17578125" style="76" customWidth="1"/>
    <col min="13" max="13" width="13.17578125" style="76" bestFit="1" customWidth="1"/>
    <col min="14" max="21" width="9.05859375" style="21"/>
    <col min="22" max="22" width="12.87890625" style="21" customWidth="1"/>
    <col min="23" max="23" width="14" style="21" customWidth="1"/>
    <col min="24" max="16384" width="9.05859375" style="21"/>
  </cols>
  <sheetData>
    <row r="1" spans="1:13" x14ac:dyDescent="0.4">
      <c r="A1" s="22" t="s">
        <v>901</v>
      </c>
      <c r="B1" s="75"/>
    </row>
    <row r="2" spans="1:13" x14ac:dyDescent="0.4">
      <c r="A2" s="22" t="s">
        <v>603</v>
      </c>
      <c r="B2" s="75"/>
    </row>
    <row r="3" spans="1:13" x14ac:dyDescent="0.4">
      <c r="A3" s="3">
        <v>43251</v>
      </c>
      <c r="B3" s="3"/>
      <c r="F3" s="78" t="s">
        <v>261</v>
      </c>
      <c r="G3" s="79" t="s">
        <v>261</v>
      </c>
      <c r="H3" s="4"/>
    </row>
    <row r="5" spans="1:13" s="10" customFormat="1" x14ac:dyDescent="0.4">
      <c r="A5" s="21" t="s">
        <v>484</v>
      </c>
      <c r="B5" s="9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J5" s="78"/>
      <c r="K5" s="78"/>
      <c r="L5" s="416" t="s">
        <v>282</v>
      </c>
      <c r="M5" s="416" t="s">
        <v>284</v>
      </c>
    </row>
    <row r="6" spans="1:13" s="10" customFormat="1" x14ac:dyDescent="0.4">
      <c r="A6" s="126" t="s">
        <v>1047</v>
      </c>
      <c r="B6" s="12" t="s">
        <v>1048</v>
      </c>
      <c r="C6" s="78">
        <v>-10830</v>
      </c>
      <c r="D6" s="78"/>
      <c r="E6" s="78"/>
      <c r="F6" s="78"/>
      <c r="G6" s="79">
        <f t="shared" ref="G6:G70" si="0">SUM(C6:F6)</f>
        <v>-10830</v>
      </c>
      <c r="H6" s="78" t="s">
        <v>287</v>
      </c>
      <c r="I6" s="79">
        <f>G6*1</f>
        <v>-10830</v>
      </c>
      <c r="J6" s="78"/>
      <c r="K6" s="78"/>
      <c r="L6" s="417" t="s">
        <v>287</v>
      </c>
      <c r="M6" s="418">
        <v>1968975.95</v>
      </c>
    </row>
    <row r="7" spans="1:13" s="10" customFormat="1" x14ac:dyDescent="0.4">
      <c r="A7" s="126" t="s">
        <v>1049</v>
      </c>
      <c r="B7" s="12" t="s">
        <v>1050</v>
      </c>
      <c r="C7" s="78">
        <v>12585.02</v>
      </c>
      <c r="D7" s="78"/>
      <c r="E7" s="78"/>
      <c r="F7" s="78"/>
      <c r="G7" s="79">
        <f t="shared" si="0"/>
        <v>12585.02</v>
      </c>
      <c r="H7" s="78" t="s">
        <v>287</v>
      </c>
      <c r="I7" s="79">
        <f t="shared" ref="I7:I71" si="1">G7*1</f>
        <v>12585.02</v>
      </c>
      <c r="J7" s="78"/>
      <c r="K7" s="78"/>
      <c r="L7" s="417" t="s">
        <v>288</v>
      </c>
      <c r="M7" s="418">
        <v>-1374927.26</v>
      </c>
    </row>
    <row r="8" spans="1:13" s="10" customFormat="1" x14ac:dyDescent="0.4">
      <c r="A8" s="126" t="s">
        <v>1051</v>
      </c>
      <c r="B8" s="12" t="s">
        <v>1052</v>
      </c>
      <c r="C8" s="78">
        <v>0</v>
      </c>
      <c r="D8" s="78"/>
      <c r="E8" s="78"/>
      <c r="F8" s="78"/>
      <c r="G8" s="79">
        <f t="shared" si="0"/>
        <v>0</v>
      </c>
      <c r="H8" s="78" t="s">
        <v>287</v>
      </c>
      <c r="I8" s="79">
        <f t="shared" si="1"/>
        <v>0</v>
      </c>
      <c r="J8" s="78"/>
      <c r="K8" s="78"/>
      <c r="L8" s="417" t="s">
        <v>292</v>
      </c>
      <c r="M8" s="418">
        <v>-252648.51</v>
      </c>
    </row>
    <row r="9" spans="1:13" s="10" customFormat="1" x14ac:dyDescent="0.4">
      <c r="A9" s="126" t="s">
        <v>1053</v>
      </c>
      <c r="B9" s="12" t="s">
        <v>1054</v>
      </c>
      <c r="C9" s="78">
        <v>4385</v>
      </c>
      <c r="D9" s="78"/>
      <c r="E9" s="78"/>
      <c r="F9" s="78"/>
      <c r="G9" s="79">
        <f t="shared" si="0"/>
        <v>4385</v>
      </c>
      <c r="H9" s="78" t="s">
        <v>287</v>
      </c>
      <c r="I9" s="79">
        <f t="shared" si="1"/>
        <v>4385</v>
      </c>
      <c r="J9" s="78"/>
      <c r="K9" s="78"/>
      <c r="L9" s="417" t="s">
        <v>291</v>
      </c>
      <c r="M9" s="418">
        <v>-7351.6</v>
      </c>
    </row>
    <row r="10" spans="1:13" s="10" customFormat="1" x14ac:dyDescent="0.4">
      <c r="A10" s="68" t="s">
        <v>1055</v>
      </c>
      <c r="B10" s="12" t="s">
        <v>1056</v>
      </c>
      <c r="C10" s="78">
        <v>0</v>
      </c>
      <c r="D10" s="78"/>
      <c r="E10" s="78"/>
      <c r="F10" s="78">
        <v>0</v>
      </c>
      <c r="G10" s="79">
        <f t="shared" si="0"/>
        <v>0</v>
      </c>
      <c r="H10" s="78" t="s">
        <v>287</v>
      </c>
      <c r="I10" s="79">
        <f t="shared" si="1"/>
        <v>0</v>
      </c>
      <c r="J10" s="78"/>
      <c r="K10" s="78"/>
      <c r="L10" s="417" t="s">
        <v>289</v>
      </c>
      <c r="M10" s="418">
        <v>-77388.39</v>
      </c>
    </row>
    <row r="11" spans="1:13" s="10" customFormat="1" x14ac:dyDescent="0.4">
      <c r="A11" s="125" t="s">
        <v>1057</v>
      </c>
      <c r="B11" s="125" t="s">
        <v>1058</v>
      </c>
      <c r="C11" s="78">
        <v>1839068</v>
      </c>
      <c r="D11" s="78"/>
      <c r="E11" s="78"/>
      <c r="F11" s="78"/>
      <c r="G11" s="79">
        <f t="shared" si="0"/>
        <v>1839068</v>
      </c>
      <c r="H11" s="78" t="s">
        <v>287</v>
      </c>
      <c r="I11" s="79">
        <f t="shared" si="1"/>
        <v>1839068</v>
      </c>
      <c r="J11" s="78"/>
      <c r="K11" s="78"/>
      <c r="L11" s="417" t="s">
        <v>290</v>
      </c>
      <c r="M11" s="418">
        <v>-53884.94</v>
      </c>
    </row>
    <row r="12" spans="1:13" s="78" customFormat="1" x14ac:dyDescent="0.4">
      <c r="A12" s="126" t="s">
        <v>1059</v>
      </c>
      <c r="B12" s="12" t="s">
        <v>1060</v>
      </c>
      <c r="C12" s="78">
        <v>24500</v>
      </c>
      <c r="G12" s="79">
        <f t="shared" si="0"/>
        <v>24500</v>
      </c>
      <c r="H12" s="78" t="s">
        <v>287</v>
      </c>
      <c r="I12" s="79">
        <f t="shared" si="1"/>
        <v>24500</v>
      </c>
      <c r="L12" s="417" t="s">
        <v>299</v>
      </c>
      <c r="M12" s="418">
        <v>-8101.8</v>
      </c>
    </row>
    <row r="13" spans="1:13" s="78" customFormat="1" x14ac:dyDescent="0.4">
      <c r="A13" s="126" t="s">
        <v>1234</v>
      </c>
      <c r="B13" s="12" t="s">
        <v>1235</v>
      </c>
      <c r="C13" s="78">
        <v>5442.1</v>
      </c>
      <c r="G13" s="79">
        <f t="shared" si="0"/>
        <v>5442.1</v>
      </c>
      <c r="H13" s="78" t="s">
        <v>287</v>
      </c>
      <c r="I13" s="79">
        <f t="shared" si="1"/>
        <v>5442.1</v>
      </c>
      <c r="L13" s="417" t="s">
        <v>862</v>
      </c>
      <c r="M13" s="418">
        <v>0</v>
      </c>
    </row>
    <row r="14" spans="1:13" s="78" customFormat="1" x14ac:dyDescent="0.4">
      <c r="A14" s="126" t="s">
        <v>1063</v>
      </c>
      <c r="B14" s="12" t="s">
        <v>1064</v>
      </c>
      <c r="C14" s="78">
        <v>86472.07</v>
      </c>
      <c r="G14" s="79">
        <f t="shared" si="0"/>
        <v>86472.07</v>
      </c>
      <c r="H14" s="78" t="s">
        <v>287</v>
      </c>
      <c r="I14" s="79">
        <f t="shared" si="1"/>
        <v>86472.07</v>
      </c>
      <c r="L14" s="417" t="s">
        <v>283</v>
      </c>
      <c r="M14" s="418">
        <v>194673.45</v>
      </c>
    </row>
    <row r="15" spans="1:13" s="10" customFormat="1" x14ac:dyDescent="0.4">
      <c r="A15" s="126" t="s">
        <v>1065</v>
      </c>
      <c r="B15" s="12" t="s">
        <v>1066</v>
      </c>
      <c r="C15" s="78">
        <v>0</v>
      </c>
      <c r="D15" s="78"/>
      <c r="E15" s="78"/>
      <c r="F15" s="78"/>
      <c r="G15" s="79">
        <f t="shared" si="0"/>
        <v>0</v>
      </c>
      <c r="H15" s="78" t="s">
        <v>287</v>
      </c>
      <c r="I15" s="79">
        <f t="shared" si="1"/>
        <v>0</v>
      </c>
      <c r="J15" s="78"/>
      <c r="K15" s="78"/>
      <c r="L15" s="76"/>
      <c r="M15" s="76"/>
    </row>
    <row r="16" spans="1:13" s="10" customFormat="1" x14ac:dyDescent="0.4">
      <c r="A16" s="126" t="s">
        <v>1067</v>
      </c>
      <c r="B16" s="12" t="s">
        <v>1068</v>
      </c>
      <c r="C16" s="78">
        <v>6703.76</v>
      </c>
      <c r="D16" s="78"/>
      <c r="E16" s="78"/>
      <c r="F16" s="78"/>
      <c r="G16" s="79">
        <f t="shared" si="0"/>
        <v>6703.76</v>
      </c>
      <c r="H16" s="78" t="s">
        <v>287</v>
      </c>
      <c r="I16" s="79">
        <f t="shared" si="1"/>
        <v>6703.76</v>
      </c>
      <c r="J16" s="78"/>
      <c r="K16" s="78"/>
      <c r="L16" s="76"/>
      <c r="M16" s="76"/>
    </row>
    <row r="17" spans="1:13" s="10" customFormat="1" x14ac:dyDescent="0.4">
      <c r="A17" s="126" t="s">
        <v>1069</v>
      </c>
      <c r="B17" s="12" t="s">
        <v>1070</v>
      </c>
      <c r="C17" s="78">
        <v>0</v>
      </c>
      <c r="D17" s="78"/>
      <c r="E17" s="78"/>
      <c r="F17" s="78"/>
      <c r="G17" s="79">
        <f t="shared" si="0"/>
        <v>0</v>
      </c>
      <c r="H17" s="78" t="s">
        <v>287</v>
      </c>
      <c r="I17" s="79">
        <f t="shared" si="1"/>
        <v>0</v>
      </c>
      <c r="J17" s="78"/>
      <c r="K17" s="78"/>
      <c r="L17" s="76"/>
      <c r="M17" s="76"/>
    </row>
    <row r="18" spans="1:13" s="10" customFormat="1" x14ac:dyDescent="0.4">
      <c r="A18" s="126" t="s">
        <v>1071</v>
      </c>
      <c r="B18" s="12" t="s">
        <v>1072</v>
      </c>
      <c r="C18" s="78">
        <v>650</v>
      </c>
      <c r="D18" s="78"/>
      <c r="E18" s="78"/>
      <c r="F18" s="78"/>
      <c r="G18" s="79">
        <f t="shared" si="0"/>
        <v>650</v>
      </c>
      <c r="H18" s="78" t="s">
        <v>287</v>
      </c>
      <c r="I18" s="79">
        <f t="shared" si="1"/>
        <v>650</v>
      </c>
      <c r="J18" s="78"/>
      <c r="K18" s="78"/>
      <c r="L18" s="76"/>
      <c r="M18" s="76"/>
    </row>
    <row r="19" spans="1:13" s="10" customFormat="1" x14ac:dyDescent="0.4">
      <c r="A19" s="27" t="s">
        <v>1073</v>
      </c>
      <c r="B19" s="125" t="s">
        <v>1074</v>
      </c>
      <c r="C19" s="78">
        <v>0</v>
      </c>
      <c r="D19" s="78"/>
      <c r="E19" s="78"/>
      <c r="F19" s="78"/>
      <c r="G19" s="79">
        <f t="shared" si="0"/>
        <v>0</v>
      </c>
      <c r="H19" s="78" t="s">
        <v>287</v>
      </c>
      <c r="I19" s="79">
        <f t="shared" si="1"/>
        <v>0</v>
      </c>
      <c r="J19" s="78"/>
      <c r="K19" s="78"/>
      <c r="L19" s="76"/>
      <c r="M19" s="77"/>
    </row>
    <row r="20" spans="1:13" s="10" customFormat="1" x14ac:dyDescent="0.4">
      <c r="A20" s="126" t="s">
        <v>1075</v>
      </c>
      <c r="B20" s="12" t="s">
        <v>1076</v>
      </c>
      <c r="C20" s="78">
        <v>-1170725.6000000001</v>
      </c>
      <c r="D20" s="78"/>
      <c r="E20" s="78"/>
      <c r="F20" s="78"/>
      <c r="G20" s="79">
        <f t="shared" si="0"/>
        <v>-1170725.6000000001</v>
      </c>
      <c r="H20" s="78" t="s">
        <v>288</v>
      </c>
      <c r="I20" s="79">
        <f t="shared" si="1"/>
        <v>-1170725.6000000001</v>
      </c>
      <c r="J20" s="78"/>
      <c r="K20" s="78"/>
      <c r="L20" s="76"/>
      <c r="M20" s="76"/>
    </row>
    <row r="21" spans="1:13" s="10" customFormat="1" x14ac:dyDescent="0.4">
      <c r="A21" s="126" t="s">
        <v>509</v>
      </c>
      <c r="B21" s="12" t="s">
        <v>1077</v>
      </c>
      <c r="C21" s="78">
        <v>0</v>
      </c>
      <c r="D21" s="78"/>
      <c r="E21" s="78"/>
      <c r="F21" s="78"/>
      <c r="G21" s="79">
        <f t="shared" si="0"/>
        <v>0</v>
      </c>
      <c r="H21" s="78" t="s">
        <v>288</v>
      </c>
      <c r="I21" s="79">
        <f t="shared" si="1"/>
        <v>0</v>
      </c>
      <c r="J21" s="78"/>
      <c r="K21" s="78"/>
      <c r="L21" s="76"/>
      <c r="M21" s="77"/>
    </row>
    <row r="22" spans="1:13" s="10" customFormat="1" x14ac:dyDescent="0.4">
      <c r="A22" s="126" t="s">
        <v>1078</v>
      </c>
      <c r="B22" s="27" t="s">
        <v>1079</v>
      </c>
      <c r="C22" s="78">
        <v>-21500</v>
      </c>
      <c r="D22" s="78"/>
      <c r="E22" s="78"/>
      <c r="F22" s="78"/>
      <c r="G22" s="79">
        <f t="shared" si="0"/>
        <v>-21500</v>
      </c>
      <c r="H22" s="78" t="s">
        <v>288</v>
      </c>
      <c r="I22" s="79">
        <f t="shared" si="1"/>
        <v>-21500</v>
      </c>
      <c r="J22" s="78"/>
      <c r="K22" s="78"/>
      <c r="L22" s="76"/>
      <c r="M22" s="77"/>
    </row>
    <row r="23" spans="1:13" s="10" customFormat="1" x14ac:dyDescent="0.4">
      <c r="A23" s="126" t="s">
        <v>1080</v>
      </c>
      <c r="B23" s="12" t="s">
        <v>1081</v>
      </c>
      <c r="C23" s="78">
        <v>-92474.89</v>
      </c>
      <c r="D23" s="78"/>
      <c r="E23" s="78"/>
      <c r="F23" s="78"/>
      <c r="G23" s="79">
        <f t="shared" si="0"/>
        <v>-92474.89</v>
      </c>
      <c r="H23" s="78" t="s">
        <v>288</v>
      </c>
      <c r="I23" s="79">
        <f t="shared" si="1"/>
        <v>-92474.89</v>
      </c>
      <c r="J23" s="78"/>
      <c r="K23" s="78"/>
      <c r="L23" s="78"/>
      <c r="M23" s="78"/>
    </row>
    <row r="24" spans="1:13" s="10" customFormat="1" x14ac:dyDescent="0.4">
      <c r="A24" s="126" t="s">
        <v>1082</v>
      </c>
      <c r="B24" s="12" t="s">
        <v>1083</v>
      </c>
      <c r="C24" s="78">
        <v>0</v>
      </c>
      <c r="D24" s="78"/>
      <c r="E24" s="78"/>
      <c r="F24" s="78"/>
      <c r="G24" s="79">
        <f t="shared" si="0"/>
        <v>0</v>
      </c>
      <c r="H24" s="78" t="s">
        <v>288</v>
      </c>
      <c r="I24" s="79">
        <f t="shared" si="1"/>
        <v>0</v>
      </c>
      <c r="J24" s="78"/>
      <c r="K24" s="78"/>
      <c r="L24" s="78"/>
      <c r="M24" s="78"/>
    </row>
    <row r="25" spans="1:13" s="10" customFormat="1" x14ac:dyDescent="0.4">
      <c r="A25" s="125" t="s">
        <v>1084</v>
      </c>
      <c r="B25" s="125" t="s">
        <v>1085</v>
      </c>
      <c r="C25" s="78">
        <v>-24.2</v>
      </c>
      <c r="D25" s="78"/>
      <c r="E25" s="78"/>
      <c r="F25" s="78"/>
      <c r="G25" s="79">
        <f t="shared" si="0"/>
        <v>-24.2</v>
      </c>
      <c r="H25" s="78" t="s">
        <v>288</v>
      </c>
      <c r="I25" s="79">
        <f t="shared" si="1"/>
        <v>-24.2</v>
      </c>
      <c r="J25" s="78"/>
      <c r="K25" s="78"/>
      <c r="L25" s="78"/>
      <c r="M25" s="78"/>
    </row>
    <row r="26" spans="1:13" s="10" customFormat="1" x14ac:dyDescent="0.4">
      <c r="A26" s="126" t="s">
        <v>1086</v>
      </c>
      <c r="B26" s="12" t="s">
        <v>1087</v>
      </c>
      <c r="C26" s="78">
        <v>-482.16</v>
      </c>
      <c r="D26" s="78"/>
      <c r="E26" s="78"/>
      <c r="F26" s="78"/>
      <c r="G26" s="79">
        <f t="shared" si="0"/>
        <v>-482.16</v>
      </c>
      <c r="H26" s="78" t="s">
        <v>288</v>
      </c>
      <c r="I26" s="79">
        <f t="shared" si="1"/>
        <v>-482.16</v>
      </c>
      <c r="J26" s="78"/>
      <c r="L26" s="78"/>
      <c r="M26" s="78"/>
    </row>
    <row r="27" spans="1:13" s="10" customFormat="1" x14ac:dyDescent="0.4">
      <c r="A27" s="126" t="s">
        <v>1088</v>
      </c>
      <c r="B27" s="12" t="s">
        <v>1089</v>
      </c>
      <c r="C27" s="78">
        <v>-6471.12</v>
      </c>
      <c r="D27" s="78"/>
      <c r="E27" s="78"/>
      <c r="F27" s="78"/>
      <c r="G27" s="79">
        <f t="shared" si="0"/>
        <v>-6471.12</v>
      </c>
      <c r="H27" s="78" t="s">
        <v>288</v>
      </c>
      <c r="I27" s="79">
        <f t="shared" si="1"/>
        <v>-6471.12</v>
      </c>
      <c r="J27" s="78"/>
      <c r="K27" s="78"/>
      <c r="L27" s="78"/>
      <c r="M27" s="78"/>
    </row>
    <row r="28" spans="1:13" s="10" customFormat="1" x14ac:dyDescent="0.4">
      <c r="A28" s="126" t="s">
        <v>1090</v>
      </c>
      <c r="B28" s="12" t="s">
        <v>1091</v>
      </c>
      <c r="C28" s="78">
        <v>-1066.04</v>
      </c>
      <c r="D28" s="78"/>
      <c r="E28" s="78"/>
      <c r="F28" s="78"/>
      <c r="G28" s="79">
        <f t="shared" si="0"/>
        <v>-1066.04</v>
      </c>
      <c r="H28" s="79" t="s">
        <v>288</v>
      </c>
      <c r="I28" s="79">
        <f t="shared" si="1"/>
        <v>-1066.04</v>
      </c>
      <c r="J28" s="78"/>
      <c r="K28" s="78"/>
      <c r="L28" s="78"/>
      <c r="M28" s="78"/>
    </row>
    <row r="29" spans="1:13" s="10" customFormat="1" x14ac:dyDescent="0.4">
      <c r="A29" s="126" t="s">
        <v>1092</v>
      </c>
      <c r="B29" s="12" t="s">
        <v>1093</v>
      </c>
      <c r="C29" s="78">
        <v>0</v>
      </c>
      <c r="D29" s="78"/>
      <c r="E29" s="78"/>
      <c r="F29" s="78"/>
      <c r="G29" s="79">
        <f t="shared" si="0"/>
        <v>0</v>
      </c>
      <c r="H29" s="78" t="s">
        <v>288</v>
      </c>
      <c r="I29" s="79">
        <f t="shared" si="1"/>
        <v>0</v>
      </c>
      <c r="J29" s="78"/>
      <c r="K29" s="78"/>
      <c r="L29" s="78"/>
      <c r="M29" s="78"/>
    </row>
    <row r="30" spans="1:13" s="10" customFormat="1" x14ac:dyDescent="0.4">
      <c r="A30" s="126" t="s">
        <v>1094</v>
      </c>
      <c r="B30" s="12" t="s">
        <v>1095</v>
      </c>
      <c r="C30" s="78">
        <v>-43500</v>
      </c>
      <c r="D30" s="78"/>
      <c r="E30" s="78"/>
      <c r="F30" s="78"/>
      <c r="G30" s="79">
        <f t="shared" si="0"/>
        <v>-43500</v>
      </c>
      <c r="H30" s="78" t="s">
        <v>288</v>
      </c>
      <c r="I30" s="79">
        <f t="shared" si="1"/>
        <v>-43500</v>
      </c>
      <c r="J30" s="78"/>
      <c r="K30" s="78"/>
      <c r="L30" s="78"/>
      <c r="M30" s="78"/>
    </row>
    <row r="31" spans="1:13" s="10" customFormat="1" x14ac:dyDescent="0.4">
      <c r="A31" s="126" t="s">
        <v>1096</v>
      </c>
      <c r="B31" s="12" t="s">
        <v>1097</v>
      </c>
      <c r="C31" s="78">
        <v>-38683.25</v>
      </c>
      <c r="D31" s="78"/>
      <c r="E31" s="78"/>
      <c r="F31" s="78"/>
      <c r="G31" s="79">
        <f t="shared" si="0"/>
        <v>-38683.25</v>
      </c>
      <c r="H31" s="78" t="s">
        <v>288</v>
      </c>
      <c r="I31" s="79">
        <f t="shared" si="1"/>
        <v>-38683.25</v>
      </c>
      <c r="J31" s="78"/>
      <c r="K31" s="78"/>
      <c r="L31" s="78"/>
      <c r="M31" s="78"/>
    </row>
    <row r="32" spans="1:13" s="10" customFormat="1" x14ac:dyDescent="0.4">
      <c r="A32" s="126" t="s">
        <v>1098</v>
      </c>
      <c r="B32" s="12" t="s">
        <v>1099</v>
      </c>
      <c r="C32" s="78">
        <v>0</v>
      </c>
      <c r="D32" s="78"/>
      <c r="E32" s="78"/>
      <c r="F32" s="78"/>
      <c r="G32" s="79">
        <f t="shared" si="0"/>
        <v>0</v>
      </c>
      <c r="H32" s="78" t="s">
        <v>288</v>
      </c>
      <c r="I32" s="79">
        <f t="shared" si="1"/>
        <v>0</v>
      </c>
      <c r="J32" s="78"/>
      <c r="K32" s="78"/>
      <c r="L32" s="78"/>
      <c r="M32" s="78"/>
    </row>
    <row r="33" spans="1:13" s="10" customFormat="1" x14ac:dyDescent="0.4">
      <c r="A33" s="126" t="s">
        <v>1100</v>
      </c>
      <c r="B33" s="12" t="s">
        <v>1101</v>
      </c>
      <c r="C33" s="78">
        <v>-13695.88</v>
      </c>
      <c r="D33" s="78"/>
      <c r="E33" s="78"/>
      <c r="F33" s="78"/>
      <c r="G33" s="79">
        <f t="shared" si="0"/>
        <v>-13695.88</v>
      </c>
      <c r="H33" s="78" t="s">
        <v>292</v>
      </c>
      <c r="I33" s="79">
        <f t="shared" si="1"/>
        <v>-13695.88</v>
      </c>
      <c r="J33" s="78"/>
      <c r="K33" s="78"/>
      <c r="L33" s="78"/>
      <c r="M33" s="78"/>
    </row>
    <row r="34" spans="1:13" s="78" customFormat="1" x14ac:dyDescent="0.4">
      <c r="A34" s="126" t="s">
        <v>1102</v>
      </c>
      <c r="B34" s="12" t="s">
        <v>1103</v>
      </c>
      <c r="C34" s="78">
        <v>-28441.05</v>
      </c>
      <c r="G34" s="79">
        <f t="shared" si="0"/>
        <v>-28441.05</v>
      </c>
      <c r="H34" s="78" t="s">
        <v>292</v>
      </c>
      <c r="I34" s="79">
        <f t="shared" si="1"/>
        <v>-28441.05</v>
      </c>
      <c r="J34" s="78">
        <f>SUM(I6:I19)</f>
        <v>1968975.95</v>
      </c>
    </row>
    <row r="35" spans="1:13" s="78" customFormat="1" x14ac:dyDescent="0.4">
      <c r="A35" s="126" t="s">
        <v>1104</v>
      </c>
      <c r="B35" s="12" t="s">
        <v>1105</v>
      </c>
      <c r="C35" s="78">
        <v>-7058.04</v>
      </c>
      <c r="G35" s="79">
        <f t="shared" si="0"/>
        <v>-7058.04</v>
      </c>
      <c r="H35" s="78" t="s">
        <v>292</v>
      </c>
      <c r="I35" s="79">
        <f t="shared" si="1"/>
        <v>-7058.04</v>
      </c>
    </row>
    <row r="36" spans="1:13" s="10" customFormat="1" x14ac:dyDescent="0.4">
      <c r="A36" s="126" t="s">
        <v>1106</v>
      </c>
      <c r="B36" s="12" t="s">
        <v>1107</v>
      </c>
      <c r="C36" s="78">
        <v>-18239.12</v>
      </c>
      <c r="D36" s="78"/>
      <c r="E36" s="78"/>
      <c r="F36" s="78"/>
      <c r="G36" s="79">
        <f t="shared" si="0"/>
        <v>-18239.12</v>
      </c>
      <c r="H36" s="78" t="s">
        <v>292</v>
      </c>
      <c r="I36" s="79">
        <f t="shared" si="1"/>
        <v>-18239.12</v>
      </c>
      <c r="J36" s="78"/>
      <c r="K36" s="78"/>
      <c r="L36" s="78"/>
      <c r="M36" s="78"/>
    </row>
    <row r="37" spans="1:13" s="10" customFormat="1" x14ac:dyDescent="0.4">
      <c r="A37" s="126" t="s">
        <v>1108</v>
      </c>
      <c r="B37" s="12" t="s">
        <v>1109</v>
      </c>
      <c r="C37" s="78">
        <v>-36284.629999999997</v>
      </c>
      <c r="D37" s="78"/>
      <c r="E37" s="78"/>
      <c r="F37" s="78"/>
      <c r="G37" s="79">
        <f t="shared" si="0"/>
        <v>-36284.629999999997</v>
      </c>
      <c r="H37" s="78" t="s">
        <v>292</v>
      </c>
      <c r="I37" s="79">
        <f t="shared" si="1"/>
        <v>-36284.629999999997</v>
      </c>
      <c r="J37" s="78"/>
      <c r="K37" s="78"/>
      <c r="L37" s="78"/>
      <c r="M37" s="78"/>
    </row>
    <row r="38" spans="1:13" s="10" customFormat="1" x14ac:dyDescent="0.4">
      <c r="A38" s="126" t="s">
        <v>1110</v>
      </c>
      <c r="B38" s="12" t="s">
        <v>1111</v>
      </c>
      <c r="C38" s="78">
        <v>0</v>
      </c>
      <c r="D38" s="78"/>
      <c r="E38" s="78"/>
      <c r="F38" s="78"/>
      <c r="G38" s="79">
        <f t="shared" si="0"/>
        <v>0</v>
      </c>
      <c r="H38" s="78" t="s">
        <v>292</v>
      </c>
      <c r="I38" s="79">
        <f t="shared" si="1"/>
        <v>0</v>
      </c>
      <c r="J38" s="78"/>
      <c r="K38" s="78"/>
      <c r="L38" s="78"/>
      <c r="M38" s="78"/>
    </row>
    <row r="39" spans="1:13" s="10" customFormat="1" x14ac:dyDescent="0.4">
      <c r="A39" s="126" t="s">
        <v>1112</v>
      </c>
      <c r="B39" s="12" t="s">
        <v>1113</v>
      </c>
      <c r="C39" s="78">
        <v>0</v>
      </c>
      <c r="D39" s="78"/>
      <c r="E39" s="78"/>
      <c r="F39" s="78"/>
      <c r="G39" s="79">
        <f t="shared" si="0"/>
        <v>0</v>
      </c>
      <c r="H39" s="78" t="s">
        <v>292</v>
      </c>
      <c r="I39" s="79">
        <f t="shared" si="1"/>
        <v>0</v>
      </c>
      <c r="J39" s="78"/>
      <c r="K39" s="78"/>
      <c r="L39" s="78"/>
      <c r="M39" s="78"/>
    </row>
    <row r="40" spans="1:13" s="10" customFormat="1" x14ac:dyDescent="0.4">
      <c r="A40" s="126" t="s">
        <v>1114</v>
      </c>
      <c r="B40" s="12" t="s">
        <v>1115</v>
      </c>
      <c r="C40" s="78">
        <v>0</v>
      </c>
      <c r="D40" s="78"/>
      <c r="E40" s="78"/>
      <c r="F40" s="78"/>
      <c r="G40" s="79">
        <f t="shared" si="0"/>
        <v>0</v>
      </c>
      <c r="H40" s="78" t="s">
        <v>292</v>
      </c>
      <c r="I40" s="79">
        <f t="shared" si="1"/>
        <v>0</v>
      </c>
      <c r="J40" s="78"/>
      <c r="K40" s="78"/>
      <c r="L40" s="78"/>
      <c r="M40" s="78"/>
    </row>
    <row r="41" spans="1:13" s="10" customFormat="1" x14ac:dyDescent="0.4">
      <c r="A41" s="126" t="s">
        <v>1116</v>
      </c>
      <c r="B41" s="12" t="s">
        <v>1117</v>
      </c>
      <c r="C41" s="78">
        <v>-2329</v>
      </c>
      <c r="D41" s="78"/>
      <c r="E41" s="78"/>
      <c r="F41" s="78"/>
      <c r="G41" s="79">
        <f t="shared" si="0"/>
        <v>-2329</v>
      </c>
      <c r="H41" s="78" t="s">
        <v>291</v>
      </c>
      <c r="I41" s="79">
        <f t="shared" si="1"/>
        <v>-2329</v>
      </c>
      <c r="J41" s="78"/>
      <c r="K41" s="78"/>
      <c r="L41" s="78"/>
      <c r="M41" s="78"/>
    </row>
    <row r="42" spans="1:13" s="10" customFormat="1" x14ac:dyDescent="0.4">
      <c r="A42" s="126" t="s">
        <v>1118</v>
      </c>
      <c r="B42" s="12" t="s">
        <v>1119</v>
      </c>
      <c r="C42" s="78">
        <v>-5022.6000000000004</v>
      </c>
      <c r="D42" s="78"/>
      <c r="E42" s="78"/>
      <c r="F42" s="78"/>
      <c r="G42" s="79">
        <f t="shared" si="0"/>
        <v>-5022.6000000000004</v>
      </c>
      <c r="H42" s="78" t="s">
        <v>291</v>
      </c>
      <c r="I42" s="79">
        <f t="shared" si="1"/>
        <v>-5022.6000000000004</v>
      </c>
      <c r="J42" s="79"/>
      <c r="K42" s="79"/>
      <c r="L42" s="79"/>
      <c r="M42" s="79"/>
    </row>
    <row r="43" spans="1:13" s="10" customFormat="1" x14ac:dyDescent="0.4">
      <c r="A43" s="126" t="s">
        <v>1120</v>
      </c>
      <c r="B43" s="12" t="s">
        <v>1121</v>
      </c>
      <c r="C43" s="78">
        <v>0</v>
      </c>
      <c r="D43" s="78"/>
      <c r="E43" s="78"/>
      <c r="F43" s="78"/>
      <c r="G43" s="79">
        <f t="shared" si="0"/>
        <v>0</v>
      </c>
      <c r="H43" s="78" t="s">
        <v>292</v>
      </c>
      <c r="I43" s="79">
        <f t="shared" si="1"/>
        <v>0</v>
      </c>
      <c r="J43" s="78"/>
      <c r="K43" s="78"/>
      <c r="L43" s="78"/>
      <c r="M43" s="78"/>
    </row>
    <row r="44" spans="1:13" s="10" customFormat="1" x14ac:dyDescent="0.4">
      <c r="A44" s="126" t="s">
        <v>1122</v>
      </c>
      <c r="B44" s="12" t="s">
        <v>1123</v>
      </c>
      <c r="C44" s="78">
        <v>-5407.33</v>
      </c>
      <c r="D44" s="78"/>
      <c r="E44" s="78"/>
      <c r="F44" s="78"/>
      <c r="G44" s="79">
        <f t="shared" si="0"/>
        <v>-5407.33</v>
      </c>
      <c r="H44" s="78" t="s">
        <v>292</v>
      </c>
      <c r="I44" s="79">
        <f t="shared" si="1"/>
        <v>-5407.33</v>
      </c>
      <c r="J44" s="78"/>
      <c r="K44" s="78"/>
      <c r="L44" s="78"/>
      <c r="M44" s="78"/>
    </row>
    <row r="45" spans="1:13" s="10" customFormat="1" x14ac:dyDescent="0.4">
      <c r="A45" s="126" t="s">
        <v>1124</v>
      </c>
      <c r="B45" s="12" t="s">
        <v>1125</v>
      </c>
      <c r="C45" s="78">
        <v>0</v>
      </c>
      <c r="D45" s="78"/>
      <c r="E45" s="78"/>
      <c r="F45" s="78"/>
      <c r="G45" s="79">
        <f t="shared" si="0"/>
        <v>0</v>
      </c>
      <c r="H45" s="78" t="s">
        <v>292</v>
      </c>
      <c r="I45" s="79">
        <f t="shared" si="1"/>
        <v>0</v>
      </c>
      <c r="J45" s="78"/>
      <c r="K45" s="78"/>
      <c r="L45" s="78"/>
      <c r="M45" s="78"/>
    </row>
    <row r="46" spans="1:13" s="10" customFormat="1" x14ac:dyDescent="0.4">
      <c r="A46" s="126" t="s">
        <v>1126</v>
      </c>
      <c r="B46" s="12" t="s">
        <v>1127</v>
      </c>
      <c r="C46" s="78">
        <v>-6017.82</v>
      </c>
      <c r="D46" s="78"/>
      <c r="E46" s="78"/>
      <c r="F46" s="78"/>
      <c r="G46" s="79">
        <f t="shared" si="0"/>
        <v>-6017.82</v>
      </c>
      <c r="H46" s="78" t="s">
        <v>292</v>
      </c>
      <c r="I46" s="79">
        <f t="shared" si="1"/>
        <v>-6017.82</v>
      </c>
      <c r="J46" s="78"/>
      <c r="K46" s="78"/>
      <c r="L46" s="78"/>
      <c r="M46" s="78"/>
    </row>
    <row r="47" spans="1:13" s="10" customFormat="1" x14ac:dyDescent="0.4">
      <c r="A47" s="126" t="s">
        <v>1128</v>
      </c>
      <c r="B47" s="12" t="s">
        <v>1129</v>
      </c>
      <c r="C47" s="78">
        <v>-3280.2</v>
      </c>
      <c r="D47" s="78"/>
      <c r="E47" s="78"/>
      <c r="F47" s="78"/>
      <c r="G47" s="79">
        <f t="shared" si="0"/>
        <v>-3280.2</v>
      </c>
      <c r="H47" s="78" t="s">
        <v>292</v>
      </c>
      <c r="I47" s="79">
        <f t="shared" si="1"/>
        <v>-3280.2</v>
      </c>
      <c r="J47" s="78"/>
      <c r="K47" s="78"/>
      <c r="L47" s="78"/>
      <c r="M47" s="78"/>
    </row>
    <row r="48" spans="1:13" s="10" customFormat="1" x14ac:dyDescent="0.4">
      <c r="A48" s="126" t="s">
        <v>1130</v>
      </c>
      <c r="B48" s="12" t="s">
        <v>1131</v>
      </c>
      <c r="C48" s="78">
        <v>0</v>
      </c>
      <c r="D48" s="78"/>
      <c r="E48" s="78"/>
      <c r="F48" s="78"/>
      <c r="G48" s="79">
        <f t="shared" si="0"/>
        <v>0</v>
      </c>
      <c r="H48" s="78" t="s">
        <v>292</v>
      </c>
      <c r="I48" s="79">
        <f t="shared" si="1"/>
        <v>0</v>
      </c>
      <c r="J48" s="78"/>
      <c r="K48" s="78"/>
      <c r="L48" s="78"/>
      <c r="M48" s="78"/>
    </row>
    <row r="49" spans="1:13" s="10" customFormat="1" x14ac:dyDescent="0.4">
      <c r="A49" s="126" t="s">
        <v>1132</v>
      </c>
      <c r="B49" s="12" t="s">
        <v>186</v>
      </c>
      <c r="C49" s="78">
        <v>-25</v>
      </c>
      <c r="D49" s="78"/>
      <c r="E49" s="78"/>
      <c r="F49" s="78"/>
      <c r="G49" s="79">
        <f t="shared" si="0"/>
        <v>-25</v>
      </c>
      <c r="H49" s="78" t="s">
        <v>292</v>
      </c>
      <c r="I49" s="79">
        <f t="shared" si="1"/>
        <v>-25</v>
      </c>
      <c r="J49" s="78"/>
      <c r="K49" s="78"/>
      <c r="L49" s="78"/>
      <c r="M49" s="78"/>
    </row>
    <row r="50" spans="1:13" s="10" customFormat="1" x14ac:dyDescent="0.4">
      <c r="A50" s="126" t="s">
        <v>1133</v>
      </c>
      <c r="B50" s="12" t="s">
        <v>1134</v>
      </c>
      <c r="C50" s="78">
        <v>-1334.26</v>
      </c>
      <c r="D50" s="78"/>
      <c r="E50" s="78"/>
      <c r="F50" s="78"/>
      <c r="G50" s="79">
        <f t="shared" si="0"/>
        <v>-1334.26</v>
      </c>
      <c r="H50" s="78" t="s">
        <v>292</v>
      </c>
      <c r="I50" s="79">
        <f t="shared" si="1"/>
        <v>-1334.26</v>
      </c>
      <c r="J50" s="78"/>
      <c r="K50" s="78"/>
      <c r="L50" s="78"/>
      <c r="M50" s="78"/>
    </row>
    <row r="51" spans="1:13" s="10" customFormat="1" x14ac:dyDescent="0.4">
      <c r="A51" s="126" t="s">
        <v>1135</v>
      </c>
      <c r="B51" s="12" t="s">
        <v>1136</v>
      </c>
      <c r="C51" s="78">
        <v>-184.68</v>
      </c>
      <c r="D51" s="78"/>
      <c r="E51" s="78"/>
      <c r="F51" s="78"/>
      <c r="G51" s="79">
        <f t="shared" si="0"/>
        <v>-184.68</v>
      </c>
      <c r="H51" s="78" t="s">
        <v>292</v>
      </c>
      <c r="I51" s="79">
        <f t="shared" si="1"/>
        <v>-184.68</v>
      </c>
      <c r="J51" s="78"/>
      <c r="K51" s="78"/>
      <c r="L51" s="78"/>
      <c r="M51" s="78"/>
    </row>
    <row r="52" spans="1:13" s="10" customFormat="1" x14ac:dyDescent="0.4">
      <c r="A52" s="126" t="s">
        <v>1137</v>
      </c>
      <c r="B52" s="12" t="s">
        <v>1138</v>
      </c>
      <c r="C52" s="78">
        <v>172</v>
      </c>
      <c r="D52" s="78"/>
      <c r="E52" s="78"/>
      <c r="F52" s="78"/>
      <c r="G52" s="79">
        <f t="shared" si="0"/>
        <v>172</v>
      </c>
      <c r="H52" s="78" t="s">
        <v>292</v>
      </c>
      <c r="I52" s="79">
        <f t="shared" si="1"/>
        <v>172</v>
      </c>
      <c r="J52" s="78"/>
      <c r="K52" s="78"/>
      <c r="L52" s="78"/>
      <c r="M52" s="78"/>
    </row>
    <row r="53" spans="1:13" s="10" customFormat="1" x14ac:dyDescent="0.4">
      <c r="A53" s="126" t="s">
        <v>1139</v>
      </c>
      <c r="B53" s="12" t="s">
        <v>1140</v>
      </c>
      <c r="C53" s="78">
        <v>0</v>
      </c>
      <c r="D53" s="78"/>
      <c r="E53" s="78"/>
      <c r="F53" s="78"/>
      <c r="G53" s="79">
        <f t="shared" si="0"/>
        <v>0</v>
      </c>
      <c r="H53" s="78" t="s">
        <v>292</v>
      </c>
      <c r="I53" s="79">
        <f t="shared" si="1"/>
        <v>0</v>
      </c>
      <c r="J53" s="78"/>
      <c r="K53" s="78"/>
      <c r="L53" s="78"/>
      <c r="M53" s="78"/>
    </row>
    <row r="54" spans="1:13" s="10" customFormat="1" x14ac:dyDescent="0.4">
      <c r="A54" s="126" t="s">
        <v>1141</v>
      </c>
      <c r="B54" s="12" t="s">
        <v>1142</v>
      </c>
      <c r="C54" s="78">
        <v>-279.7</v>
      </c>
      <c r="D54" s="78"/>
      <c r="E54" s="78"/>
      <c r="F54" s="78"/>
      <c r="G54" s="79">
        <f t="shared" si="0"/>
        <v>-279.7</v>
      </c>
      <c r="H54" s="78" t="s">
        <v>292</v>
      </c>
      <c r="I54" s="79">
        <f t="shared" si="1"/>
        <v>-279.7</v>
      </c>
      <c r="J54" s="78"/>
      <c r="K54" s="78"/>
      <c r="L54" s="78"/>
      <c r="M54" s="78"/>
    </row>
    <row r="55" spans="1:13" s="10" customFormat="1" x14ac:dyDescent="0.4">
      <c r="A55" s="126" t="s">
        <v>1143</v>
      </c>
      <c r="B55" s="12" t="s">
        <v>1144</v>
      </c>
      <c r="C55" s="78">
        <v>-53884.94</v>
      </c>
      <c r="D55" s="78"/>
      <c r="E55" s="78"/>
      <c r="F55" s="78"/>
      <c r="G55" s="79">
        <f t="shared" si="0"/>
        <v>-53884.94</v>
      </c>
      <c r="H55" s="78" t="s">
        <v>290</v>
      </c>
      <c r="I55" s="79">
        <f t="shared" si="1"/>
        <v>-53884.94</v>
      </c>
      <c r="J55" s="78"/>
      <c r="K55" s="78"/>
      <c r="L55" s="78"/>
      <c r="M55" s="78"/>
    </row>
    <row r="56" spans="1:13" s="10" customFormat="1" x14ac:dyDescent="0.4">
      <c r="A56" s="126" t="s">
        <v>1145</v>
      </c>
      <c r="B56" s="12" t="s">
        <v>1146</v>
      </c>
      <c r="C56" s="78">
        <v>-1614.08</v>
      </c>
      <c r="D56" s="78"/>
      <c r="E56" s="78"/>
      <c r="F56" s="78"/>
      <c r="G56" s="79">
        <f t="shared" si="0"/>
        <v>-1614.08</v>
      </c>
      <c r="H56" s="78" t="s">
        <v>292</v>
      </c>
      <c r="I56" s="79">
        <f t="shared" si="1"/>
        <v>-1614.08</v>
      </c>
      <c r="J56" s="78"/>
      <c r="K56" s="78"/>
      <c r="L56" s="78"/>
      <c r="M56" s="78"/>
    </row>
    <row r="57" spans="1:13" s="10" customFormat="1" x14ac:dyDescent="0.4">
      <c r="A57" s="126" t="s">
        <v>1147</v>
      </c>
      <c r="B57" s="12" t="s">
        <v>1148</v>
      </c>
      <c r="C57" s="78">
        <v>-46723.82</v>
      </c>
      <c r="D57" s="78"/>
      <c r="E57" s="78"/>
      <c r="F57" s="78"/>
      <c r="G57" s="79">
        <f t="shared" si="0"/>
        <v>-46723.82</v>
      </c>
      <c r="H57" s="78" t="s">
        <v>292</v>
      </c>
      <c r="I57" s="79">
        <f t="shared" si="1"/>
        <v>-46723.82</v>
      </c>
      <c r="J57" s="78"/>
      <c r="K57" s="78"/>
      <c r="L57" s="78"/>
      <c r="M57" s="78"/>
    </row>
    <row r="58" spans="1:13" s="10" customFormat="1" x14ac:dyDescent="0.4">
      <c r="A58" s="125" t="s">
        <v>1149</v>
      </c>
      <c r="B58" s="125" t="s">
        <v>204</v>
      </c>
      <c r="C58" s="78">
        <v>-851.8</v>
      </c>
      <c r="D58" s="78"/>
      <c r="E58" s="78"/>
      <c r="F58" s="78"/>
      <c r="G58" s="79">
        <f t="shared" si="0"/>
        <v>-851.8</v>
      </c>
      <c r="H58" s="78" t="s">
        <v>299</v>
      </c>
      <c r="I58" s="79">
        <f t="shared" si="1"/>
        <v>-851.8</v>
      </c>
      <c r="J58" s="78"/>
      <c r="K58" s="78"/>
      <c r="L58" s="78"/>
      <c r="M58" s="78"/>
    </row>
    <row r="59" spans="1:13" s="10" customFormat="1" x14ac:dyDescent="0.4">
      <c r="A59" s="126" t="s">
        <v>1150</v>
      </c>
      <c r="B59" s="12" t="s">
        <v>1151</v>
      </c>
      <c r="C59" s="78">
        <v>-1256.25</v>
      </c>
      <c r="D59" s="78"/>
      <c r="E59" s="78"/>
      <c r="F59" s="78"/>
      <c r="G59" s="79">
        <f t="shared" si="0"/>
        <v>-1256.25</v>
      </c>
      <c r="H59" s="78" t="s">
        <v>292</v>
      </c>
      <c r="I59" s="79">
        <f t="shared" si="1"/>
        <v>-1256.25</v>
      </c>
      <c r="J59" s="78"/>
      <c r="K59" s="78"/>
      <c r="L59" s="78"/>
      <c r="M59" s="78"/>
    </row>
    <row r="60" spans="1:13" s="10" customFormat="1" x14ac:dyDescent="0.4">
      <c r="A60" s="126" t="s">
        <v>1152</v>
      </c>
      <c r="B60" s="12" t="s">
        <v>1153</v>
      </c>
      <c r="C60" s="78">
        <v>-2110.9299999999998</v>
      </c>
      <c r="D60" s="78"/>
      <c r="E60" s="78"/>
      <c r="F60" s="78"/>
      <c r="G60" s="79">
        <f t="shared" si="0"/>
        <v>-2110.9299999999998</v>
      </c>
      <c r="H60" s="78" t="s">
        <v>292</v>
      </c>
      <c r="I60" s="79">
        <f t="shared" si="1"/>
        <v>-2110.9299999999998</v>
      </c>
      <c r="J60" s="78"/>
      <c r="K60" s="78"/>
      <c r="L60" s="78"/>
      <c r="M60" s="78"/>
    </row>
    <row r="61" spans="1:13" s="10" customFormat="1" x14ac:dyDescent="0.4">
      <c r="A61" s="126" t="s">
        <v>1154</v>
      </c>
      <c r="B61" s="12" t="s">
        <v>210</v>
      </c>
      <c r="C61" s="78">
        <v>0</v>
      </c>
      <c r="D61" s="78"/>
      <c r="E61" s="78"/>
      <c r="F61" s="78"/>
      <c r="G61" s="79">
        <f t="shared" si="0"/>
        <v>0</v>
      </c>
      <c r="H61" s="78" t="s">
        <v>292</v>
      </c>
      <c r="I61" s="79">
        <f t="shared" si="1"/>
        <v>0</v>
      </c>
      <c r="J61" s="78"/>
      <c r="K61" s="78"/>
      <c r="L61" s="78"/>
      <c r="M61" s="78"/>
    </row>
    <row r="62" spans="1:13" s="10" customFormat="1" x14ac:dyDescent="0.4">
      <c r="A62" s="126" t="s">
        <v>1155</v>
      </c>
      <c r="B62" s="12" t="s">
        <v>1156</v>
      </c>
      <c r="C62" s="78">
        <v>-900</v>
      </c>
      <c r="D62" s="78"/>
      <c r="E62" s="78"/>
      <c r="F62" s="78"/>
      <c r="G62" s="79">
        <f t="shared" si="0"/>
        <v>-900</v>
      </c>
      <c r="H62" s="78" t="s">
        <v>292</v>
      </c>
      <c r="I62" s="79">
        <f t="shared" si="1"/>
        <v>-900</v>
      </c>
      <c r="J62" s="78"/>
      <c r="K62" s="78"/>
      <c r="L62" s="78"/>
      <c r="M62" s="78"/>
    </row>
    <row r="63" spans="1:13" s="10" customFormat="1" x14ac:dyDescent="0.4">
      <c r="A63" s="126" t="s">
        <v>1157</v>
      </c>
      <c r="B63" s="12" t="s">
        <v>1158</v>
      </c>
      <c r="C63" s="78">
        <v>-30</v>
      </c>
      <c r="D63" s="78"/>
      <c r="E63" s="78"/>
      <c r="F63" s="78"/>
      <c r="G63" s="79">
        <f t="shared" si="0"/>
        <v>-30</v>
      </c>
      <c r="H63" s="78" t="s">
        <v>292</v>
      </c>
      <c r="I63" s="79">
        <f t="shared" si="1"/>
        <v>-30</v>
      </c>
      <c r="J63" s="78"/>
      <c r="K63" s="78"/>
      <c r="L63" s="78"/>
      <c r="M63" s="78"/>
    </row>
    <row r="64" spans="1:13" s="10" customFormat="1" x14ac:dyDescent="0.4">
      <c r="A64" s="126" t="s">
        <v>1159</v>
      </c>
      <c r="B64" s="12" t="s">
        <v>181</v>
      </c>
      <c r="C64" s="78">
        <v>0</v>
      </c>
      <c r="D64" s="78"/>
      <c r="E64" s="78"/>
      <c r="F64" s="78"/>
      <c r="G64" s="79">
        <f t="shared" si="0"/>
        <v>0</v>
      </c>
      <c r="H64" s="78" t="s">
        <v>292</v>
      </c>
      <c r="I64" s="79">
        <f t="shared" si="1"/>
        <v>0</v>
      </c>
      <c r="J64" s="78"/>
      <c r="K64" s="78"/>
      <c r="L64" s="78"/>
      <c r="M64" s="78"/>
    </row>
    <row r="65" spans="1:13" s="10" customFormat="1" x14ac:dyDescent="0.4">
      <c r="A65" s="125" t="s">
        <v>1160</v>
      </c>
      <c r="B65" s="125" t="s">
        <v>203</v>
      </c>
      <c r="C65" s="78">
        <v>-257.87</v>
      </c>
      <c r="D65" s="78"/>
      <c r="E65" s="78"/>
      <c r="F65" s="78"/>
      <c r="G65" s="79">
        <f t="shared" si="0"/>
        <v>-257.87</v>
      </c>
      <c r="H65" s="78" t="s">
        <v>292</v>
      </c>
      <c r="I65" s="79">
        <f t="shared" si="1"/>
        <v>-257.87</v>
      </c>
      <c r="J65" s="78"/>
      <c r="K65" s="78"/>
      <c r="L65" s="78"/>
      <c r="M65" s="78"/>
    </row>
    <row r="66" spans="1:13" s="10" customFormat="1" x14ac:dyDescent="0.4">
      <c r="A66" s="126" t="s">
        <v>1161</v>
      </c>
      <c r="B66" s="12" t="s">
        <v>1162</v>
      </c>
      <c r="C66" s="78">
        <v>-1050.4100000000001</v>
      </c>
      <c r="D66" s="78"/>
      <c r="E66" s="78"/>
      <c r="F66" s="78"/>
      <c r="G66" s="79">
        <f t="shared" si="0"/>
        <v>-1050.4100000000001</v>
      </c>
      <c r="H66" s="78" t="s">
        <v>292</v>
      </c>
      <c r="I66" s="79">
        <f t="shared" si="1"/>
        <v>-1050.4100000000001</v>
      </c>
      <c r="J66" s="78"/>
      <c r="K66" s="78"/>
      <c r="L66" s="78"/>
      <c r="M66" s="78"/>
    </row>
    <row r="67" spans="1:13" s="10" customFormat="1" x14ac:dyDescent="0.4">
      <c r="A67" s="126" t="s">
        <v>1163</v>
      </c>
      <c r="B67" s="12" t="s">
        <v>250</v>
      </c>
      <c r="C67" s="78">
        <v>-2756</v>
      </c>
      <c r="D67" s="78"/>
      <c r="E67" s="78"/>
      <c r="F67" s="78"/>
      <c r="G67" s="79">
        <f t="shared" si="0"/>
        <v>-2756</v>
      </c>
      <c r="H67" s="78" t="s">
        <v>292</v>
      </c>
      <c r="I67" s="79">
        <f t="shared" si="1"/>
        <v>-2756</v>
      </c>
      <c r="J67" s="78"/>
      <c r="K67" s="78"/>
      <c r="L67" s="78"/>
      <c r="M67" s="78"/>
    </row>
    <row r="68" spans="1:13" s="10" customFormat="1" x14ac:dyDescent="0.4">
      <c r="A68" s="126" t="s">
        <v>1164</v>
      </c>
      <c r="B68" s="12" t="s">
        <v>1165</v>
      </c>
      <c r="C68" s="78">
        <v>349.86</v>
      </c>
      <c r="D68" s="78"/>
      <c r="E68" s="78"/>
      <c r="F68" s="78"/>
      <c r="G68" s="79">
        <f t="shared" si="0"/>
        <v>349.86</v>
      </c>
      <c r="H68" s="78" t="s">
        <v>292</v>
      </c>
      <c r="I68" s="79">
        <f t="shared" si="1"/>
        <v>349.86</v>
      </c>
      <c r="J68" s="78"/>
      <c r="K68" s="78"/>
      <c r="L68" s="78"/>
      <c r="M68" s="78"/>
    </row>
    <row r="69" spans="1:13" s="10" customFormat="1" x14ac:dyDescent="0.4">
      <c r="A69" s="126" t="s">
        <v>1166</v>
      </c>
      <c r="B69" s="12" t="s">
        <v>1167</v>
      </c>
      <c r="C69" s="78">
        <v>-3054.43</v>
      </c>
      <c r="D69" s="78"/>
      <c r="E69" s="78"/>
      <c r="F69" s="78"/>
      <c r="G69" s="79">
        <f t="shared" si="0"/>
        <v>-3054.43</v>
      </c>
      <c r="H69" s="78" t="s">
        <v>292</v>
      </c>
      <c r="I69" s="79">
        <f t="shared" si="1"/>
        <v>-3054.43</v>
      </c>
      <c r="J69" s="78"/>
      <c r="K69" s="78"/>
      <c r="L69" s="78"/>
      <c r="M69" s="78"/>
    </row>
    <row r="70" spans="1:13" s="10" customFormat="1" x14ac:dyDescent="0.4">
      <c r="A70" s="126" t="s">
        <v>1168</v>
      </c>
      <c r="B70" s="12" t="s">
        <v>1169</v>
      </c>
      <c r="C70" s="78">
        <v>-16.809999999999999</v>
      </c>
      <c r="D70" s="78"/>
      <c r="E70" s="78"/>
      <c r="F70" s="78"/>
      <c r="G70" s="79">
        <f t="shared" si="0"/>
        <v>-16.809999999999999</v>
      </c>
      <c r="H70" s="78" t="s">
        <v>292</v>
      </c>
      <c r="I70" s="79">
        <f t="shared" si="1"/>
        <v>-16.809999999999999</v>
      </c>
      <c r="J70" s="78"/>
      <c r="K70" s="78"/>
      <c r="L70" s="78"/>
      <c r="M70" s="78"/>
    </row>
    <row r="71" spans="1:13" s="10" customFormat="1" x14ac:dyDescent="0.4">
      <c r="A71" s="126" t="s">
        <v>1170</v>
      </c>
      <c r="B71" s="12" t="s">
        <v>1171</v>
      </c>
      <c r="C71" s="78">
        <v>-35</v>
      </c>
      <c r="D71" s="78"/>
      <c r="E71" s="78"/>
      <c r="F71" s="78"/>
      <c r="G71" s="79">
        <f t="shared" ref="G71:G103" si="2">SUM(C71:F71)</f>
        <v>-35</v>
      </c>
      <c r="H71" s="78" t="s">
        <v>292</v>
      </c>
      <c r="I71" s="79">
        <f t="shared" si="1"/>
        <v>-35</v>
      </c>
      <c r="J71" s="78"/>
      <c r="K71" s="78"/>
      <c r="L71" s="78"/>
      <c r="M71" s="78"/>
    </row>
    <row r="72" spans="1:13" s="10" customFormat="1" x14ac:dyDescent="0.4">
      <c r="A72" s="126" t="s">
        <v>1172</v>
      </c>
      <c r="B72" s="12" t="s">
        <v>1173</v>
      </c>
      <c r="C72" s="78">
        <v>-3917.12</v>
      </c>
      <c r="D72" s="78"/>
      <c r="E72" s="78"/>
      <c r="F72" s="78"/>
      <c r="G72" s="79">
        <f t="shared" si="2"/>
        <v>-3917.12</v>
      </c>
      <c r="H72" s="78" t="s">
        <v>292</v>
      </c>
      <c r="I72" s="79">
        <f t="shared" ref="I72:I102" si="3">G72*1</f>
        <v>-3917.12</v>
      </c>
      <c r="J72" s="78"/>
      <c r="K72" s="78"/>
      <c r="L72" s="78"/>
      <c r="M72" s="78"/>
    </row>
    <row r="73" spans="1:13" s="10" customFormat="1" x14ac:dyDescent="0.4">
      <c r="A73" s="126" t="s">
        <v>1174</v>
      </c>
      <c r="B73" s="12" t="s">
        <v>1175</v>
      </c>
      <c r="C73" s="78">
        <v>0</v>
      </c>
      <c r="D73" s="78"/>
      <c r="E73" s="78"/>
      <c r="F73" s="78"/>
      <c r="G73" s="79">
        <f t="shared" si="2"/>
        <v>0</v>
      </c>
      <c r="H73" s="78" t="s">
        <v>292</v>
      </c>
      <c r="I73" s="79">
        <f t="shared" si="3"/>
        <v>0</v>
      </c>
      <c r="J73" s="78"/>
      <c r="K73" s="78"/>
      <c r="L73" s="78"/>
      <c r="M73" s="78"/>
    </row>
    <row r="74" spans="1:13" s="10" customFormat="1" x14ac:dyDescent="0.4">
      <c r="A74" s="126" t="s">
        <v>1176</v>
      </c>
      <c r="B74" s="12" t="s">
        <v>1177</v>
      </c>
      <c r="C74" s="78">
        <v>-57</v>
      </c>
      <c r="D74" s="78"/>
      <c r="E74" s="78"/>
      <c r="F74" s="78"/>
      <c r="G74" s="79">
        <f t="shared" si="2"/>
        <v>-57</v>
      </c>
      <c r="H74" s="78" t="s">
        <v>292</v>
      </c>
      <c r="I74" s="79">
        <f t="shared" si="3"/>
        <v>-57</v>
      </c>
      <c r="J74" s="78"/>
      <c r="K74" s="78"/>
      <c r="L74" s="78"/>
      <c r="M74" s="78"/>
    </row>
    <row r="75" spans="1:13" s="10" customFormat="1" x14ac:dyDescent="0.4">
      <c r="A75" s="126" t="s">
        <v>1178</v>
      </c>
      <c r="B75" s="12" t="s">
        <v>1179</v>
      </c>
      <c r="C75" s="78">
        <v>-118.52</v>
      </c>
      <c r="D75" s="78"/>
      <c r="E75" s="78"/>
      <c r="F75" s="78"/>
      <c r="G75" s="79">
        <f t="shared" si="2"/>
        <v>-118.52</v>
      </c>
      <c r="H75" s="78" t="s">
        <v>292</v>
      </c>
      <c r="I75" s="79">
        <f t="shared" si="3"/>
        <v>-118.52</v>
      </c>
      <c r="J75" s="78"/>
      <c r="K75" s="78"/>
      <c r="L75" s="78"/>
      <c r="M75" s="78"/>
    </row>
    <row r="76" spans="1:13" s="10" customFormat="1" x14ac:dyDescent="0.4">
      <c r="A76" s="126" t="s">
        <v>1180</v>
      </c>
      <c r="B76" s="12" t="s">
        <v>1181</v>
      </c>
      <c r="C76" s="78">
        <v>0</v>
      </c>
      <c r="D76" s="78"/>
      <c r="E76" s="78"/>
      <c r="F76" s="78"/>
      <c r="G76" s="79">
        <f t="shared" si="2"/>
        <v>0</v>
      </c>
      <c r="H76" s="78" t="s">
        <v>292</v>
      </c>
      <c r="I76" s="79">
        <f t="shared" si="3"/>
        <v>0</v>
      </c>
      <c r="J76" s="78"/>
      <c r="K76" s="78"/>
      <c r="L76" s="78"/>
      <c r="M76" s="78"/>
    </row>
    <row r="77" spans="1:13" s="10" customFormat="1" x14ac:dyDescent="0.4">
      <c r="A77" s="125" t="s">
        <v>1182</v>
      </c>
      <c r="B77" s="125" t="s">
        <v>1183</v>
      </c>
      <c r="C77" s="78">
        <v>-19600</v>
      </c>
      <c r="D77" s="78"/>
      <c r="E77" s="78"/>
      <c r="F77" s="78"/>
      <c r="G77" s="79">
        <f t="shared" si="2"/>
        <v>-19600</v>
      </c>
      <c r="H77" s="78" t="s">
        <v>292</v>
      </c>
      <c r="I77" s="79">
        <f t="shared" si="3"/>
        <v>-19600</v>
      </c>
      <c r="J77" s="78"/>
      <c r="K77" s="78"/>
      <c r="L77" s="78"/>
      <c r="M77" s="78"/>
    </row>
    <row r="78" spans="1:13" s="10" customFormat="1" x14ac:dyDescent="0.4">
      <c r="A78" s="126" t="s">
        <v>1184</v>
      </c>
      <c r="B78" s="12" t="s">
        <v>1185</v>
      </c>
      <c r="C78" s="78">
        <v>0</v>
      </c>
      <c r="D78" s="78"/>
      <c r="E78" s="78"/>
      <c r="F78" s="78"/>
      <c r="G78" s="79">
        <f t="shared" si="2"/>
        <v>0</v>
      </c>
      <c r="H78" s="78" t="s">
        <v>299</v>
      </c>
      <c r="I78" s="79">
        <f t="shared" si="3"/>
        <v>0</v>
      </c>
      <c r="J78" s="78"/>
      <c r="K78" s="78"/>
      <c r="L78" s="78"/>
      <c r="M78" s="78"/>
    </row>
    <row r="79" spans="1:13" s="10" customFormat="1" x14ac:dyDescent="0.4">
      <c r="A79" s="126" t="s">
        <v>1186</v>
      </c>
      <c r="B79" s="12" t="s">
        <v>252</v>
      </c>
      <c r="C79" s="78">
        <v>-1077.3399999999999</v>
      </c>
      <c r="D79" s="78"/>
      <c r="E79" s="78"/>
      <c r="F79" s="78"/>
      <c r="G79" s="79">
        <f t="shared" si="2"/>
        <v>-1077.3399999999999</v>
      </c>
      <c r="H79" s="78" t="s">
        <v>292</v>
      </c>
      <c r="I79" s="79">
        <f t="shared" si="3"/>
        <v>-1077.3399999999999</v>
      </c>
      <c r="J79" s="78"/>
      <c r="K79" s="78"/>
      <c r="L79" s="78"/>
      <c r="M79" s="78"/>
    </row>
    <row r="80" spans="1:13" s="10" customFormat="1" x14ac:dyDescent="0.4">
      <c r="A80" s="126" t="s">
        <v>1187</v>
      </c>
      <c r="B80" s="12" t="s">
        <v>1188</v>
      </c>
      <c r="C80" s="78">
        <v>-10300</v>
      </c>
      <c r="D80" s="78"/>
      <c r="E80" s="78"/>
      <c r="F80" s="78"/>
      <c r="G80" s="79">
        <f t="shared" si="2"/>
        <v>-10300</v>
      </c>
      <c r="H80" s="78" t="s">
        <v>292</v>
      </c>
      <c r="I80" s="79">
        <f t="shared" si="3"/>
        <v>-10300</v>
      </c>
      <c r="J80" s="78"/>
      <c r="K80" s="78"/>
      <c r="L80" s="78"/>
      <c r="M80" s="78"/>
    </row>
    <row r="81" spans="1:13" s="10" customFormat="1" x14ac:dyDescent="0.4">
      <c r="A81" s="126" t="s">
        <v>1189</v>
      </c>
      <c r="B81" s="12" t="s">
        <v>220</v>
      </c>
      <c r="C81" s="78">
        <v>-68.28</v>
      </c>
      <c r="D81" s="78"/>
      <c r="E81" s="78"/>
      <c r="F81" s="78"/>
      <c r="G81" s="79">
        <f t="shared" si="2"/>
        <v>-68.28</v>
      </c>
      <c r="H81" s="78" t="s">
        <v>292</v>
      </c>
      <c r="I81" s="79">
        <f t="shared" si="3"/>
        <v>-68.28</v>
      </c>
      <c r="J81" s="78"/>
      <c r="K81" s="78"/>
      <c r="L81" s="78"/>
      <c r="M81" s="78"/>
    </row>
    <row r="82" spans="1:13" s="10" customFormat="1" x14ac:dyDescent="0.4">
      <c r="A82" s="126" t="s">
        <v>1190</v>
      </c>
      <c r="B82" s="12" t="s">
        <v>1191</v>
      </c>
      <c r="C82" s="78">
        <v>-51</v>
      </c>
      <c r="D82" s="78"/>
      <c r="E82" s="78"/>
      <c r="F82" s="78"/>
      <c r="G82" s="79">
        <f t="shared" si="2"/>
        <v>-51</v>
      </c>
      <c r="H82" s="78" t="s">
        <v>292</v>
      </c>
      <c r="I82" s="79">
        <f t="shared" si="3"/>
        <v>-51</v>
      </c>
      <c r="J82" s="78"/>
      <c r="K82" s="78"/>
      <c r="L82" s="78"/>
      <c r="M82" s="78"/>
    </row>
    <row r="83" spans="1:13" s="10" customFormat="1" x14ac:dyDescent="0.4">
      <c r="A83" s="126" t="s">
        <v>1192</v>
      </c>
      <c r="B83" s="12" t="s">
        <v>1193</v>
      </c>
      <c r="C83" s="78">
        <v>-1079.28</v>
      </c>
      <c r="D83" s="78"/>
      <c r="E83" s="78"/>
      <c r="F83" s="78"/>
      <c r="G83" s="79">
        <f t="shared" si="2"/>
        <v>-1079.28</v>
      </c>
      <c r="H83" s="78" t="s">
        <v>292</v>
      </c>
      <c r="I83" s="79">
        <f t="shared" si="3"/>
        <v>-1079.28</v>
      </c>
      <c r="J83" s="78"/>
      <c r="K83" s="78"/>
      <c r="L83" s="78"/>
      <c r="M83" s="78"/>
    </row>
    <row r="84" spans="1:13" s="10" customFormat="1" x14ac:dyDescent="0.4">
      <c r="A84" s="126" t="s">
        <v>1194</v>
      </c>
      <c r="B84" s="12" t="s">
        <v>1195</v>
      </c>
      <c r="C84" s="78">
        <v>-16060.17</v>
      </c>
      <c r="D84" s="78"/>
      <c r="E84" s="78"/>
      <c r="F84" s="78"/>
      <c r="G84" s="79">
        <f t="shared" si="2"/>
        <v>-16060.17</v>
      </c>
      <c r="H84" s="78" t="s">
        <v>292</v>
      </c>
      <c r="I84" s="79">
        <f t="shared" si="3"/>
        <v>-16060.17</v>
      </c>
      <c r="J84" s="78"/>
      <c r="K84" s="78"/>
      <c r="L84" s="78"/>
      <c r="M84" s="78"/>
    </row>
    <row r="85" spans="1:13" s="10" customFormat="1" x14ac:dyDescent="0.4">
      <c r="A85" s="126" t="s">
        <v>1196</v>
      </c>
      <c r="B85" s="12" t="s">
        <v>1197</v>
      </c>
      <c r="C85" s="78">
        <v>-1586.51</v>
      </c>
      <c r="D85" s="78"/>
      <c r="E85" s="78"/>
      <c r="F85" s="78"/>
      <c r="G85" s="79">
        <f t="shared" si="2"/>
        <v>-1586.51</v>
      </c>
      <c r="H85" s="78" t="s">
        <v>292</v>
      </c>
      <c r="I85" s="79">
        <f t="shared" si="3"/>
        <v>-1586.51</v>
      </c>
      <c r="J85" s="78"/>
      <c r="K85" s="78"/>
      <c r="L85" s="78"/>
      <c r="M85" s="78"/>
    </row>
    <row r="86" spans="1:13" s="10" customFormat="1" x14ac:dyDescent="0.4">
      <c r="A86" s="126" t="s">
        <v>1198</v>
      </c>
      <c r="B86" s="12" t="s">
        <v>1199</v>
      </c>
      <c r="C86" s="78">
        <v>-127.5</v>
      </c>
      <c r="D86" s="78"/>
      <c r="E86" s="78"/>
      <c r="F86" s="78"/>
      <c r="G86" s="79">
        <f t="shared" si="2"/>
        <v>-127.5</v>
      </c>
      <c r="H86" s="78" t="s">
        <v>292</v>
      </c>
      <c r="I86" s="79">
        <f t="shared" si="3"/>
        <v>-127.5</v>
      </c>
      <c r="J86" s="78"/>
      <c r="K86" s="78"/>
      <c r="L86" s="78"/>
      <c r="M86" s="78"/>
    </row>
    <row r="87" spans="1:13" s="10" customFormat="1" x14ac:dyDescent="0.4">
      <c r="A87" s="126" t="s">
        <v>1200</v>
      </c>
      <c r="B87" s="12" t="s">
        <v>1201</v>
      </c>
      <c r="C87" s="78">
        <v>-1058</v>
      </c>
      <c r="D87" s="78"/>
      <c r="E87" s="78"/>
      <c r="F87" s="78"/>
      <c r="G87" s="79">
        <f t="shared" si="2"/>
        <v>-1058</v>
      </c>
      <c r="H87" s="78" t="s">
        <v>292</v>
      </c>
      <c r="I87" s="79">
        <f t="shared" si="3"/>
        <v>-1058</v>
      </c>
      <c r="J87" s="78"/>
      <c r="K87" s="78"/>
      <c r="L87" s="78"/>
      <c r="M87" s="78"/>
    </row>
    <row r="88" spans="1:13" s="10" customFormat="1" x14ac:dyDescent="0.4">
      <c r="A88" s="126" t="s">
        <v>1202</v>
      </c>
      <c r="B88" s="12" t="s">
        <v>1203</v>
      </c>
      <c r="C88" s="78">
        <v>-1707.63</v>
      </c>
      <c r="D88" s="78"/>
      <c r="E88" s="78"/>
      <c r="F88" s="78"/>
      <c r="G88" s="79">
        <f t="shared" si="2"/>
        <v>-1707.63</v>
      </c>
      <c r="H88" s="78" t="s">
        <v>292</v>
      </c>
      <c r="I88" s="79">
        <f t="shared" si="3"/>
        <v>-1707.63</v>
      </c>
      <c r="J88" s="78"/>
      <c r="K88" s="78"/>
      <c r="L88" s="78"/>
      <c r="M88" s="78"/>
    </row>
    <row r="89" spans="1:13" s="10" customFormat="1" x14ac:dyDescent="0.4">
      <c r="A89" s="126" t="s">
        <v>1204</v>
      </c>
      <c r="B89" s="12" t="s">
        <v>1205</v>
      </c>
      <c r="C89" s="78">
        <v>-220.14</v>
      </c>
      <c r="D89" s="78"/>
      <c r="E89" s="78"/>
      <c r="F89" s="78"/>
      <c r="G89" s="79">
        <f t="shared" si="2"/>
        <v>-220.14</v>
      </c>
      <c r="H89" s="78" t="s">
        <v>292</v>
      </c>
      <c r="I89" s="79">
        <f t="shared" si="3"/>
        <v>-220.14</v>
      </c>
      <c r="J89" s="78"/>
      <c r="K89" s="78"/>
      <c r="L89" s="78"/>
      <c r="M89" s="78"/>
    </row>
    <row r="90" spans="1:13" s="10" customFormat="1" x14ac:dyDescent="0.4">
      <c r="A90" s="126" t="s">
        <v>1206</v>
      </c>
      <c r="B90" s="12" t="s">
        <v>1207</v>
      </c>
      <c r="C90" s="78">
        <v>-1341.3</v>
      </c>
      <c r="D90" s="78"/>
      <c r="E90" s="78"/>
      <c r="F90" s="78"/>
      <c r="G90" s="79">
        <f t="shared" si="2"/>
        <v>-1341.3</v>
      </c>
      <c r="H90" s="78" t="s">
        <v>292</v>
      </c>
      <c r="I90" s="79">
        <f t="shared" si="3"/>
        <v>-1341.3</v>
      </c>
      <c r="J90" s="78"/>
      <c r="K90" s="78"/>
      <c r="L90" s="78"/>
      <c r="M90" s="78"/>
    </row>
    <row r="91" spans="1:13" s="10" customFormat="1" x14ac:dyDescent="0.4">
      <c r="A91" s="126" t="s">
        <v>1208</v>
      </c>
      <c r="B91" s="12" t="s">
        <v>1209</v>
      </c>
      <c r="C91" s="78">
        <v>-14325</v>
      </c>
      <c r="D91" s="78"/>
      <c r="E91" s="78"/>
      <c r="F91" s="78"/>
      <c r="G91" s="79">
        <f t="shared" si="2"/>
        <v>-14325</v>
      </c>
      <c r="H91" s="78" t="s">
        <v>292</v>
      </c>
      <c r="I91" s="79">
        <f t="shared" si="3"/>
        <v>-14325</v>
      </c>
      <c r="J91" s="78"/>
      <c r="K91" s="78"/>
      <c r="L91" s="78"/>
      <c r="M91" s="78"/>
    </row>
    <row r="92" spans="1:13" s="10" customFormat="1" x14ac:dyDescent="0.4">
      <c r="A92" s="126" t="s">
        <v>1210</v>
      </c>
      <c r="B92" s="12" t="s">
        <v>1211</v>
      </c>
      <c r="C92" s="82">
        <v>0</v>
      </c>
      <c r="D92" s="78"/>
      <c r="E92" s="78"/>
      <c r="F92" s="78"/>
      <c r="G92" s="79">
        <f t="shared" si="2"/>
        <v>0</v>
      </c>
      <c r="H92" s="78" t="s">
        <v>862</v>
      </c>
      <c r="I92" s="79">
        <f t="shared" si="3"/>
        <v>0</v>
      </c>
      <c r="J92" s="78"/>
      <c r="K92" s="78"/>
      <c r="L92" s="78"/>
      <c r="M92" s="78"/>
    </row>
    <row r="93" spans="1:13" s="10" customFormat="1" x14ac:dyDescent="0.4">
      <c r="A93" s="126" t="s">
        <v>1212</v>
      </c>
      <c r="B93" s="12" t="s">
        <v>161</v>
      </c>
      <c r="C93" s="82">
        <v>0</v>
      </c>
      <c r="D93" s="78"/>
      <c r="E93" s="78"/>
      <c r="F93" s="78"/>
      <c r="G93" s="79">
        <f t="shared" si="2"/>
        <v>0</v>
      </c>
      <c r="H93" s="78" t="s">
        <v>287</v>
      </c>
      <c r="I93" s="79">
        <f t="shared" si="3"/>
        <v>0</v>
      </c>
      <c r="J93" s="78"/>
      <c r="K93" s="78"/>
      <c r="L93" s="78"/>
      <c r="M93" s="78"/>
    </row>
    <row r="94" spans="1:13" s="10" customFormat="1" x14ac:dyDescent="0.4">
      <c r="A94" s="126" t="s">
        <v>1213</v>
      </c>
      <c r="B94" s="12" t="s">
        <v>900</v>
      </c>
      <c r="C94" s="82">
        <v>0</v>
      </c>
      <c r="D94" s="78"/>
      <c r="E94" s="78"/>
      <c r="F94" s="78"/>
      <c r="G94" s="79">
        <f t="shared" si="2"/>
        <v>0</v>
      </c>
      <c r="H94" s="78" t="s">
        <v>287</v>
      </c>
      <c r="I94" s="79">
        <f t="shared" si="3"/>
        <v>0</v>
      </c>
      <c r="J94" s="78"/>
      <c r="K94" s="78"/>
      <c r="L94" s="78"/>
      <c r="M94" s="78"/>
    </row>
    <row r="95" spans="1:13" s="10" customFormat="1" x14ac:dyDescent="0.4">
      <c r="A95" s="126" t="s">
        <v>1214</v>
      </c>
      <c r="B95" s="12" t="s">
        <v>1215</v>
      </c>
      <c r="C95" s="78">
        <v>0</v>
      </c>
      <c r="D95" s="78"/>
      <c r="E95" s="78"/>
      <c r="F95" s="78"/>
      <c r="G95" s="79">
        <f t="shared" si="2"/>
        <v>0</v>
      </c>
      <c r="H95" s="78" t="s">
        <v>862</v>
      </c>
      <c r="I95" s="79">
        <f t="shared" si="3"/>
        <v>0</v>
      </c>
      <c r="J95" s="78"/>
      <c r="K95" s="78"/>
      <c r="L95" s="78"/>
      <c r="M95" s="78"/>
    </row>
    <row r="96" spans="1:13" s="10" customFormat="1" x14ac:dyDescent="0.4">
      <c r="A96" s="126" t="s">
        <v>1216</v>
      </c>
      <c r="B96" s="12" t="s">
        <v>1217</v>
      </c>
      <c r="C96" s="78">
        <v>0</v>
      </c>
      <c r="D96" s="78"/>
      <c r="E96" s="78"/>
      <c r="F96" s="78"/>
      <c r="G96" s="79">
        <f t="shared" si="2"/>
        <v>0</v>
      </c>
      <c r="H96" s="78" t="s">
        <v>862</v>
      </c>
      <c r="I96" s="79">
        <f t="shared" si="3"/>
        <v>0</v>
      </c>
      <c r="J96" s="78"/>
      <c r="K96" s="78"/>
      <c r="L96" s="78"/>
      <c r="M96" s="78"/>
    </row>
    <row r="97" spans="1:13" s="10" customFormat="1" x14ac:dyDescent="0.4">
      <c r="A97" s="126" t="s">
        <v>1218</v>
      </c>
      <c r="B97" s="12" t="s">
        <v>1219</v>
      </c>
      <c r="C97" s="78">
        <v>-422.27</v>
      </c>
      <c r="D97" s="78"/>
      <c r="E97" s="78"/>
      <c r="F97" s="78"/>
      <c r="G97" s="79">
        <f t="shared" si="2"/>
        <v>-422.27</v>
      </c>
      <c r="H97" s="78" t="s">
        <v>292</v>
      </c>
      <c r="I97" s="79">
        <f t="shared" si="3"/>
        <v>-422.27</v>
      </c>
      <c r="J97" s="78"/>
      <c r="K97" s="78"/>
      <c r="L97" s="78"/>
      <c r="M97" s="78"/>
    </row>
    <row r="98" spans="1:13" s="10" customFormat="1" x14ac:dyDescent="0.4">
      <c r="A98" s="126" t="s">
        <v>1220</v>
      </c>
      <c r="B98" s="12" t="s">
        <v>1221</v>
      </c>
      <c r="C98" s="78">
        <v>0</v>
      </c>
      <c r="D98" s="78"/>
      <c r="E98" s="78"/>
      <c r="F98" s="78"/>
      <c r="G98" s="79">
        <f t="shared" si="2"/>
        <v>0</v>
      </c>
      <c r="H98" s="78" t="s">
        <v>292</v>
      </c>
      <c r="I98" s="79">
        <f t="shared" si="3"/>
        <v>0</v>
      </c>
      <c r="J98" s="78"/>
      <c r="K98" s="78"/>
      <c r="L98" s="78"/>
      <c r="M98" s="78"/>
    </row>
    <row r="99" spans="1:13" s="10" customFormat="1" x14ac:dyDescent="0.4">
      <c r="A99" s="126" t="s">
        <v>1222</v>
      </c>
      <c r="B99" s="12" t="s">
        <v>1223</v>
      </c>
      <c r="C99" s="78">
        <v>-77388.39</v>
      </c>
      <c r="D99" s="78"/>
      <c r="E99" s="78"/>
      <c r="F99" s="78"/>
      <c r="G99" s="79">
        <f t="shared" si="2"/>
        <v>-77388.39</v>
      </c>
      <c r="H99" s="78" t="s">
        <v>289</v>
      </c>
      <c r="I99" s="79">
        <f t="shared" si="3"/>
        <v>-77388.39</v>
      </c>
      <c r="J99" s="78"/>
      <c r="K99" s="78"/>
      <c r="L99" s="78"/>
      <c r="M99" s="78"/>
    </row>
    <row r="100" spans="1:13" s="10" customFormat="1" x14ac:dyDescent="0.4">
      <c r="A100" s="126" t="s">
        <v>1224</v>
      </c>
      <c r="B100" s="12" t="s">
        <v>1225</v>
      </c>
      <c r="C100" s="78">
        <v>0</v>
      </c>
      <c r="D100" s="78"/>
      <c r="E100" s="78"/>
      <c r="F100" s="78"/>
      <c r="G100" s="79">
        <f t="shared" si="2"/>
        <v>0</v>
      </c>
      <c r="H100" s="78" t="s">
        <v>292</v>
      </c>
      <c r="I100" s="79">
        <f t="shared" si="3"/>
        <v>0</v>
      </c>
      <c r="J100" s="78"/>
      <c r="K100" s="78"/>
      <c r="L100" s="78"/>
      <c r="M100" s="78"/>
    </row>
    <row r="101" spans="1:13" s="10" customFormat="1" x14ac:dyDescent="0.4">
      <c r="A101" s="126" t="s">
        <v>1226</v>
      </c>
      <c r="B101" s="12" t="s">
        <v>1227</v>
      </c>
      <c r="C101" s="78">
        <v>-7250</v>
      </c>
      <c r="D101" s="78"/>
      <c r="E101" s="78"/>
      <c r="F101" s="78"/>
      <c r="G101" s="79">
        <f t="shared" si="2"/>
        <v>-7250</v>
      </c>
      <c r="H101" s="78" t="s">
        <v>299</v>
      </c>
      <c r="I101" s="79">
        <f t="shared" si="3"/>
        <v>-7250</v>
      </c>
      <c r="J101" s="78"/>
      <c r="K101" s="78"/>
      <c r="L101" s="78"/>
      <c r="M101" s="78"/>
    </row>
    <row r="102" spans="1:13" s="10" customFormat="1" x14ac:dyDescent="0.4">
      <c r="A102" s="126" t="s">
        <v>1228</v>
      </c>
      <c r="B102" s="12" t="s">
        <v>1229</v>
      </c>
      <c r="C102" s="78">
        <v>0</v>
      </c>
      <c r="D102" s="78"/>
      <c r="E102" s="78"/>
      <c r="F102" s="78"/>
      <c r="G102" s="79">
        <f t="shared" si="2"/>
        <v>0</v>
      </c>
      <c r="H102" s="78" t="s">
        <v>299</v>
      </c>
      <c r="I102" s="79">
        <f t="shared" si="3"/>
        <v>0</v>
      </c>
      <c r="J102" s="78"/>
      <c r="K102" s="78"/>
      <c r="L102" s="78"/>
      <c r="M102" s="78"/>
    </row>
    <row r="103" spans="1:13" s="10" customFormat="1" x14ac:dyDescent="0.4">
      <c r="A103" s="126" t="s">
        <v>1230</v>
      </c>
      <c r="B103" s="12" t="s">
        <v>1231</v>
      </c>
      <c r="C103" s="78">
        <v>0</v>
      </c>
      <c r="D103" s="78"/>
      <c r="E103" s="78"/>
      <c r="F103" s="78"/>
      <c r="G103" s="79">
        <f t="shared" si="2"/>
        <v>0</v>
      </c>
      <c r="H103" s="78" t="s">
        <v>299</v>
      </c>
      <c r="I103" s="79">
        <f>G103*1</f>
        <v>0</v>
      </c>
      <c r="J103" s="78"/>
      <c r="K103" s="78"/>
      <c r="L103" s="78"/>
      <c r="M103" s="78"/>
    </row>
    <row r="104" spans="1:13" x14ac:dyDescent="0.4">
      <c r="C104" s="20">
        <f>SUM(C6:C103)</f>
        <v>194673.45</v>
      </c>
      <c r="D104" s="20">
        <f>SUM(D6:D103)</f>
        <v>0</v>
      </c>
      <c r="E104" s="20">
        <f>SUM(E6:E103)</f>
        <v>0</v>
      </c>
      <c r="F104" s="20">
        <f>SUM(F6:F103)</f>
        <v>0</v>
      </c>
      <c r="G104" s="20">
        <f>SUM(G6:G103)</f>
        <v>194673.45</v>
      </c>
      <c r="H104" s="84"/>
      <c r="I104" s="20">
        <f>SUM(I6:I103)</f>
        <v>194673.45</v>
      </c>
      <c r="J104" s="78"/>
      <c r="K104" s="21"/>
      <c r="L104" s="21"/>
      <c r="M104" s="21"/>
    </row>
    <row r="105" spans="1:13" x14ac:dyDescent="0.4">
      <c r="C105" s="14"/>
      <c r="K105" s="21"/>
      <c r="L105" s="21"/>
      <c r="M105" s="21"/>
    </row>
    <row r="106" spans="1:13" x14ac:dyDescent="0.4">
      <c r="K106" s="21"/>
      <c r="L106" s="21"/>
      <c r="M106" s="21"/>
    </row>
    <row r="107" spans="1:13" x14ac:dyDescent="0.4">
      <c r="C107" s="14"/>
      <c r="K107" s="21"/>
      <c r="L107" s="21"/>
      <c r="M107" s="21"/>
    </row>
    <row r="108" spans="1:13" x14ac:dyDescent="0.4">
      <c r="C108" s="14"/>
      <c r="I108" s="67"/>
      <c r="K108" s="21"/>
      <c r="L108" s="21"/>
      <c r="M108" s="21"/>
    </row>
    <row r="109" spans="1:13" x14ac:dyDescent="0.4">
      <c r="B109" s="21"/>
      <c r="C109" s="14"/>
      <c r="K109" s="21"/>
      <c r="L109" s="21"/>
      <c r="M109" s="21"/>
    </row>
    <row r="110" spans="1:13" x14ac:dyDescent="0.4">
      <c r="B110" s="21"/>
      <c r="C110" s="14"/>
      <c r="K110" s="21"/>
      <c r="L110" s="21"/>
      <c r="M110" s="21"/>
    </row>
    <row r="111" spans="1:13" x14ac:dyDescent="0.4">
      <c r="B111" s="21"/>
      <c r="C111" s="14" t="s">
        <v>261</v>
      </c>
      <c r="K111" s="21"/>
      <c r="L111" s="21"/>
      <c r="M111" s="21"/>
    </row>
    <row r="112" spans="1:13" x14ac:dyDescent="0.4">
      <c r="B112" s="21"/>
      <c r="C112" s="14"/>
      <c r="K112" s="21"/>
      <c r="L112" s="21"/>
      <c r="M112" s="21"/>
    </row>
    <row r="113" spans="2:13" x14ac:dyDescent="0.4">
      <c r="B113" s="21"/>
      <c r="C113" s="14"/>
      <c r="K113" s="21"/>
      <c r="L113" s="21"/>
      <c r="M113" s="21"/>
    </row>
    <row r="114" spans="2:13" x14ac:dyDescent="0.4">
      <c r="B114" s="21"/>
      <c r="C114" s="14"/>
      <c r="K114" s="21"/>
      <c r="L114" s="21"/>
      <c r="M114" s="21"/>
    </row>
    <row r="115" spans="2:13" x14ac:dyDescent="0.4">
      <c r="B115" s="21"/>
      <c r="K115" s="21"/>
      <c r="L115" s="21"/>
      <c r="M115" s="21"/>
    </row>
    <row r="116" spans="2:13" x14ac:dyDescent="0.4">
      <c r="B116" s="21"/>
    </row>
    <row r="117" spans="2:13" x14ac:dyDescent="0.4">
      <c r="B117" s="21"/>
    </row>
    <row r="118" spans="2:13" x14ac:dyDescent="0.4">
      <c r="B118" s="21"/>
    </row>
    <row r="142" spans="2:30" x14ac:dyDescent="0.4">
      <c r="J142" s="30" t="s">
        <v>707</v>
      </c>
      <c r="K142" s="30" t="s">
        <v>708</v>
      </c>
      <c r="L142" s="30" t="s">
        <v>709</v>
      </c>
      <c r="M142" s="30" t="s">
        <v>710</v>
      </c>
    </row>
    <row r="143" spans="2:30" x14ac:dyDescent="0.4">
      <c r="B143" s="28"/>
      <c r="J143" s="30">
        <v>212371</v>
      </c>
      <c r="K143" s="30">
        <v>247184</v>
      </c>
      <c r="L143" s="30">
        <v>265676</v>
      </c>
      <c r="M143" s="30">
        <v>263276.2</v>
      </c>
    </row>
    <row r="144" spans="2:30" x14ac:dyDescent="0.4">
      <c r="B144" s="87"/>
      <c r="C144" s="29"/>
      <c r="D144" s="30" t="s">
        <v>701</v>
      </c>
      <c r="E144" s="30" t="s">
        <v>702</v>
      </c>
      <c r="F144" s="30" t="s">
        <v>703</v>
      </c>
      <c r="G144" s="30" t="s">
        <v>704</v>
      </c>
      <c r="H144" s="37" t="s">
        <v>705</v>
      </c>
      <c r="I144" s="30" t="s">
        <v>706</v>
      </c>
      <c r="J144" s="30" t="s">
        <v>707</v>
      </c>
      <c r="K144" s="30" t="s">
        <v>708</v>
      </c>
      <c r="L144" s="30" t="s">
        <v>709</v>
      </c>
      <c r="M144" s="30" t="s">
        <v>710</v>
      </c>
      <c r="N144" s="30" t="s">
        <v>711</v>
      </c>
      <c r="O144" s="21" t="s">
        <v>700</v>
      </c>
      <c r="P144" s="21" t="s">
        <v>701</v>
      </c>
      <c r="Q144" s="21" t="s">
        <v>702</v>
      </c>
      <c r="R144" s="21" t="s">
        <v>703</v>
      </c>
      <c r="S144" s="21" t="s">
        <v>704</v>
      </c>
      <c r="T144" s="21" t="s">
        <v>705</v>
      </c>
      <c r="U144" s="21" t="s">
        <v>706</v>
      </c>
      <c r="V144" s="21" t="s">
        <v>715</v>
      </c>
      <c r="W144" s="21" t="s">
        <v>716</v>
      </c>
      <c r="X144" s="21" t="s">
        <v>709</v>
      </c>
      <c r="Y144" s="30" t="s">
        <v>712</v>
      </c>
      <c r="Z144" s="30"/>
      <c r="AA144" s="30"/>
      <c r="AB144" s="30"/>
      <c r="AC144" s="30"/>
      <c r="AD144" s="30"/>
    </row>
    <row r="145" spans="2:30" x14ac:dyDescent="0.4">
      <c r="B145" s="30" t="s">
        <v>713</v>
      </c>
      <c r="C145" s="29"/>
      <c r="D145" s="30">
        <v>233927.89</v>
      </c>
      <c r="E145" s="30">
        <v>217481.67</v>
      </c>
      <c r="F145" s="30">
        <v>240549.07</v>
      </c>
      <c r="G145" s="30">
        <v>255680.67</v>
      </c>
      <c r="H145" s="37">
        <v>207546</v>
      </c>
      <c r="I145" s="30">
        <v>238398</v>
      </c>
      <c r="J145" s="30">
        <v>212371</v>
      </c>
      <c r="K145" s="30">
        <v>247184</v>
      </c>
      <c r="L145" s="30">
        <v>265676</v>
      </c>
      <c r="M145" s="30">
        <v>263276.2</v>
      </c>
      <c r="N145" s="30">
        <v>270668.07</v>
      </c>
      <c r="O145" s="21">
        <v>284480.28000000003</v>
      </c>
      <c r="P145" s="13">
        <v>256092.42</v>
      </c>
      <c r="Q145" s="21">
        <v>273351.88</v>
      </c>
      <c r="R145" s="13">
        <v>260765.15</v>
      </c>
      <c r="S145" s="13">
        <v>261033.22</v>
      </c>
      <c r="T145" s="13">
        <v>250493.72</v>
      </c>
      <c r="U145" s="13">
        <v>257882.58</v>
      </c>
      <c r="V145" s="13">
        <v>263923.92</v>
      </c>
      <c r="W145" s="13">
        <v>267259.81</v>
      </c>
      <c r="X145" s="13"/>
      <c r="Y145" s="29">
        <f>SUM(L145:W145)*3</f>
        <v>9524710</v>
      </c>
      <c r="Z145" s="30"/>
      <c r="AA145" s="30"/>
      <c r="AB145" s="30"/>
      <c r="AC145" s="30"/>
      <c r="AD145" s="30"/>
    </row>
    <row r="146" spans="2:30" x14ac:dyDescent="0.4">
      <c r="B146" s="30"/>
      <c r="C146" s="29"/>
      <c r="D146" s="31"/>
      <c r="E146" s="30"/>
      <c r="F146" s="30"/>
      <c r="G146" s="30"/>
      <c r="H146" s="37"/>
      <c r="I146" s="30"/>
      <c r="J146" s="30"/>
      <c r="K146" s="30"/>
      <c r="L146" s="30"/>
      <c r="M146" s="30"/>
      <c r="N146" s="30"/>
      <c r="Y146" s="30" t="s">
        <v>714</v>
      </c>
      <c r="Z146" s="30"/>
      <c r="AA146" s="30"/>
      <c r="AB146" s="30"/>
      <c r="AC146" s="30"/>
      <c r="AD146" s="30"/>
    </row>
    <row r="147" spans="2:30" x14ac:dyDescent="0.4">
      <c r="B147" s="30"/>
      <c r="C147" s="29"/>
      <c r="D147" s="31"/>
      <c r="E147" s="30"/>
      <c r="F147" s="30"/>
      <c r="G147" s="30"/>
      <c r="H147" s="37"/>
      <c r="I147" s="30"/>
      <c r="J147" s="30"/>
      <c r="K147" s="30"/>
      <c r="L147" s="30"/>
      <c r="M147" s="30"/>
      <c r="N147" s="30"/>
      <c r="Y147" s="32">
        <v>6468722.4400000004</v>
      </c>
      <c r="Z147" s="30"/>
      <c r="AA147" s="30"/>
      <c r="AB147" s="30"/>
      <c r="AC147" s="30"/>
      <c r="AD147" s="30"/>
    </row>
    <row r="148" spans="2:30" x14ac:dyDescent="0.4">
      <c r="B148" s="30"/>
      <c r="C148" s="29"/>
      <c r="D148" s="31"/>
      <c r="E148" s="33"/>
      <c r="F148" s="30"/>
      <c r="G148" s="30"/>
      <c r="H148" s="37"/>
      <c r="I148" s="30"/>
      <c r="J148" s="30"/>
      <c r="K148" s="30"/>
      <c r="L148" s="30"/>
      <c r="M148" s="30"/>
      <c r="N148" s="30"/>
      <c r="Y148" s="29">
        <f>Y145-Y147</f>
        <v>3055988</v>
      </c>
      <c r="Z148" s="30"/>
      <c r="AA148" s="30"/>
      <c r="AB148" s="30"/>
      <c r="AC148" s="30"/>
      <c r="AD148" s="30"/>
    </row>
    <row r="149" spans="2:30" x14ac:dyDescent="0.4">
      <c r="B149" s="30"/>
      <c r="C149" s="29"/>
      <c r="D149" s="34"/>
      <c r="E149" s="30"/>
      <c r="F149" s="30"/>
      <c r="G149" s="30"/>
      <c r="H149" s="37"/>
      <c r="I149" s="30"/>
      <c r="J149" s="30"/>
      <c r="K149" s="30"/>
      <c r="L149" s="30"/>
      <c r="M149" s="30"/>
      <c r="N149" s="30"/>
      <c r="O149" s="35"/>
      <c r="P149" s="35"/>
      <c r="Y149" s="30"/>
      <c r="Z149" s="30"/>
      <c r="AA149" s="30"/>
      <c r="AB149" s="30"/>
      <c r="AC149" s="30"/>
      <c r="AD149" s="30"/>
    </row>
    <row r="150" spans="2:30" x14ac:dyDescent="0.4">
      <c r="B150" s="30"/>
      <c r="C150" s="29"/>
      <c r="D150" s="30" t="s">
        <v>701</v>
      </c>
      <c r="E150" s="30" t="s">
        <v>702</v>
      </c>
      <c r="F150" s="30" t="s">
        <v>703</v>
      </c>
      <c r="G150" s="30" t="s">
        <v>704</v>
      </c>
      <c r="H150" s="37" t="s">
        <v>705</v>
      </c>
      <c r="I150" s="30" t="s">
        <v>706</v>
      </c>
      <c r="J150" s="30" t="s">
        <v>715</v>
      </c>
      <c r="K150" s="30" t="s">
        <v>716</v>
      </c>
      <c r="L150" s="30" t="s">
        <v>709</v>
      </c>
      <c r="M150" s="30" t="s">
        <v>710</v>
      </c>
      <c r="N150" s="30" t="s">
        <v>711</v>
      </c>
      <c r="O150" s="30" t="s">
        <v>700</v>
      </c>
      <c r="P150" s="30" t="s">
        <v>701</v>
      </c>
      <c r="Q150" s="21" t="s">
        <v>702</v>
      </c>
      <c r="R150" s="21" t="s">
        <v>703</v>
      </c>
      <c r="S150" s="21" t="s">
        <v>704</v>
      </c>
      <c r="T150" s="21" t="s">
        <v>705</v>
      </c>
      <c r="U150" s="21" t="s">
        <v>706</v>
      </c>
      <c r="V150" s="21" t="s">
        <v>707</v>
      </c>
      <c r="W150" s="21" t="s">
        <v>708</v>
      </c>
      <c r="X150" s="21" t="s">
        <v>709</v>
      </c>
      <c r="Y150" s="30" t="s">
        <v>717</v>
      </c>
      <c r="AA150" s="30"/>
      <c r="AB150" s="30"/>
      <c r="AC150" s="30"/>
      <c r="AD150" s="30"/>
    </row>
    <row r="151" spans="2:30" x14ac:dyDescent="0.4">
      <c r="B151" s="30" t="s">
        <v>718</v>
      </c>
      <c r="C151" s="29"/>
      <c r="D151" s="30">
        <v>60440.39</v>
      </c>
      <c r="E151" s="30">
        <v>39141.51</v>
      </c>
      <c r="F151" s="29">
        <v>67971</v>
      </c>
      <c r="G151" s="30">
        <v>54755.3</v>
      </c>
      <c r="H151" s="37">
        <v>31496</v>
      </c>
      <c r="I151" s="30">
        <v>62767</v>
      </c>
      <c r="J151" s="30">
        <v>33838.03</v>
      </c>
      <c r="K151" s="30">
        <v>66228</v>
      </c>
      <c r="L151" s="30">
        <v>83479.350000000006</v>
      </c>
      <c r="M151" s="35">
        <v>79100</v>
      </c>
      <c r="N151" s="36">
        <v>85044.77</v>
      </c>
      <c r="O151" s="30">
        <v>94675.23</v>
      </c>
      <c r="P151" s="92">
        <v>65985.88</v>
      </c>
      <c r="Q151" s="21">
        <v>82808.31</v>
      </c>
      <c r="R151" s="21">
        <v>65715.92</v>
      </c>
      <c r="S151" s="13">
        <v>65651.42</v>
      </c>
      <c r="T151" s="13" t="e">
        <v>#REF!</v>
      </c>
      <c r="U151" s="13" t="e">
        <v>#REF!</v>
      </c>
      <c r="V151" s="13" t="e">
        <v>#REF!</v>
      </c>
      <c r="W151" s="38">
        <v>100577.01</v>
      </c>
      <c r="X151" s="38">
        <v>84495.679999999993</v>
      </c>
      <c r="Y151" s="29" t="e">
        <f>U151+V151+W151</f>
        <v>#REF!</v>
      </c>
      <c r="AA151" s="30"/>
      <c r="AB151" s="30"/>
      <c r="AC151" s="30"/>
      <c r="AD151" s="30"/>
    </row>
    <row r="152" spans="2:30" x14ac:dyDescent="0.4">
      <c r="B152" s="37" t="s">
        <v>719</v>
      </c>
      <c r="C152" s="37"/>
      <c r="D152" s="37">
        <f t="shared" ref="D152:R152" si="4">D151*0.16</f>
        <v>9670.4624000000003</v>
      </c>
      <c r="E152" s="37">
        <f t="shared" si="4"/>
        <v>6262.6415999999999</v>
      </c>
      <c r="F152" s="37">
        <f t="shared" si="4"/>
        <v>10875.36</v>
      </c>
      <c r="G152" s="37">
        <f t="shared" si="4"/>
        <v>8760.848</v>
      </c>
      <c r="H152" s="37">
        <f t="shared" si="4"/>
        <v>5039.3599999999997</v>
      </c>
      <c r="I152" s="37">
        <f t="shared" si="4"/>
        <v>10042.719999999999</v>
      </c>
      <c r="J152" s="37">
        <f t="shared" si="4"/>
        <v>5414.0847999999996</v>
      </c>
      <c r="K152" s="37">
        <f t="shared" si="4"/>
        <v>10596.48</v>
      </c>
      <c r="L152" s="37">
        <f t="shared" si="4"/>
        <v>13356.696</v>
      </c>
      <c r="M152" s="38">
        <f t="shared" si="4"/>
        <v>12656</v>
      </c>
      <c r="N152" s="38">
        <f t="shared" si="4"/>
        <v>13607.16</v>
      </c>
      <c r="O152" s="38">
        <f t="shared" si="4"/>
        <v>15148.04</v>
      </c>
      <c r="P152" s="38">
        <f t="shared" si="4"/>
        <v>10557.74</v>
      </c>
      <c r="Q152" s="38">
        <f t="shared" si="4"/>
        <v>13249.33</v>
      </c>
      <c r="R152" s="38">
        <f t="shared" si="4"/>
        <v>10514.55</v>
      </c>
      <c r="S152" s="38">
        <f>S151*0.16</f>
        <v>10504.23</v>
      </c>
      <c r="T152" s="38">
        <v>8534</v>
      </c>
      <c r="U152" s="38">
        <v>9435</v>
      </c>
      <c r="V152" s="38" t="e">
        <f>V151*0.16</f>
        <v>#REF!</v>
      </c>
      <c r="W152" s="38">
        <v>13256.16</v>
      </c>
      <c r="X152" s="38">
        <f>X151*0.16</f>
        <v>13519.31</v>
      </c>
      <c r="Y152" s="30"/>
      <c r="Z152" s="30"/>
      <c r="AA152" s="30"/>
      <c r="AB152" s="30"/>
      <c r="AC152" s="30"/>
      <c r="AD152" s="30"/>
    </row>
    <row r="153" spans="2:30" x14ac:dyDescent="0.4">
      <c r="B153" s="39"/>
      <c r="C153" s="39"/>
      <c r="D153" s="39"/>
      <c r="E153" s="39"/>
      <c r="F153" s="39"/>
      <c r="G153" s="39"/>
      <c r="H153" s="45"/>
      <c r="I153" s="39"/>
      <c r="J153" s="39"/>
      <c r="K153" s="39"/>
      <c r="L153" s="39"/>
      <c r="M153" s="40"/>
      <c r="N153" s="30"/>
      <c r="O153" s="30"/>
      <c r="P153" s="30"/>
      <c r="Q153" s="30"/>
      <c r="R153" s="35"/>
      <c r="S153" s="35"/>
      <c r="T153" s="35">
        <v>8534</v>
      </c>
      <c r="U153" s="35">
        <v>9435</v>
      </c>
      <c r="V153" s="35"/>
      <c r="W153" s="30"/>
      <c r="X153" s="30"/>
      <c r="Y153" s="30"/>
      <c r="Z153" s="30"/>
      <c r="AA153" s="30"/>
      <c r="AB153" s="30"/>
      <c r="AC153" s="30"/>
      <c r="AD153" s="30"/>
    </row>
    <row r="154" spans="2:30" x14ac:dyDescent="0.4">
      <c r="B154" s="39" t="s">
        <v>720</v>
      </c>
      <c r="C154" s="41">
        <v>42277</v>
      </c>
      <c r="D154" s="39"/>
      <c r="E154" s="39"/>
      <c r="F154" s="39"/>
      <c r="G154" s="39"/>
      <c r="H154" s="45">
        <v>-5040</v>
      </c>
      <c r="I154" s="39">
        <v>-5042.72</v>
      </c>
      <c r="J154" s="93">
        <v>-1000</v>
      </c>
      <c r="K154" s="93">
        <v>-10000</v>
      </c>
      <c r="L154" s="93">
        <v>-500</v>
      </c>
      <c r="M154" s="93">
        <v>-1000</v>
      </c>
      <c r="N154" s="93">
        <v>-2000</v>
      </c>
      <c r="O154" s="30">
        <v>-5000</v>
      </c>
      <c r="P154" s="21">
        <v>-300</v>
      </c>
      <c r="Q154" s="76">
        <v>-1399.8</v>
      </c>
      <c r="R154" s="21">
        <v>-3000</v>
      </c>
      <c r="S154" s="21">
        <v>-10504.23</v>
      </c>
      <c r="T154" s="21">
        <v>-8534</v>
      </c>
      <c r="U154" s="93">
        <v>-5000</v>
      </c>
      <c r="V154" s="21">
        <v>-1000</v>
      </c>
      <c r="W154" s="30">
        <v>-5000</v>
      </c>
      <c r="X154" s="30"/>
      <c r="Y154" s="30"/>
      <c r="Z154" s="30"/>
      <c r="AA154" s="30"/>
      <c r="AB154" s="30"/>
      <c r="AC154" s="30"/>
      <c r="AD154" s="30"/>
    </row>
    <row r="155" spans="2:30" x14ac:dyDescent="0.4">
      <c r="B155" s="42" t="s">
        <v>721</v>
      </c>
      <c r="C155" s="39" t="s">
        <v>722</v>
      </c>
      <c r="D155" s="39"/>
      <c r="E155" s="39"/>
      <c r="F155" s="39"/>
      <c r="G155" s="39"/>
      <c r="H155" s="45"/>
      <c r="I155" s="39">
        <v>-5000</v>
      </c>
      <c r="J155" s="93">
        <v>-2200</v>
      </c>
      <c r="K155" s="93">
        <v>-623.52</v>
      </c>
      <c r="L155" s="93">
        <v>-1000</v>
      </c>
      <c r="M155" s="93">
        <v>-3145.39</v>
      </c>
      <c r="N155" s="93">
        <v>-2000</v>
      </c>
      <c r="O155" s="30">
        <v>-1000</v>
      </c>
      <c r="P155" s="21">
        <v>-3500</v>
      </c>
      <c r="Q155" s="76">
        <v>-2500</v>
      </c>
      <c r="R155" s="21">
        <v>-1000</v>
      </c>
      <c r="U155" s="93">
        <v>-4485.82</v>
      </c>
      <c r="V155" s="21">
        <f>-7845+4485.82</f>
        <v>-3359.18</v>
      </c>
      <c r="W155" s="30">
        <f>-8356.36/2</f>
        <v>-4178.18</v>
      </c>
      <c r="X155" s="30"/>
      <c r="Y155" s="30"/>
      <c r="Z155" s="30"/>
      <c r="AA155" s="30"/>
      <c r="AB155" s="30"/>
      <c r="AC155" s="30"/>
      <c r="AD155" s="30"/>
    </row>
    <row r="156" spans="2:30" x14ac:dyDescent="0.4">
      <c r="B156" s="42" t="s">
        <v>723</v>
      </c>
      <c r="C156" s="39">
        <v>12.89</v>
      </c>
      <c r="D156" s="39"/>
      <c r="E156" s="39"/>
      <c r="F156" s="39"/>
      <c r="G156" s="39"/>
      <c r="H156" s="45"/>
      <c r="I156" s="39"/>
      <c r="J156" s="93">
        <v>-2214.08</v>
      </c>
      <c r="K156" s="39"/>
      <c r="L156" s="93">
        <v>-1000</v>
      </c>
      <c r="M156" s="93">
        <v>-2643.3</v>
      </c>
      <c r="N156" s="93">
        <v>-2000</v>
      </c>
      <c r="O156" s="30">
        <v>-1000</v>
      </c>
      <c r="P156" s="21">
        <v>-5000</v>
      </c>
      <c r="Q156" s="76">
        <v>-9349.5300000000007</v>
      </c>
      <c r="R156" s="21">
        <v>-2000</v>
      </c>
      <c r="U156" s="93"/>
      <c r="V156" s="21">
        <v>-5000</v>
      </c>
      <c r="W156" s="30">
        <v>-4280</v>
      </c>
      <c r="X156" s="30"/>
      <c r="Y156" s="30"/>
      <c r="Z156" s="30"/>
      <c r="AA156" s="30"/>
      <c r="AB156" s="30"/>
      <c r="AC156" s="30"/>
      <c r="AD156" s="30"/>
    </row>
    <row r="157" spans="2:30" x14ac:dyDescent="0.4">
      <c r="B157" s="39"/>
      <c r="C157" s="39"/>
      <c r="D157" s="39"/>
      <c r="E157" s="39"/>
      <c r="F157" s="39"/>
      <c r="G157" s="39"/>
      <c r="H157" s="45">
        <f>SUM(H152:H156)</f>
        <v>-0.64000000000032697</v>
      </c>
      <c r="I157" s="39">
        <f>SUM(I152:I156)</f>
        <v>0</v>
      </c>
      <c r="J157" s="39">
        <f>SUM(J152:J156)</f>
        <v>4.7999999997045996E-3</v>
      </c>
      <c r="K157" s="39">
        <f>SUM(K152:K156)</f>
        <v>-27.040000000000401</v>
      </c>
      <c r="L157" s="93">
        <v>-500</v>
      </c>
      <c r="M157" s="93">
        <v>-2800</v>
      </c>
      <c r="N157" s="93">
        <v>-2804.38</v>
      </c>
      <c r="O157" s="30">
        <v>-2000</v>
      </c>
      <c r="P157" s="21">
        <f>500-2257.74</f>
        <v>-1757.74</v>
      </c>
      <c r="R157" s="30">
        <v>-1000</v>
      </c>
      <c r="V157" s="21">
        <f>50.82-4329.48</f>
        <v>-4278.66</v>
      </c>
      <c r="W157" s="30"/>
      <c r="X157" s="30"/>
      <c r="Y157" s="43"/>
      <c r="Z157" s="30"/>
      <c r="AA157" s="30"/>
      <c r="AB157" s="30"/>
      <c r="AC157" s="30"/>
      <c r="AD157" s="30"/>
    </row>
    <row r="158" spans="2:30" x14ac:dyDescent="0.4">
      <c r="B158" s="39" t="s">
        <v>724</v>
      </c>
      <c r="C158" s="39" t="s">
        <v>725</v>
      </c>
      <c r="D158" s="39"/>
      <c r="E158" s="39"/>
      <c r="F158" s="39"/>
      <c r="G158" s="39"/>
      <c r="H158" s="45"/>
      <c r="I158" s="39" t="s">
        <v>817</v>
      </c>
      <c r="J158" s="94" t="s">
        <v>818</v>
      </c>
      <c r="K158" s="94" t="s">
        <v>819</v>
      </c>
      <c r="L158" s="93">
        <v>-2000</v>
      </c>
      <c r="M158" s="93">
        <v>-3067.31</v>
      </c>
      <c r="N158" s="93">
        <v>-1000</v>
      </c>
      <c r="O158" s="39">
        <v>-2000</v>
      </c>
      <c r="Q158" s="44"/>
      <c r="R158" s="39">
        <v>-1000</v>
      </c>
      <c r="W158" s="39"/>
      <c r="X158" s="39"/>
      <c r="Y158" s="39"/>
      <c r="Z158" s="39"/>
      <c r="AA158" s="39"/>
      <c r="AB158" s="39"/>
      <c r="AC158" s="39"/>
      <c r="AD158" s="39"/>
    </row>
    <row r="159" spans="2:30" x14ac:dyDescent="0.4">
      <c r="B159" s="39"/>
      <c r="C159" s="39"/>
      <c r="D159" s="39"/>
      <c r="E159" s="39" t="s">
        <v>726</v>
      </c>
      <c r="F159" s="39"/>
      <c r="G159" s="39"/>
      <c r="H159" s="45" t="s">
        <v>817</v>
      </c>
      <c r="I159" s="79" t="s">
        <v>820</v>
      </c>
      <c r="J159" s="94" t="s">
        <v>821</v>
      </c>
      <c r="K159" s="94" t="s">
        <v>822</v>
      </c>
      <c r="L159" s="93">
        <v>-1000</v>
      </c>
      <c r="M159" s="40"/>
      <c r="N159" s="93">
        <v>-1000</v>
      </c>
      <c r="O159" s="39">
        <v>-3148.04</v>
      </c>
      <c r="Q159" s="44"/>
      <c r="R159" s="39">
        <v>-2514.5500000000002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</row>
    <row r="160" spans="2:30" ht="13" x14ac:dyDescent="0.4">
      <c r="B160" s="39"/>
      <c r="C160" s="39"/>
      <c r="D160" s="47">
        <v>42375</v>
      </c>
      <c r="E160" s="48">
        <v>188048</v>
      </c>
      <c r="F160" s="49"/>
      <c r="G160" s="49"/>
      <c r="H160" s="50"/>
      <c r="I160" s="51"/>
      <c r="J160" s="94" t="s">
        <v>823</v>
      </c>
      <c r="K160" s="45" t="s">
        <v>727</v>
      </c>
      <c r="L160" s="93">
        <v>-7356.7</v>
      </c>
      <c r="M160" s="40"/>
      <c r="N160" s="93">
        <v>-2804.38</v>
      </c>
      <c r="O160" s="39">
        <v>-1000</v>
      </c>
      <c r="Q160" s="44"/>
      <c r="R160" s="39"/>
      <c r="U160" s="39"/>
      <c r="V160" s="39"/>
      <c r="W160" s="39"/>
      <c r="X160" s="39">
        <v>-202.02</v>
      </c>
      <c r="Y160" s="39"/>
      <c r="Z160" s="39"/>
      <c r="AA160" s="39"/>
      <c r="AB160" s="39"/>
      <c r="AC160" s="39"/>
      <c r="AD160" s="39"/>
    </row>
    <row r="161" spans="2:30" ht="13" x14ac:dyDescent="0.4">
      <c r="B161" s="30"/>
      <c r="C161" s="53"/>
      <c r="D161" s="47">
        <v>42384</v>
      </c>
      <c r="E161" s="48">
        <v>77673</v>
      </c>
      <c r="F161" s="49"/>
      <c r="G161" s="49"/>
      <c r="H161" s="50"/>
      <c r="I161" s="51"/>
      <c r="J161" s="52"/>
      <c r="K161" s="39"/>
      <c r="L161" s="39">
        <f t="shared" ref="L161:S161" si="5">SUM(L152:L160)</f>
        <v>-3.9999999999054099E-3</v>
      </c>
      <c r="M161" s="39">
        <f t="shared" si="5"/>
        <v>0</v>
      </c>
      <c r="N161" s="39">
        <f t="shared" si="5"/>
        <v>-1.60000000000036</v>
      </c>
      <c r="O161" s="54">
        <f t="shared" si="5"/>
        <v>0</v>
      </c>
      <c r="P161" s="54">
        <f t="shared" si="5"/>
        <v>0</v>
      </c>
      <c r="Q161" s="54">
        <f t="shared" si="5"/>
        <v>0</v>
      </c>
      <c r="R161" s="54">
        <f t="shared" si="5"/>
        <v>0</v>
      </c>
      <c r="S161" s="54">
        <f t="shared" si="5"/>
        <v>0</v>
      </c>
      <c r="T161" s="54">
        <f>SUM(T152:T160)-T153</f>
        <v>0</v>
      </c>
      <c r="U161" s="54">
        <f>SUM(U152:U160)-U153</f>
        <v>-50.82</v>
      </c>
      <c r="V161" s="54" t="e">
        <f>SUM(V152:V160)</f>
        <v>#REF!</v>
      </c>
      <c r="W161" s="54">
        <f t="shared" ref="W161:X161" si="6">SUM(W152:W160)</f>
        <v>-202.02</v>
      </c>
      <c r="X161" s="54">
        <f t="shared" si="6"/>
        <v>13317.29</v>
      </c>
      <c r="Y161" s="39"/>
      <c r="Z161" s="54" t="e">
        <f>SUM(L161:Y161)</f>
        <v>#REF!</v>
      </c>
      <c r="AA161" s="39"/>
      <c r="AB161" s="39"/>
      <c r="AC161" s="39"/>
      <c r="AD161" s="39"/>
    </row>
    <row r="162" spans="2:30" ht="13" x14ac:dyDescent="0.4">
      <c r="B162" s="30"/>
      <c r="C162" s="53"/>
      <c r="D162" s="47">
        <v>42444</v>
      </c>
      <c r="E162" s="48">
        <v>81690</v>
      </c>
      <c r="F162" s="49"/>
      <c r="G162" s="49"/>
      <c r="H162" s="50"/>
      <c r="I162" s="51"/>
      <c r="J162" s="52"/>
      <c r="K162" s="39"/>
      <c r="L162" s="94" t="s">
        <v>824</v>
      </c>
      <c r="M162" s="94" t="s">
        <v>825</v>
      </c>
      <c r="N162" s="94" t="s">
        <v>826</v>
      </c>
      <c r="O162" s="30" t="s">
        <v>728</v>
      </c>
      <c r="P162" s="35" t="s">
        <v>729</v>
      </c>
      <c r="Q162" s="30" t="s">
        <v>730</v>
      </c>
      <c r="R162" s="30" t="s">
        <v>748</v>
      </c>
      <c r="S162" s="39" t="s">
        <v>796</v>
      </c>
      <c r="T162" s="39" t="s">
        <v>827</v>
      </c>
      <c r="U162" s="94" t="s">
        <v>828</v>
      </c>
      <c r="V162" s="95" t="s">
        <v>829</v>
      </c>
      <c r="W162" s="39" t="s">
        <v>830</v>
      </c>
      <c r="X162" s="39"/>
      <c r="Y162" s="39"/>
      <c r="Z162" s="39"/>
      <c r="AA162" s="39"/>
      <c r="AB162" s="39"/>
      <c r="AC162" s="39"/>
    </row>
    <row r="163" spans="2:30" ht="13" x14ac:dyDescent="0.4">
      <c r="B163" s="30"/>
      <c r="C163" s="53"/>
      <c r="D163" s="47">
        <v>42479</v>
      </c>
      <c r="E163" s="48">
        <v>147738</v>
      </c>
      <c r="F163" s="49"/>
      <c r="G163" s="49"/>
      <c r="H163" s="50"/>
      <c r="I163" s="51"/>
      <c r="J163" s="52"/>
      <c r="K163" s="39"/>
      <c r="L163" s="94" t="s">
        <v>831</v>
      </c>
      <c r="M163" s="94" t="s">
        <v>832</v>
      </c>
      <c r="N163" s="94" t="s">
        <v>833</v>
      </c>
      <c r="O163" s="30" t="s">
        <v>731</v>
      </c>
      <c r="P163" s="35" t="s">
        <v>732</v>
      </c>
      <c r="Q163" s="30" t="s">
        <v>733</v>
      </c>
      <c r="R163" s="30" t="s">
        <v>749</v>
      </c>
      <c r="S163" s="39"/>
      <c r="T163" s="39"/>
      <c r="U163" s="94" t="s">
        <v>834</v>
      </c>
      <c r="V163" s="54" t="s">
        <v>835</v>
      </c>
      <c r="W163" s="39" t="s">
        <v>836</v>
      </c>
      <c r="X163" s="39"/>
      <c r="Y163" s="39"/>
      <c r="Z163" s="39"/>
      <c r="AA163" s="39"/>
      <c r="AB163" s="39"/>
    </row>
    <row r="164" spans="2:30" ht="13" x14ac:dyDescent="0.4">
      <c r="B164" s="30"/>
      <c r="C164" s="53"/>
      <c r="D164" s="56"/>
      <c r="E164" s="48">
        <v>63110</v>
      </c>
      <c r="F164" s="49"/>
      <c r="G164" s="49"/>
      <c r="H164" s="50"/>
      <c r="I164" s="46"/>
      <c r="J164" s="52"/>
      <c r="K164" s="39"/>
      <c r="L164" s="94" t="s">
        <v>837</v>
      </c>
      <c r="M164" s="94" t="s">
        <v>838</v>
      </c>
      <c r="N164" s="94" t="s">
        <v>839</v>
      </c>
      <c r="O164" s="30" t="s">
        <v>734</v>
      </c>
      <c r="P164" s="35" t="s">
        <v>735</v>
      </c>
      <c r="Q164" s="30" t="s">
        <v>736</v>
      </c>
      <c r="R164" s="30" t="s">
        <v>750</v>
      </c>
      <c r="S164" s="39"/>
      <c r="T164" s="39"/>
      <c r="U164" s="95"/>
      <c r="V164" s="21" t="s">
        <v>840</v>
      </c>
      <c r="W164" s="39" t="s">
        <v>841</v>
      </c>
      <c r="X164" s="39"/>
      <c r="Y164" s="39"/>
      <c r="Z164" s="39"/>
      <c r="AA164" s="39"/>
      <c r="AB164" s="39"/>
    </row>
    <row r="165" spans="2:30" ht="13" x14ac:dyDescent="0.4">
      <c r="B165" s="30"/>
      <c r="C165" s="53"/>
      <c r="D165" s="47">
        <v>42587</v>
      </c>
      <c r="E165" s="48">
        <f>63336-1114</f>
        <v>62222</v>
      </c>
      <c r="F165" s="49"/>
      <c r="G165" s="49"/>
      <c r="H165" s="50"/>
      <c r="I165" s="46"/>
      <c r="J165" s="52"/>
      <c r="K165" s="39"/>
      <c r="L165" s="94" t="s">
        <v>842</v>
      </c>
      <c r="M165" s="94" t="s">
        <v>843</v>
      </c>
      <c r="N165" s="94" t="s">
        <v>844</v>
      </c>
      <c r="O165" s="30" t="s">
        <v>737</v>
      </c>
      <c r="P165" s="35" t="s">
        <v>738</v>
      </c>
      <c r="Q165" s="39"/>
      <c r="R165" s="30" t="s">
        <v>751</v>
      </c>
      <c r="S165" s="39"/>
      <c r="T165" s="39"/>
      <c r="U165" s="39"/>
      <c r="V165" s="39" t="s">
        <v>845</v>
      </c>
      <c r="W165" s="39"/>
      <c r="X165" s="39"/>
      <c r="Y165" s="39"/>
      <c r="Z165" s="39"/>
      <c r="AA165" s="39"/>
      <c r="AB165" s="39"/>
    </row>
    <row r="166" spans="2:30" ht="13" x14ac:dyDescent="0.4">
      <c r="B166" s="30"/>
      <c r="C166" s="53"/>
      <c r="D166" s="47"/>
      <c r="E166" s="48"/>
      <c r="F166" s="49"/>
      <c r="G166" s="49"/>
      <c r="H166" s="50"/>
      <c r="I166" s="46"/>
      <c r="J166" s="52"/>
      <c r="K166" s="39"/>
      <c r="L166" s="94" t="s">
        <v>846</v>
      </c>
      <c r="M166" s="94" t="s">
        <v>847</v>
      </c>
      <c r="N166" s="94" t="s">
        <v>848</v>
      </c>
      <c r="O166" s="30"/>
      <c r="P166" s="35"/>
      <c r="Q166" s="39"/>
      <c r="R166" s="39" t="s">
        <v>752</v>
      </c>
      <c r="S166" s="39"/>
      <c r="T166" s="39"/>
      <c r="U166" s="39"/>
      <c r="X166" s="39"/>
      <c r="Y166" s="39"/>
      <c r="Z166" s="39"/>
      <c r="AA166" s="39"/>
      <c r="AB166" s="39"/>
    </row>
    <row r="167" spans="2:30" ht="13" x14ac:dyDescent="0.4">
      <c r="B167" s="30"/>
      <c r="C167" s="53"/>
      <c r="D167" s="47"/>
      <c r="E167" s="48"/>
      <c r="F167" s="49"/>
      <c r="G167" s="49"/>
      <c r="H167" s="50"/>
      <c r="I167" s="46"/>
      <c r="J167" s="52"/>
      <c r="K167" s="39"/>
      <c r="L167" s="94" t="s">
        <v>849</v>
      </c>
      <c r="M167" s="39"/>
      <c r="N167" s="94" t="s">
        <v>850</v>
      </c>
      <c r="O167" s="30"/>
      <c r="P167" s="35"/>
      <c r="Q167" s="39"/>
      <c r="R167" s="39" t="s">
        <v>753</v>
      </c>
      <c r="S167" s="39"/>
      <c r="T167" s="39"/>
      <c r="U167" s="39"/>
      <c r="V167" s="39"/>
      <c r="W167" s="39"/>
      <c r="X167" s="39"/>
      <c r="Y167" s="39"/>
      <c r="Z167" s="39"/>
      <c r="AA167" s="39"/>
      <c r="AB167" s="39"/>
    </row>
    <row r="168" spans="2:30" ht="13" x14ac:dyDescent="0.4">
      <c r="B168" s="30"/>
      <c r="C168" s="53"/>
      <c r="D168" s="47"/>
      <c r="E168" s="48"/>
      <c r="F168" s="49"/>
      <c r="G168" s="49"/>
      <c r="H168" s="50"/>
      <c r="I168" s="46"/>
      <c r="J168" s="52"/>
      <c r="K168" s="39"/>
      <c r="L168" s="94" t="s">
        <v>851</v>
      </c>
      <c r="M168" s="39"/>
      <c r="N168" s="94" t="s">
        <v>852</v>
      </c>
      <c r="O168" s="30"/>
      <c r="P168" s="35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</row>
    <row r="169" spans="2:30" ht="13" x14ac:dyDescent="0.4">
      <c r="B169" s="30"/>
      <c r="C169" s="53"/>
      <c r="D169" s="56"/>
      <c r="E169" s="48"/>
      <c r="F169" s="49"/>
      <c r="G169" s="49"/>
      <c r="H169" s="50"/>
      <c r="I169" s="46"/>
      <c r="J169" s="52"/>
      <c r="K169" s="39"/>
      <c r="L169" s="39"/>
      <c r="M169" s="39"/>
      <c r="N169" s="94" t="s">
        <v>853</v>
      </c>
      <c r="O169" s="39" t="s">
        <v>739</v>
      </c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</row>
    <row r="170" spans="2:30" ht="13" x14ac:dyDescent="0.4">
      <c r="B170" s="30"/>
      <c r="C170" s="53"/>
      <c r="D170" s="56"/>
      <c r="E170" s="48">
        <f>SUM(E160:E169)</f>
        <v>620481</v>
      </c>
      <c r="F170" s="57" t="e">
        <f>#REF!-E170</f>
        <v>#REF!</v>
      </c>
      <c r="G170" s="49"/>
      <c r="H170" s="50"/>
      <c r="I170" s="46"/>
      <c r="J170" s="52" t="e">
        <f>#REF!</f>
        <v>#REF!</v>
      </c>
      <c r="K170" s="39"/>
      <c r="L170" s="39"/>
      <c r="M170" s="39"/>
      <c r="N170" s="94" t="s">
        <v>854</v>
      </c>
      <c r="O170" s="39" t="s">
        <v>740</v>
      </c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</row>
    <row r="171" spans="2:30" x14ac:dyDescent="0.4">
      <c r="B171" s="30"/>
      <c r="C171" s="53"/>
      <c r="D171" s="58"/>
      <c r="E171" s="58"/>
      <c r="F171" s="58"/>
      <c r="G171" s="58"/>
      <c r="H171" s="102"/>
      <c r="I171" s="39"/>
      <c r="J171" s="60" t="e">
        <f>SUM(J161:J170)</f>
        <v>#REF!</v>
      </c>
      <c r="K171" s="39"/>
      <c r="L171" s="39"/>
      <c r="M171" s="39"/>
      <c r="N171" s="55"/>
      <c r="O171" s="39" t="s">
        <v>741</v>
      </c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</row>
    <row r="172" spans="2:30" x14ac:dyDescent="0.4">
      <c r="B172" s="30"/>
      <c r="C172" s="53"/>
      <c r="D172" s="58"/>
      <c r="E172" s="58"/>
      <c r="F172" s="58"/>
      <c r="G172" s="58"/>
      <c r="H172" s="102"/>
      <c r="I172" s="39"/>
      <c r="J172" s="59">
        <v>-1054000</v>
      </c>
      <c r="K172" s="39"/>
      <c r="L172" s="39"/>
      <c r="M172" s="39"/>
      <c r="N172" s="55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</row>
    <row r="173" spans="2:30" x14ac:dyDescent="0.4">
      <c r="B173" s="21"/>
      <c r="C173" s="9"/>
      <c r="G173" s="78"/>
      <c r="H173" s="79"/>
      <c r="I173" s="21"/>
      <c r="J173" s="61" t="e">
        <f>SUM(J171:J172)</f>
        <v>#REF!</v>
      </c>
      <c r="K173" s="21"/>
      <c r="L173" s="21"/>
      <c r="M173" s="21"/>
    </row>
    <row r="174" spans="2:30" x14ac:dyDescent="0.4">
      <c r="B174" s="21"/>
      <c r="C174" s="9"/>
      <c r="G174" s="78"/>
      <c r="H174" s="79"/>
      <c r="I174" s="21"/>
      <c r="J174" s="79"/>
      <c r="K174" s="21"/>
      <c r="L174" s="21"/>
      <c r="M174" s="21"/>
    </row>
    <row r="175" spans="2:30" x14ac:dyDescent="0.4">
      <c r="B175" s="21"/>
      <c r="C175" s="9"/>
      <c r="G175" s="78"/>
      <c r="H175" s="79"/>
      <c r="I175" s="21"/>
      <c r="J175" s="39"/>
      <c r="K175" s="45"/>
      <c r="L175" s="21"/>
      <c r="M175" s="21"/>
    </row>
    <row r="176" spans="2:30" ht="13" x14ac:dyDescent="0.4">
      <c r="B176" s="21"/>
      <c r="C176" s="9"/>
      <c r="G176" s="78"/>
      <c r="H176" s="79"/>
      <c r="I176" s="21"/>
      <c r="J176" s="52"/>
      <c r="K176" s="63">
        <v>42593</v>
      </c>
      <c r="L176" s="21"/>
      <c r="M176" s="21"/>
    </row>
    <row r="177" spans="2:13" x14ac:dyDescent="0.4">
      <c r="B177" s="21"/>
      <c r="C177" s="9"/>
      <c r="D177" s="39"/>
      <c r="E177" s="39"/>
      <c r="F177" s="39"/>
      <c r="G177" s="39"/>
      <c r="H177" s="45"/>
      <c r="I177" s="39"/>
      <c r="J177" s="62"/>
    </row>
    <row r="178" spans="2:13" x14ac:dyDescent="0.4">
      <c r="B178" s="21"/>
      <c r="C178" s="9"/>
      <c r="D178" s="39"/>
      <c r="E178" s="39" t="s">
        <v>726</v>
      </c>
      <c r="F178" s="39"/>
      <c r="G178" s="39"/>
      <c r="H178" s="45"/>
      <c r="I178" s="39"/>
      <c r="J178" s="62"/>
    </row>
    <row r="179" spans="2:13" ht="13" x14ac:dyDescent="0.4">
      <c r="B179" s="21"/>
      <c r="C179" s="9" t="s">
        <v>742</v>
      </c>
      <c r="D179" s="47">
        <v>42622</v>
      </c>
      <c r="E179" s="48"/>
      <c r="F179" s="49"/>
      <c r="G179" s="49"/>
      <c r="H179" s="50"/>
      <c r="I179" s="51"/>
      <c r="J179" s="62"/>
    </row>
    <row r="180" spans="2:13" x14ac:dyDescent="0.4">
      <c r="B180" s="21"/>
      <c r="C180" s="9" t="s">
        <v>743</v>
      </c>
      <c r="D180" s="64">
        <v>42614</v>
      </c>
      <c r="E180" s="62"/>
      <c r="F180" s="62"/>
      <c r="G180" s="62"/>
      <c r="H180" s="62"/>
      <c r="I180" s="65"/>
      <c r="J180" s="62"/>
    </row>
    <row r="181" spans="2:13" x14ac:dyDescent="0.4">
      <c r="B181" s="21"/>
      <c r="C181" s="9" t="s">
        <v>744</v>
      </c>
      <c r="D181" s="64">
        <v>42675</v>
      </c>
      <c r="E181" s="62"/>
      <c r="F181" s="62"/>
      <c r="G181" s="62"/>
      <c r="H181" s="62"/>
      <c r="I181" s="65"/>
      <c r="J181" s="62"/>
    </row>
    <row r="182" spans="2:13" ht="13" x14ac:dyDescent="0.4">
      <c r="B182" s="21"/>
      <c r="C182" s="9" t="s">
        <v>745</v>
      </c>
      <c r="D182" s="64">
        <v>42675</v>
      </c>
      <c r="E182" s="62"/>
      <c r="F182" s="62"/>
      <c r="G182" s="62"/>
      <c r="H182" s="62"/>
      <c r="I182" s="65"/>
      <c r="J182" s="66" t="e">
        <f>#REF!</f>
        <v>#REF!</v>
      </c>
    </row>
    <row r="183" spans="2:13" x14ac:dyDescent="0.4">
      <c r="B183" s="21"/>
      <c r="C183" s="9" t="s">
        <v>746</v>
      </c>
      <c r="D183" s="64">
        <v>42668</v>
      </c>
      <c r="E183" s="62"/>
      <c r="F183" s="62"/>
      <c r="G183" s="62"/>
      <c r="H183" s="62"/>
      <c r="I183" s="65"/>
      <c r="J183" s="61" t="e">
        <f>J182</f>
        <v>#REF!</v>
      </c>
    </row>
    <row r="184" spans="2:13" x14ac:dyDescent="0.4">
      <c r="B184" s="21"/>
      <c r="C184" s="9" t="s">
        <v>747</v>
      </c>
      <c r="D184" s="64">
        <v>42678</v>
      </c>
      <c r="E184" s="62"/>
      <c r="F184" s="62"/>
      <c r="G184" s="62"/>
      <c r="H184" s="62"/>
      <c r="I184" s="65"/>
      <c r="J184" s="79">
        <v>-1200000</v>
      </c>
    </row>
    <row r="185" spans="2:13" x14ac:dyDescent="0.4">
      <c r="B185" s="21"/>
      <c r="C185" s="9"/>
      <c r="D185" s="62"/>
      <c r="E185" s="62">
        <f>SUM(E179:E184)</f>
        <v>0</v>
      </c>
      <c r="F185" s="62"/>
      <c r="G185" s="62"/>
      <c r="H185" s="62"/>
      <c r="I185" s="65"/>
      <c r="J185" s="61" t="e">
        <f>SUM(J183:J184)</f>
        <v>#REF!</v>
      </c>
    </row>
    <row r="186" spans="2:13" x14ac:dyDescent="0.4">
      <c r="B186" s="21"/>
      <c r="C186" s="9"/>
      <c r="G186" s="78"/>
      <c r="H186" s="79"/>
      <c r="I186" s="76"/>
      <c r="J186" s="79"/>
    </row>
    <row r="187" spans="2:13" x14ac:dyDescent="0.4">
      <c r="B187" s="21"/>
      <c r="C187" s="9"/>
      <c r="G187" s="78"/>
      <c r="H187" s="79"/>
      <c r="I187" s="76"/>
      <c r="J187" s="21"/>
      <c r="K187" s="21"/>
      <c r="L187" s="21"/>
      <c r="M187" s="21"/>
    </row>
    <row r="188" spans="2:13" x14ac:dyDescent="0.4">
      <c r="B188" s="21"/>
      <c r="C188" s="9"/>
      <c r="G188" s="78"/>
      <c r="H188" s="79"/>
      <c r="I188" s="76"/>
    </row>
    <row r="189" spans="2:13" x14ac:dyDescent="0.4">
      <c r="B189" s="21"/>
      <c r="C189" s="9"/>
      <c r="G189" s="78"/>
      <c r="H189" s="79"/>
      <c r="I189" s="76"/>
    </row>
    <row r="190" spans="2:13" x14ac:dyDescent="0.4">
      <c r="B190" s="21"/>
      <c r="C190" s="9"/>
      <c r="D190" s="76"/>
      <c r="E190" s="79"/>
      <c r="F190" s="76"/>
      <c r="G190" s="76"/>
      <c r="I190" s="76"/>
      <c r="J190" s="39"/>
      <c r="K190" s="39"/>
    </row>
    <row r="191" spans="2:13" x14ac:dyDescent="0.4">
      <c r="J191" s="39"/>
      <c r="K191" s="45"/>
    </row>
    <row r="192" spans="2:13" ht="13" x14ac:dyDescent="0.4">
      <c r="J192" s="52"/>
      <c r="K192" s="63"/>
    </row>
    <row r="193" spans="2:13" x14ac:dyDescent="0.4">
      <c r="C193" s="9"/>
      <c r="D193" s="39"/>
      <c r="E193" s="39"/>
      <c r="F193" s="39"/>
      <c r="G193" s="39"/>
      <c r="H193" s="45"/>
      <c r="I193" s="39"/>
      <c r="J193" s="62"/>
    </row>
    <row r="194" spans="2:13" x14ac:dyDescent="0.4">
      <c r="C194" s="9"/>
      <c r="D194" s="39"/>
      <c r="E194" s="39" t="s">
        <v>726</v>
      </c>
      <c r="F194" s="39"/>
      <c r="G194" s="39"/>
      <c r="H194" s="45"/>
      <c r="I194" s="39"/>
      <c r="J194" s="62"/>
    </row>
    <row r="195" spans="2:13" ht="13" x14ac:dyDescent="0.4">
      <c r="C195" s="9" t="s">
        <v>797</v>
      </c>
      <c r="D195" s="47">
        <v>42782</v>
      </c>
      <c r="E195" s="48"/>
      <c r="F195" s="49"/>
      <c r="G195" s="49"/>
      <c r="H195" s="50"/>
      <c r="I195" s="51"/>
      <c r="J195" s="62"/>
    </row>
    <row r="196" spans="2:13" x14ac:dyDescent="0.4">
      <c r="C196" s="9" t="s">
        <v>798</v>
      </c>
      <c r="D196" s="64">
        <v>42789</v>
      </c>
      <c r="E196" s="62"/>
      <c r="F196" s="62"/>
      <c r="G196" s="62"/>
      <c r="H196" s="62"/>
      <c r="I196" s="65"/>
      <c r="J196" s="62"/>
    </row>
    <row r="197" spans="2:13" x14ac:dyDescent="0.4">
      <c r="C197" s="9"/>
      <c r="D197" s="64">
        <v>42807</v>
      </c>
      <c r="E197" s="62"/>
      <c r="F197" s="62"/>
      <c r="G197" s="62"/>
      <c r="H197" s="62"/>
      <c r="I197" s="65"/>
      <c r="J197" s="62"/>
    </row>
    <row r="198" spans="2:13" ht="13" x14ac:dyDescent="0.4">
      <c r="C198" s="9"/>
      <c r="D198" s="64">
        <v>42822</v>
      </c>
      <c r="E198" s="62"/>
      <c r="F198" s="62"/>
      <c r="G198" s="62"/>
      <c r="H198" s="62"/>
      <c r="I198" s="65"/>
      <c r="J198" s="66" t="e">
        <f>#REF!</f>
        <v>#REF!</v>
      </c>
    </row>
    <row r="199" spans="2:13" x14ac:dyDescent="0.4">
      <c r="C199" s="9"/>
      <c r="D199" s="64"/>
      <c r="E199" s="62"/>
      <c r="F199" s="62"/>
      <c r="G199" s="62"/>
      <c r="H199" s="62"/>
      <c r="I199" s="65"/>
      <c r="J199" s="61" t="e">
        <f>J198</f>
        <v>#REF!</v>
      </c>
    </row>
    <row r="200" spans="2:13" x14ac:dyDescent="0.4">
      <c r="C200" s="9"/>
      <c r="D200" s="64"/>
      <c r="E200" s="62"/>
      <c r="F200" s="62"/>
      <c r="G200" s="62"/>
      <c r="H200" s="62"/>
      <c r="I200" s="65"/>
      <c r="J200" s="79">
        <v>-1700000</v>
      </c>
    </row>
    <row r="201" spans="2:13" x14ac:dyDescent="0.4">
      <c r="C201" s="9"/>
      <c r="D201" s="62"/>
      <c r="E201" s="62">
        <f>SUM(E195:E200)</f>
        <v>0</v>
      </c>
      <c r="F201" s="62"/>
      <c r="G201" s="62"/>
      <c r="H201" s="62"/>
      <c r="I201" s="65"/>
      <c r="J201" s="61" t="e">
        <f>SUM(J199:J200)</f>
        <v>#REF!</v>
      </c>
    </row>
    <row r="202" spans="2:13" x14ac:dyDescent="0.4">
      <c r="C202" s="9"/>
      <c r="G202" s="78"/>
      <c r="H202" s="79"/>
      <c r="I202" s="76"/>
      <c r="J202" s="79"/>
    </row>
    <row r="203" spans="2:13" x14ac:dyDescent="0.4">
      <c r="C203" s="9"/>
      <c r="G203" s="78"/>
      <c r="H203" s="79"/>
      <c r="I203" s="76"/>
    </row>
    <row r="204" spans="2:13" x14ac:dyDescent="0.4">
      <c r="C204" s="9"/>
      <c r="G204" s="78"/>
      <c r="H204" s="79"/>
      <c r="I204" s="76"/>
    </row>
    <row r="205" spans="2:13" x14ac:dyDescent="0.4">
      <c r="C205" s="9"/>
      <c r="G205" s="78"/>
      <c r="H205" s="79"/>
      <c r="I205" s="76"/>
      <c r="J205" s="61">
        <f>SUM(J203:J204)</f>
        <v>0</v>
      </c>
      <c r="K205" s="21"/>
      <c r="L205" s="21"/>
      <c r="M205" s="21"/>
    </row>
    <row r="206" spans="2:13" x14ac:dyDescent="0.4">
      <c r="J206" s="79"/>
      <c r="K206" s="21"/>
      <c r="L206" s="21"/>
      <c r="M206" s="21"/>
    </row>
    <row r="208" spans="2:13" x14ac:dyDescent="0.4">
      <c r="B208" s="21"/>
      <c r="C208" s="9"/>
      <c r="G208" s="78"/>
      <c r="H208" s="79"/>
      <c r="I208" s="21"/>
    </row>
    <row r="209" spans="2:13" x14ac:dyDescent="0.4">
      <c r="B209" s="21"/>
      <c r="C209" s="9"/>
      <c r="G209" s="78"/>
      <c r="H209" s="79"/>
      <c r="I209" s="21"/>
    </row>
    <row r="220" spans="2:13" hidden="1" x14ac:dyDescent="0.4">
      <c r="B220" s="28"/>
    </row>
    <row r="221" spans="2:13" hidden="1" x14ac:dyDescent="0.4">
      <c r="B221" s="87"/>
      <c r="C221" s="29"/>
      <c r="D221" s="30" t="s">
        <v>701</v>
      </c>
      <c r="E221" s="30" t="s">
        <v>702</v>
      </c>
      <c r="F221" s="30" t="s">
        <v>703</v>
      </c>
      <c r="G221" s="30" t="s">
        <v>704</v>
      </c>
      <c r="H221" s="37" t="s">
        <v>705</v>
      </c>
      <c r="I221" s="30" t="s">
        <v>706</v>
      </c>
      <c r="J221" s="30" t="s">
        <v>707</v>
      </c>
      <c r="K221" s="30" t="s">
        <v>708</v>
      </c>
      <c r="L221" s="30" t="s">
        <v>709</v>
      </c>
      <c r="M221" s="30" t="s">
        <v>710</v>
      </c>
    </row>
    <row r="222" spans="2:13" hidden="1" x14ac:dyDescent="0.4">
      <c r="B222" s="30" t="s">
        <v>713</v>
      </c>
      <c r="C222" s="29"/>
      <c r="D222" s="30">
        <v>233927.89</v>
      </c>
      <c r="E222" s="30">
        <v>217481.67</v>
      </c>
      <c r="F222" s="30">
        <v>240549.07</v>
      </c>
      <c r="G222" s="30">
        <v>255680.67</v>
      </c>
      <c r="H222" s="37">
        <v>207546</v>
      </c>
      <c r="I222" s="30">
        <v>238398</v>
      </c>
      <c r="J222" s="30">
        <v>212371</v>
      </c>
      <c r="K222" s="30">
        <v>247184</v>
      </c>
      <c r="L222" s="30">
        <v>265676</v>
      </c>
      <c r="M222" s="30">
        <v>263276.2</v>
      </c>
    </row>
    <row r="223" spans="2:13" hidden="1" x14ac:dyDescent="0.4">
      <c r="B223" s="30"/>
      <c r="C223" s="29"/>
      <c r="D223" s="31"/>
      <c r="E223" s="30"/>
      <c r="F223" s="30"/>
      <c r="G223" s="30"/>
      <c r="H223" s="37"/>
      <c r="I223" s="30"/>
      <c r="J223" s="30"/>
      <c r="K223" s="30"/>
      <c r="L223" s="30"/>
      <c r="M223" s="30"/>
    </row>
    <row r="224" spans="2:13" hidden="1" x14ac:dyDescent="0.4">
      <c r="B224" s="30"/>
      <c r="C224" s="29"/>
      <c r="D224" s="31"/>
      <c r="E224" s="30"/>
      <c r="F224" s="30"/>
      <c r="G224" s="30"/>
      <c r="H224" s="37"/>
      <c r="I224" s="30"/>
      <c r="J224" s="30"/>
      <c r="K224" s="30"/>
      <c r="L224" s="30"/>
      <c r="M224" s="30"/>
    </row>
    <row r="225" spans="2:13" hidden="1" x14ac:dyDescent="0.4">
      <c r="B225" s="30"/>
      <c r="C225" s="29"/>
      <c r="D225" s="31"/>
      <c r="E225" s="33"/>
      <c r="F225" s="30"/>
      <c r="G225" s="30"/>
      <c r="H225" s="37"/>
      <c r="I225" s="30"/>
      <c r="J225" s="30"/>
      <c r="K225" s="30"/>
      <c r="L225" s="30"/>
      <c r="M225" s="30"/>
    </row>
    <row r="226" spans="2:13" hidden="1" x14ac:dyDescent="0.4">
      <c r="B226" s="30"/>
      <c r="C226" s="29"/>
      <c r="D226" s="34"/>
      <c r="E226" s="30"/>
      <c r="F226" s="30"/>
      <c r="G226" s="30"/>
      <c r="H226" s="37"/>
      <c r="I226" s="30"/>
      <c r="J226" s="30"/>
      <c r="K226" s="30"/>
      <c r="L226" s="30"/>
      <c r="M226" s="30"/>
    </row>
    <row r="227" spans="2:13" hidden="1" x14ac:dyDescent="0.4">
      <c r="B227" s="30"/>
      <c r="C227" s="29"/>
      <c r="D227" s="30" t="s">
        <v>701</v>
      </c>
      <c r="E227" s="30" t="s">
        <v>702</v>
      </c>
      <c r="F227" s="30" t="s">
        <v>703</v>
      </c>
      <c r="G227" s="30" t="s">
        <v>704</v>
      </c>
      <c r="H227" s="37" t="s">
        <v>705</v>
      </c>
      <c r="I227" s="30" t="s">
        <v>706</v>
      </c>
      <c r="J227" s="30" t="s">
        <v>715</v>
      </c>
      <c r="K227" s="30" t="s">
        <v>716</v>
      </c>
      <c r="L227" s="30" t="s">
        <v>709</v>
      </c>
      <c r="M227" s="30" t="s">
        <v>710</v>
      </c>
    </row>
    <row r="228" spans="2:13" hidden="1" x14ac:dyDescent="0.4">
      <c r="B228" s="30" t="s">
        <v>718</v>
      </c>
      <c r="C228" s="29"/>
      <c r="D228" s="30">
        <v>60440.39</v>
      </c>
      <c r="E228" s="30">
        <v>39141.51</v>
      </c>
      <c r="F228" s="29">
        <v>67971</v>
      </c>
      <c r="G228" s="30">
        <v>54755.3</v>
      </c>
      <c r="H228" s="37">
        <v>31496</v>
      </c>
      <c r="I228" s="30">
        <v>62767</v>
      </c>
      <c r="J228" s="30">
        <v>33838.03</v>
      </c>
      <c r="K228" s="30">
        <v>66228</v>
      </c>
      <c r="L228" s="30">
        <v>83479.350000000006</v>
      </c>
      <c r="M228" s="35">
        <v>79100</v>
      </c>
    </row>
    <row r="229" spans="2:13" hidden="1" x14ac:dyDescent="0.4">
      <c r="B229" s="37" t="s">
        <v>719</v>
      </c>
      <c r="C229" s="37"/>
      <c r="D229" s="37">
        <f t="shared" ref="D229:M229" si="7">D228*0.16</f>
        <v>9670.4624000000003</v>
      </c>
      <c r="E229" s="37">
        <f t="shared" si="7"/>
        <v>6262.6415999999999</v>
      </c>
      <c r="F229" s="37">
        <f t="shared" si="7"/>
        <v>10875.36</v>
      </c>
      <c r="G229" s="37">
        <f t="shared" si="7"/>
        <v>8760.848</v>
      </c>
      <c r="H229" s="37">
        <f t="shared" si="7"/>
        <v>5039.3599999999997</v>
      </c>
      <c r="I229" s="37">
        <f t="shared" si="7"/>
        <v>10042.719999999999</v>
      </c>
      <c r="J229" s="37">
        <f t="shared" si="7"/>
        <v>5414.0847999999996</v>
      </c>
      <c r="K229" s="37">
        <f t="shared" si="7"/>
        <v>10596.48</v>
      </c>
      <c r="L229" s="37">
        <f t="shared" si="7"/>
        <v>13356.696</v>
      </c>
      <c r="M229" s="38">
        <f t="shared" si="7"/>
        <v>12656</v>
      </c>
    </row>
    <row r="230" spans="2:13" hidden="1" x14ac:dyDescent="0.4">
      <c r="B230" s="39"/>
      <c r="C230" s="39"/>
      <c r="D230" s="39"/>
      <c r="E230" s="39"/>
      <c r="F230" s="39"/>
      <c r="G230" s="39"/>
      <c r="H230" s="45"/>
      <c r="I230" s="39"/>
      <c r="J230" s="39"/>
      <c r="K230" s="39"/>
      <c r="L230" s="39"/>
      <c r="M230" s="40"/>
    </row>
    <row r="231" spans="2:13" hidden="1" x14ac:dyDescent="0.4">
      <c r="B231" s="39" t="s">
        <v>720</v>
      </c>
      <c r="C231" s="41">
        <v>42277</v>
      </c>
      <c r="D231" s="39"/>
      <c r="E231" s="39"/>
      <c r="F231" s="39"/>
      <c r="G231" s="39"/>
      <c r="H231" s="45"/>
      <c r="I231" s="39"/>
      <c r="J231" s="39"/>
      <c r="K231" s="39"/>
      <c r="L231" s="39"/>
      <c r="M231" s="40"/>
    </row>
    <row r="232" spans="2:13" hidden="1" x14ac:dyDescent="0.4">
      <c r="B232" s="42" t="s">
        <v>721</v>
      </c>
      <c r="C232" s="39" t="s">
        <v>722</v>
      </c>
      <c r="D232" s="39"/>
      <c r="E232" s="39"/>
      <c r="F232" s="39"/>
      <c r="G232" s="39"/>
      <c r="H232" s="45"/>
      <c r="I232" s="39"/>
      <c r="J232" s="39"/>
      <c r="K232" s="39"/>
      <c r="L232" s="39"/>
      <c r="M232" s="40">
        <v>6.11</v>
      </c>
    </row>
    <row r="233" spans="2:13" hidden="1" x14ac:dyDescent="0.4">
      <c r="B233" s="42" t="s">
        <v>723</v>
      </c>
      <c r="C233" s="39">
        <v>12.89</v>
      </c>
      <c r="D233" s="39"/>
      <c r="E233" s="39"/>
      <c r="F233" s="39"/>
      <c r="G233" s="39"/>
      <c r="H233" s="45"/>
      <c r="I233" s="39"/>
      <c r="J233" s="39"/>
      <c r="K233" s="39"/>
      <c r="L233" s="39"/>
      <c r="M233" s="40"/>
    </row>
    <row r="234" spans="2:13" hidden="1" x14ac:dyDescent="0.4">
      <c r="B234" s="39"/>
      <c r="C234" s="39"/>
      <c r="D234" s="39"/>
      <c r="E234" s="39"/>
      <c r="F234" s="39"/>
      <c r="G234" s="39"/>
      <c r="H234" s="45"/>
      <c r="I234" s="39"/>
      <c r="J234" s="39"/>
      <c r="K234" s="39"/>
      <c r="L234" s="39"/>
      <c r="M234" s="40"/>
    </row>
    <row r="235" spans="2:13" hidden="1" x14ac:dyDescent="0.4">
      <c r="B235" s="39" t="s">
        <v>724</v>
      </c>
      <c r="C235" s="39" t="s">
        <v>725</v>
      </c>
      <c r="D235" s="39"/>
      <c r="E235" s="39"/>
      <c r="F235" s="39"/>
      <c r="G235" s="39"/>
      <c r="H235" s="45"/>
      <c r="I235" s="39"/>
      <c r="J235" s="39"/>
      <c r="K235" s="39"/>
      <c r="L235" s="39"/>
      <c r="M235" s="40"/>
    </row>
    <row r="236" spans="2:13" hidden="1" x14ac:dyDescent="0.4">
      <c r="B236" s="39"/>
      <c r="C236" s="39"/>
      <c r="D236" s="39"/>
      <c r="E236" s="39" t="s">
        <v>726</v>
      </c>
      <c r="F236" s="39"/>
      <c r="G236" s="39"/>
      <c r="H236" s="45"/>
      <c r="I236" s="39"/>
      <c r="J236" s="39"/>
      <c r="K236" s="45"/>
      <c r="L236" s="45"/>
      <c r="M236" s="40"/>
    </row>
    <row r="237" spans="2:13" ht="13" hidden="1" x14ac:dyDescent="0.4">
      <c r="B237" s="39"/>
      <c r="C237" s="39"/>
      <c r="D237" s="47">
        <v>42375</v>
      </c>
      <c r="E237" s="48">
        <v>188048</v>
      </c>
      <c r="F237" s="49"/>
      <c r="G237" s="49"/>
      <c r="H237" s="50"/>
      <c r="I237" s="51"/>
      <c r="J237" s="52"/>
      <c r="K237" s="45" t="s">
        <v>727</v>
      </c>
      <c r="L237" s="45"/>
      <c r="M237" s="40"/>
    </row>
    <row r="238" spans="2:13" ht="13" hidden="1" x14ac:dyDescent="0.4">
      <c r="B238" s="30"/>
      <c r="C238" s="53"/>
      <c r="D238" s="47">
        <v>42384</v>
      </c>
      <c r="E238" s="48">
        <v>77673</v>
      </c>
      <c r="F238" s="49"/>
      <c r="G238" s="49"/>
      <c r="H238" s="50"/>
      <c r="I238" s="51"/>
      <c r="J238" s="52"/>
      <c r="K238" s="39"/>
      <c r="L238" s="39"/>
      <c r="M238" s="39"/>
    </row>
    <row r="239" spans="2:13" ht="13" hidden="1" x14ac:dyDescent="0.4">
      <c r="B239" s="30"/>
      <c r="C239" s="53"/>
      <c r="D239" s="47">
        <v>42444</v>
      </c>
      <c r="E239" s="48">
        <v>81690</v>
      </c>
      <c r="F239" s="49"/>
      <c r="G239" s="49"/>
      <c r="H239" s="50"/>
      <c r="I239" s="51"/>
      <c r="J239" s="52"/>
      <c r="K239" s="39"/>
      <c r="L239" s="39"/>
      <c r="M239" s="39"/>
    </row>
    <row r="240" spans="2:13" ht="13" hidden="1" x14ac:dyDescent="0.4">
      <c r="B240" s="30"/>
      <c r="C240" s="53"/>
      <c r="D240" s="47">
        <v>42479</v>
      </c>
      <c r="E240" s="48">
        <v>147738</v>
      </c>
      <c r="F240" s="49"/>
      <c r="G240" s="49"/>
      <c r="H240" s="50"/>
      <c r="I240" s="51"/>
      <c r="J240" s="52"/>
      <c r="K240" s="39"/>
      <c r="L240" s="39"/>
      <c r="M240" s="39"/>
    </row>
    <row r="241" spans="2:13" ht="13" hidden="1" x14ac:dyDescent="0.4">
      <c r="B241" s="30"/>
      <c r="C241" s="53"/>
      <c r="D241" s="56"/>
      <c r="E241" s="48">
        <v>63110</v>
      </c>
      <c r="F241" s="49"/>
      <c r="G241" s="49"/>
      <c r="H241" s="50"/>
      <c r="I241" s="46"/>
      <c r="J241" s="52"/>
      <c r="K241" s="39"/>
      <c r="L241" s="39"/>
      <c r="M241" s="39"/>
    </row>
    <row r="242" spans="2:13" ht="13" hidden="1" x14ac:dyDescent="0.4">
      <c r="B242" s="30"/>
      <c r="C242" s="53"/>
      <c r="D242" s="47">
        <v>42587</v>
      </c>
      <c r="E242" s="48">
        <f>63336-1114</f>
        <v>62222</v>
      </c>
      <c r="F242" s="49"/>
      <c r="G242" s="49"/>
      <c r="H242" s="50"/>
      <c r="I242" s="46"/>
      <c r="J242" s="52"/>
      <c r="K242" s="39"/>
      <c r="L242" s="39"/>
      <c r="M242" s="39"/>
    </row>
    <row r="243" spans="2:13" ht="13" hidden="1" x14ac:dyDescent="0.4">
      <c r="B243" s="30"/>
      <c r="C243" s="53"/>
      <c r="D243" s="47"/>
      <c r="E243" s="48"/>
      <c r="F243" s="49"/>
      <c r="G243" s="49"/>
      <c r="H243" s="50"/>
      <c r="I243" s="46"/>
      <c r="J243" s="52"/>
      <c r="K243" s="39"/>
      <c r="L243" s="39"/>
      <c r="M243" s="39"/>
    </row>
    <row r="244" spans="2:13" ht="13" hidden="1" x14ac:dyDescent="0.4">
      <c r="B244" s="30"/>
      <c r="C244" s="53"/>
      <c r="D244" s="47"/>
      <c r="E244" s="48"/>
      <c r="F244" s="49"/>
      <c r="G244" s="49"/>
      <c r="H244" s="50"/>
      <c r="I244" s="46"/>
      <c r="J244" s="52"/>
      <c r="K244" s="39"/>
      <c r="L244" s="39"/>
      <c r="M244" s="39"/>
    </row>
    <row r="245" spans="2:13" ht="13" hidden="1" x14ac:dyDescent="0.4">
      <c r="B245" s="30"/>
      <c r="C245" s="53"/>
      <c r="D245" s="47"/>
      <c r="E245" s="48"/>
      <c r="F245" s="49"/>
      <c r="G245" s="49"/>
      <c r="H245" s="50"/>
      <c r="I245" s="46"/>
      <c r="J245" s="52"/>
      <c r="K245" s="39"/>
      <c r="L245" s="39"/>
      <c r="M245" s="39"/>
    </row>
    <row r="246" spans="2:13" ht="13" hidden="1" x14ac:dyDescent="0.4">
      <c r="B246" s="30"/>
      <c r="C246" s="53"/>
      <c r="D246" s="56"/>
      <c r="E246" s="48"/>
      <c r="F246" s="49"/>
      <c r="G246" s="49"/>
      <c r="H246" s="50"/>
      <c r="I246" s="46"/>
      <c r="J246" s="52"/>
      <c r="K246" s="39"/>
      <c r="L246" s="39"/>
      <c r="M246" s="39"/>
    </row>
    <row r="247" spans="2:13" ht="13" hidden="1" x14ac:dyDescent="0.4">
      <c r="B247" s="30"/>
      <c r="C247" s="53"/>
      <c r="D247" s="56"/>
      <c r="E247" s="48">
        <f>SUM(E237:E246)</f>
        <v>620481</v>
      </c>
      <c r="F247" s="57" t="e">
        <f>#REF!-E247</f>
        <v>#REF!</v>
      </c>
      <c r="G247" s="49"/>
      <c r="H247" s="50"/>
      <c r="I247" s="46"/>
      <c r="J247" s="52" t="e">
        <f>#REF!</f>
        <v>#REF!</v>
      </c>
      <c r="K247" s="39"/>
      <c r="L247" s="39"/>
      <c r="M247" s="39"/>
    </row>
    <row r="248" spans="2:13" hidden="1" x14ac:dyDescent="0.4">
      <c r="B248" s="30"/>
      <c r="C248" s="53"/>
      <c r="D248" s="58"/>
      <c r="E248" s="58"/>
      <c r="F248" s="58"/>
      <c r="G248" s="58"/>
      <c r="H248" s="102"/>
      <c r="I248" s="39"/>
      <c r="J248" s="60" t="e">
        <f>SUM(J238:J247)</f>
        <v>#REF!</v>
      </c>
      <c r="K248" s="39"/>
      <c r="L248" s="39"/>
      <c r="M248" s="39"/>
    </row>
    <row r="249" spans="2:13" hidden="1" x14ac:dyDescent="0.4">
      <c r="B249" s="30"/>
      <c r="C249" s="53"/>
      <c r="D249" s="58"/>
      <c r="E249" s="58"/>
      <c r="F249" s="58"/>
      <c r="G249" s="58"/>
      <c r="H249" s="102"/>
      <c r="I249" s="39"/>
      <c r="J249" s="59">
        <v>-1054000</v>
      </c>
      <c r="K249" s="39"/>
      <c r="L249" s="39"/>
      <c r="M249" s="39"/>
    </row>
    <row r="250" spans="2:13" hidden="1" x14ac:dyDescent="0.4">
      <c r="B250" s="21"/>
      <c r="C250" s="9"/>
      <c r="G250" s="78"/>
      <c r="H250" s="79"/>
      <c r="I250" s="21"/>
      <c r="J250" s="61" t="e">
        <f>SUM(J248:J249)</f>
        <v>#REF!</v>
      </c>
      <c r="K250" s="21"/>
      <c r="L250" s="21"/>
      <c r="M250" s="21"/>
    </row>
    <row r="251" spans="2:13" hidden="1" x14ac:dyDescent="0.4">
      <c r="B251" s="21"/>
      <c r="C251" s="9"/>
      <c r="G251" s="78"/>
      <c r="H251" s="79"/>
      <c r="I251" s="21"/>
      <c r="J251" s="79"/>
      <c r="K251" s="21"/>
      <c r="L251" s="21"/>
      <c r="M251" s="21"/>
    </row>
    <row r="252" spans="2:13" hidden="1" x14ac:dyDescent="0.4">
      <c r="B252" s="21"/>
      <c r="C252" s="9"/>
      <c r="D252" s="39"/>
      <c r="E252" s="39"/>
      <c r="F252" s="39"/>
      <c r="G252" s="39"/>
      <c r="H252" s="45"/>
      <c r="I252" s="39"/>
      <c r="J252" s="39"/>
      <c r="K252" s="39"/>
      <c r="L252" s="21"/>
      <c r="M252" s="21"/>
    </row>
    <row r="253" spans="2:13" hidden="1" x14ac:dyDescent="0.4">
      <c r="B253" s="21"/>
      <c r="C253" s="9"/>
      <c r="D253" s="39"/>
      <c r="E253" s="39" t="s">
        <v>726</v>
      </c>
      <c r="F253" s="39"/>
      <c r="G253" s="39"/>
      <c r="H253" s="45"/>
      <c r="I253" s="39"/>
      <c r="J253" s="39"/>
      <c r="K253" s="45"/>
      <c r="L253" s="21"/>
      <c r="M253" s="21"/>
    </row>
    <row r="254" spans="2:13" ht="13" hidden="1" x14ac:dyDescent="0.4">
      <c r="B254" s="21"/>
      <c r="C254" s="9" t="s">
        <v>742</v>
      </c>
      <c r="D254" s="47">
        <v>42622</v>
      </c>
      <c r="E254" s="48"/>
      <c r="F254" s="49"/>
      <c r="G254" s="49"/>
      <c r="H254" s="50"/>
      <c r="I254" s="51"/>
      <c r="J254" s="52"/>
      <c r="K254" s="63">
        <v>42593</v>
      </c>
      <c r="L254" s="21"/>
      <c r="M254" s="21"/>
    </row>
    <row r="255" spans="2:13" hidden="1" x14ac:dyDescent="0.4">
      <c r="B255" s="21"/>
      <c r="C255" s="9" t="s">
        <v>743</v>
      </c>
      <c r="D255" s="64">
        <v>42614</v>
      </c>
      <c r="E255" s="62"/>
      <c r="F255" s="62"/>
      <c r="G255" s="62"/>
      <c r="H255" s="62"/>
      <c r="I255" s="65"/>
      <c r="J255" s="62"/>
    </row>
    <row r="256" spans="2:13" hidden="1" x14ac:dyDescent="0.4">
      <c r="B256" s="21"/>
      <c r="C256" s="9" t="s">
        <v>744</v>
      </c>
      <c r="D256" s="64">
        <v>42675</v>
      </c>
      <c r="E256" s="62"/>
      <c r="F256" s="62"/>
      <c r="G256" s="62"/>
      <c r="H256" s="62"/>
      <c r="I256" s="65"/>
      <c r="J256" s="62"/>
    </row>
    <row r="257" spans="2:13" hidden="1" x14ac:dyDescent="0.4">
      <c r="B257" s="21"/>
      <c r="C257" s="9" t="s">
        <v>745</v>
      </c>
      <c r="D257" s="64">
        <v>42675</v>
      </c>
      <c r="E257" s="62"/>
      <c r="F257" s="62"/>
      <c r="G257" s="62"/>
      <c r="H257" s="62"/>
      <c r="I257" s="65"/>
      <c r="J257" s="62"/>
    </row>
    <row r="258" spans="2:13" hidden="1" x14ac:dyDescent="0.4">
      <c r="B258" s="21"/>
      <c r="C258" s="9" t="s">
        <v>746</v>
      </c>
      <c r="D258" s="64">
        <v>42668</v>
      </c>
      <c r="E258" s="62"/>
      <c r="F258" s="62"/>
      <c r="G258" s="62"/>
      <c r="H258" s="62"/>
      <c r="I258" s="65"/>
      <c r="J258" s="62"/>
    </row>
    <row r="259" spans="2:13" hidden="1" x14ac:dyDescent="0.4">
      <c r="B259" s="21"/>
      <c r="C259" s="9" t="s">
        <v>747</v>
      </c>
      <c r="D259" s="64">
        <v>42678</v>
      </c>
      <c r="E259" s="62"/>
      <c r="F259" s="62"/>
      <c r="G259" s="62"/>
      <c r="H259" s="62"/>
      <c r="I259" s="65"/>
      <c r="J259" s="62"/>
    </row>
    <row r="260" spans="2:13" ht="13" hidden="1" x14ac:dyDescent="0.4">
      <c r="B260" s="21"/>
      <c r="C260" s="9"/>
      <c r="D260" s="62"/>
      <c r="E260" s="62">
        <f>SUM(E254:E259)</f>
        <v>0</v>
      </c>
      <c r="F260" s="62"/>
      <c r="G260" s="62"/>
      <c r="H260" s="62"/>
      <c r="I260" s="65"/>
      <c r="J260" s="66" t="e">
        <f>#REF!</f>
        <v>#REF!</v>
      </c>
    </row>
    <row r="261" spans="2:13" hidden="1" x14ac:dyDescent="0.4">
      <c r="B261" s="21"/>
      <c r="C261" s="9"/>
      <c r="G261" s="78"/>
      <c r="H261" s="79"/>
      <c r="I261" s="76"/>
      <c r="J261" s="61" t="e">
        <f>J260</f>
        <v>#REF!</v>
      </c>
    </row>
    <row r="262" spans="2:13" hidden="1" x14ac:dyDescent="0.4">
      <c r="B262" s="21"/>
      <c r="C262" s="9"/>
      <c r="G262" s="78"/>
      <c r="H262" s="79"/>
      <c r="I262" s="76"/>
      <c r="J262" s="79">
        <v>-1200000</v>
      </c>
    </row>
    <row r="263" spans="2:13" hidden="1" x14ac:dyDescent="0.4">
      <c r="B263" s="21"/>
      <c r="C263" s="9"/>
      <c r="G263" s="78"/>
      <c r="H263" s="79"/>
      <c r="I263" s="76"/>
      <c r="J263" s="61" t="e">
        <f>SUM(J261:J262)</f>
        <v>#REF!</v>
      </c>
    </row>
    <row r="264" spans="2:13" hidden="1" x14ac:dyDescent="0.4">
      <c r="B264" s="21"/>
      <c r="C264" s="9"/>
      <c r="G264" s="78"/>
      <c r="H264" s="79"/>
      <c r="I264" s="76"/>
      <c r="J264" s="79"/>
    </row>
    <row r="265" spans="2:13" hidden="1" x14ac:dyDescent="0.4">
      <c r="B265" s="21"/>
      <c r="C265" s="9"/>
      <c r="D265" s="76"/>
      <c r="E265" s="79"/>
      <c r="F265" s="76"/>
      <c r="G265" s="76"/>
      <c r="I265" s="76"/>
      <c r="J265" s="21"/>
      <c r="K265" s="21"/>
      <c r="L265" s="21"/>
      <c r="M265" s="21"/>
    </row>
    <row r="266" spans="2:13" hidden="1" x14ac:dyDescent="0.4"/>
    <row r="267" spans="2:13" hidden="1" x14ac:dyDescent="0.4"/>
    <row r="268" spans="2:13" hidden="1" x14ac:dyDescent="0.4">
      <c r="C268" s="9"/>
      <c r="D268" s="39"/>
      <c r="E268" s="39"/>
      <c r="F268" s="39"/>
      <c r="G268" s="39"/>
      <c r="H268" s="45"/>
      <c r="I268" s="39"/>
      <c r="J268" s="39"/>
      <c r="K268" s="39"/>
    </row>
    <row r="269" spans="2:13" hidden="1" x14ac:dyDescent="0.4">
      <c r="C269" s="9"/>
      <c r="D269" s="39"/>
      <c r="E269" s="39" t="s">
        <v>726</v>
      </c>
      <c r="F269" s="39"/>
      <c r="G269" s="39"/>
      <c r="H269" s="45"/>
      <c r="I269" s="39"/>
      <c r="J269" s="39"/>
      <c r="K269" s="45"/>
    </row>
    <row r="270" spans="2:13" ht="13" hidden="1" x14ac:dyDescent="0.4">
      <c r="C270" s="9" t="s">
        <v>797</v>
      </c>
      <c r="D270" s="47">
        <v>42782</v>
      </c>
      <c r="E270" s="48"/>
      <c r="F270" s="49"/>
      <c r="G270" s="49"/>
      <c r="H270" s="50"/>
      <c r="I270" s="51"/>
      <c r="J270" s="52"/>
      <c r="K270" s="63"/>
    </row>
    <row r="271" spans="2:13" hidden="1" x14ac:dyDescent="0.4">
      <c r="C271" s="9" t="s">
        <v>798</v>
      </c>
      <c r="D271" s="64">
        <v>42789</v>
      </c>
      <c r="E271" s="62"/>
      <c r="F271" s="62"/>
      <c r="G271" s="62"/>
      <c r="H271" s="62"/>
      <c r="I271" s="65"/>
      <c r="J271" s="62"/>
    </row>
    <row r="272" spans="2:13" hidden="1" x14ac:dyDescent="0.4">
      <c r="C272" s="9" t="s">
        <v>809</v>
      </c>
      <c r="D272" s="64">
        <v>42807</v>
      </c>
      <c r="E272" s="62"/>
      <c r="F272" s="62"/>
      <c r="G272" s="62"/>
      <c r="H272" s="62"/>
      <c r="I272" s="65"/>
      <c r="J272" s="62"/>
    </row>
    <row r="273" spans="2:13" hidden="1" x14ac:dyDescent="0.4">
      <c r="C273" s="9" t="s">
        <v>810</v>
      </c>
      <c r="D273" s="64">
        <v>42822</v>
      </c>
      <c r="E273" s="62"/>
      <c r="F273" s="62"/>
      <c r="G273" s="62"/>
      <c r="H273" s="62"/>
      <c r="I273" s="65"/>
      <c r="J273" s="62"/>
    </row>
    <row r="274" spans="2:13" hidden="1" x14ac:dyDescent="0.4">
      <c r="C274" s="9" t="s">
        <v>811</v>
      </c>
      <c r="D274" s="64"/>
      <c r="E274" s="62"/>
      <c r="F274" s="62"/>
      <c r="G274" s="62"/>
      <c r="H274" s="62"/>
      <c r="I274" s="65"/>
      <c r="J274" s="62"/>
    </row>
    <row r="275" spans="2:13" hidden="1" x14ac:dyDescent="0.4">
      <c r="C275" s="9"/>
      <c r="D275" s="64"/>
      <c r="E275" s="62"/>
      <c r="F275" s="62"/>
      <c r="G275" s="62"/>
      <c r="H275" s="62"/>
      <c r="I275" s="65"/>
      <c r="J275" s="62"/>
    </row>
    <row r="276" spans="2:13" ht="13" hidden="1" x14ac:dyDescent="0.4">
      <c r="C276" s="9"/>
      <c r="D276" s="62"/>
      <c r="E276" s="62">
        <f>SUM(E270:E275)</f>
        <v>0</v>
      </c>
      <c r="F276" s="62"/>
      <c r="G276" s="62"/>
      <c r="H276" s="62"/>
      <c r="I276" s="65"/>
      <c r="J276" s="66" t="e">
        <f>#REF!</f>
        <v>#REF!</v>
      </c>
    </row>
    <row r="277" spans="2:13" hidden="1" x14ac:dyDescent="0.4">
      <c r="C277" s="9"/>
      <c r="G277" s="78"/>
      <c r="H277" s="79"/>
      <c r="I277" s="76"/>
      <c r="J277" s="61" t="e">
        <f>J276</f>
        <v>#REF!</v>
      </c>
    </row>
    <row r="278" spans="2:13" hidden="1" x14ac:dyDescent="0.4">
      <c r="C278" s="9"/>
      <c r="G278" s="78"/>
      <c r="H278" s="79"/>
      <c r="I278" s="76"/>
      <c r="J278" s="79">
        <v>-1700000</v>
      </c>
    </row>
    <row r="279" spans="2:13" hidden="1" x14ac:dyDescent="0.4">
      <c r="C279" s="9"/>
      <c r="G279" s="78"/>
      <c r="H279" s="79"/>
      <c r="I279" s="76"/>
      <c r="J279" s="61" t="e">
        <f>SUM(J277:J278)</f>
        <v>#REF!</v>
      </c>
    </row>
    <row r="280" spans="2:13" hidden="1" x14ac:dyDescent="0.4">
      <c r="C280" s="9"/>
      <c r="G280" s="78"/>
      <c r="H280" s="79"/>
      <c r="I280" s="76"/>
      <c r="J280" s="79"/>
    </row>
    <row r="281" spans="2:13" hidden="1" x14ac:dyDescent="0.4"/>
    <row r="282" spans="2:13" hidden="1" x14ac:dyDescent="0.4"/>
    <row r="283" spans="2:13" hidden="1" x14ac:dyDescent="0.4">
      <c r="B283" s="21"/>
      <c r="C283" s="9"/>
      <c r="G283" s="78"/>
      <c r="H283" s="79"/>
      <c r="I283" s="21"/>
      <c r="J283" s="61">
        <f>SUM(J281:J282)</f>
        <v>0</v>
      </c>
      <c r="K283" s="21"/>
      <c r="L283" s="21"/>
      <c r="M283" s="21"/>
    </row>
    <row r="284" spans="2:13" hidden="1" x14ac:dyDescent="0.4">
      <c r="B284" s="21"/>
      <c r="C284" s="9"/>
      <c r="G284" s="78"/>
      <c r="H284" s="79"/>
      <c r="I284" s="21"/>
      <c r="J284" s="79"/>
      <c r="K284" s="21"/>
      <c r="L284" s="21"/>
      <c r="M284" s="21"/>
    </row>
  </sheetData>
  <pageMargins left="0.7" right="0.7" top="0.75" bottom="0.75" header="0.3" footer="0.3"/>
  <pageSetup orientation="portrait"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7"/>
  <dimension ref="A1:O357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1.05859375" style="76" customWidth="1"/>
    <col min="2" max="2" width="31" style="76" bestFit="1" customWidth="1"/>
    <col min="3" max="3" width="14.05859375" style="78" hidden="1" customWidth="1" outlineLevel="1"/>
    <col min="4" max="4" width="11" style="78" hidden="1" customWidth="1" outlineLevel="1"/>
    <col min="5" max="5" width="13.52734375" style="78" hidden="1" customWidth="1" outlineLevel="1"/>
    <col min="6" max="6" width="12" style="78" hidden="1" customWidth="1" outlineLevel="1"/>
    <col min="7" max="7" width="14.87890625" style="79" hidden="1" customWidth="1" outlineLevel="1"/>
    <col min="8" max="8" width="19" style="76" hidden="1" customWidth="1" outlineLevel="1"/>
    <col min="9" max="9" width="14.52734375" style="79" customWidth="1" collapsed="1"/>
    <col min="10" max="10" width="14.52734375" style="76" customWidth="1"/>
    <col min="11" max="11" width="13.87890625" style="76" customWidth="1"/>
    <col min="12" max="12" width="17.29296875" style="76" customWidth="1"/>
    <col min="13" max="13" width="14.17578125" style="76" customWidth="1"/>
    <col min="14" max="16384" width="9.05859375" style="76"/>
  </cols>
  <sheetData>
    <row r="1" spans="1:13" x14ac:dyDescent="0.4">
      <c r="A1" s="75" t="s">
        <v>901</v>
      </c>
    </row>
    <row r="2" spans="1:13" x14ac:dyDescent="0.4">
      <c r="A2" s="75" t="s">
        <v>482</v>
      </c>
    </row>
    <row r="3" spans="1:13" x14ac:dyDescent="0.4">
      <c r="A3" s="3">
        <v>43251</v>
      </c>
      <c r="D3" s="14" t="s">
        <v>261</v>
      </c>
      <c r="E3" s="14"/>
      <c r="F3" s="14"/>
      <c r="G3" s="19"/>
      <c r="H3" s="4"/>
    </row>
    <row r="5" spans="1:13" x14ac:dyDescent="0.4">
      <c r="A5" s="76" t="s">
        <v>484</v>
      </c>
      <c r="B5" s="68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L5" s="416" t="s">
        <v>282</v>
      </c>
      <c r="M5" s="416" t="s">
        <v>284</v>
      </c>
    </row>
    <row r="6" spans="1:13" x14ac:dyDescent="0.4">
      <c r="A6" s="68" t="s">
        <v>971</v>
      </c>
      <c r="B6" s="68" t="s">
        <v>903</v>
      </c>
      <c r="C6" s="82">
        <v>299566.52</v>
      </c>
      <c r="G6" s="79">
        <f t="shared" ref="G6:G68" si="0">SUM(C6:F6)</f>
        <v>299566.52</v>
      </c>
      <c r="H6" s="78" t="s">
        <v>264</v>
      </c>
      <c r="I6" s="79">
        <f>G6</f>
        <v>299566.52</v>
      </c>
      <c r="L6" s="417" t="s">
        <v>264</v>
      </c>
      <c r="M6" s="418">
        <v>323428.99</v>
      </c>
    </row>
    <row r="7" spans="1:13" x14ac:dyDescent="0.4">
      <c r="A7" s="68" t="s">
        <v>972</v>
      </c>
      <c r="B7" s="68" t="s">
        <v>904</v>
      </c>
      <c r="C7" s="82">
        <v>14133.25</v>
      </c>
      <c r="G7" s="79">
        <f t="shared" si="0"/>
        <v>14133.25</v>
      </c>
      <c r="H7" s="78" t="s">
        <v>264</v>
      </c>
      <c r="I7" s="79">
        <f t="shared" ref="I7:I69" si="1">G7</f>
        <v>14133.25</v>
      </c>
      <c r="L7" s="417" t="s">
        <v>265</v>
      </c>
      <c r="M7" s="418">
        <v>708606.16</v>
      </c>
    </row>
    <row r="8" spans="1:13" x14ac:dyDescent="0.4">
      <c r="A8" s="68" t="s">
        <v>973</v>
      </c>
      <c r="B8" s="68" t="s">
        <v>905</v>
      </c>
      <c r="C8" s="82">
        <v>0</v>
      </c>
      <c r="G8" s="79">
        <f t="shared" si="0"/>
        <v>0</v>
      </c>
      <c r="H8" s="78" t="s">
        <v>264</v>
      </c>
      <c r="I8" s="79">
        <f t="shared" si="1"/>
        <v>0</v>
      </c>
      <c r="L8" s="417" t="s">
        <v>268</v>
      </c>
      <c r="M8" s="418">
        <v>17799.150000000001</v>
      </c>
    </row>
    <row r="9" spans="1:13" x14ac:dyDescent="0.4">
      <c r="A9" s="68" t="s">
        <v>974</v>
      </c>
      <c r="B9" s="68" t="s">
        <v>906</v>
      </c>
      <c r="C9" s="82">
        <v>2835.74</v>
      </c>
      <c r="G9" s="79">
        <f t="shared" si="0"/>
        <v>2835.74</v>
      </c>
      <c r="H9" s="78" t="s">
        <v>264</v>
      </c>
      <c r="I9" s="79">
        <f t="shared" si="1"/>
        <v>2835.74</v>
      </c>
      <c r="L9" s="417" t="s">
        <v>271</v>
      </c>
      <c r="M9" s="418">
        <v>303404.58</v>
      </c>
    </row>
    <row r="10" spans="1:13" x14ac:dyDescent="0.4">
      <c r="A10" s="68" t="s">
        <v>975</v>
      </c>
      <c r="B10" s="68" t="s">
        <v>907</v>
      </c>
      <c r="C10" s="82">
        <v>5127.08</v>
      </c>
      <c r="G10" s="79">
        <f t="shared" si="0"/>
        <v>5127.08</v>
      </c>
      <c r="H10" s="78" t="s">
        <v>264</v>
      </c>
      <c r="I10" s="79">
        <f t="shared" si="1"/>
        <v>5127.08</v>
      </c>
      <c r="L10" s="417" t="s">
        <v>266</v>
      </c>
      <c r="M10" s="418">
        <v>5784535.6100000003</v>
      </c>
    </row>
    <row r="11" spans="1:13" x14ac:dyDescent="0.4">
      <c r="A11" s="68" t="s">
        <v>976</v>
      </c>
      <c r="B11" s="125" t="s">
        <v>908</v>
      </c>
      <c r="C11" s="82">
        <v>-70.47</v>
      </c>
      <c r="G11" s="79">
        <f t="shared" si="0"/>
        <v>-70.47</v>
      </c>
      <c r="H11" s="78" t="s">
        <v>264</v>
      </c>
      <c r="I11" s="79">
        <f t="shared" si="1"/>
        <v>-70.47</v>
      </c>
      <c r="L11" s="417" t="s">
        <v>272</v>
      </c>
      <c r="M11" s="418">
        <v>-3149212.23</v>
      </c>
    </row>
    <row r="12" spans="1:13" x14ac:dyDescent="0.4">
      <c r="A12" s="68" t="s">
        <v>977</v>
      </c>
      <c r="B12" s="125" t="s">
        <v>909</v>
      </c>
      <c r="C12" s="82">
        <v>1479.38</v>
      </c>
      <c r="G12" s="79">
        <f t="shared" si="0"/>
        <v>1479.38</v>
      </c>
      <c r="H12" s="78" t="s">
        <v>264</v>
      </c>
      <c r="I12" s="79">
        <f t="shared" si="1"/>
        <v>1479.38</v>
      </c>
      <c r="L12" s="417" t="s">
        <v>274</v>
      </c>
      <c r="M12" s="418">
        <v>-3524592.68</v>
      </c>
    </row>
    <row r="13" spans="1:13" x14ac:dyDescent="0.4">
      <c r="A13" s="68" t="s">
        <v>312</v>
      </c>
      <c r="B13" s="68" t="s">
        <v>910</v>
      </c>
      <c r="C13" s="82">
        <v>765331.16</v>
      </c>
      <c r="G13" s="79">
        <f t="shared" si="0"/>
        <v>765331.16</v>
      </c>
      <c r="H13" s="78" t="s">
        <v>265</v>
      </c>
      <c r="I13" s="79">
        <f t="shared" si="1"/>
        <v>765331.16</v>
      </c>
      <c r="L13" s="417" t="s">
        <v>650</v>
      </c>
      <c r="M13" s="418">
        <v>1903782.74</v>
      </c>
    </row>
    <row r="14" spans="1:13" x14ac:dyDescent="0.4">
      <c r="A14" s="68" t="s">
        <v>978</v>
      </c>
      <c r="B14" s="68" t="s">
        <v>14</v>
      </c>
      <c r="C14" s="82">
        <v>-56725</v>
      </c>
      <c r="G14" s="79">
        <f t="shared" si="0"/>
        <v>-56725</v>
      </c>
      <c r="H14" s="78" t="s">
        <v>265</v>
      </c>
      <c r="I14" s="79">
        <f t="shared" si="1"/>
        <v>-56725</v>
      </c>
      <c r="L14" s="417" t="s">
        <v>278</v>
      </c>
      <c r="M14" s="418">
        <v>20485138.93</v>
      </c>
    </row>
    <row r="15" spans="1:13" x14ac:dyDescent="0.4">
      <c r="A15" s="68" t="s">
        <v>1043</v>
      </c>
      <c r="B15" s="68" t="s">
        <v>1044</v>
      </c>
      <c r="C15" s="82">
        <v>0</v>
      </c>
      <c r="G15" s="79">
        <f t="shared" si="0"/>
        <v>0</v>
      </c>
      <c r="H15" s="78" t="s">
        <v>271</v>
      </c>
      <c r="I15" s="79">
        <f t="shared" si="1"/>
        <v>0</v>
      </c>
      <c r="L15" s="417" t="s">
        <v>276</v>
      </c>
      <c r="M15" s="418">
        <v>-754016.84</v>
      </c>
    </row>
    <row r="16" spans="1:13" x14ac:dyDescent="0.4">
      <c r="A16" s="68" t="s">
        <v>979</v>
      </c>
      <c r="B16" s="68" t="s">
        <v>911</v>
      </c>
      <c r="C16" s="82">
        <v>5455.58</v>
      </c>
      <c r="G16" s="79">
        <f t="shared" si="0"/>
        <v>5455.58</v>
      </c>
      <c r="H16" s="78" t="s">
        <v>271</v>
      </c>
      <c r="I16" s="79">
        <f t="shared" si="1"/>
        <v>5455.58</v>
      </c>
      <c r="L16" s="417" t="s">
        <v>275</v>
      </c>
      <c r="M16" s="418">
        <v>5437.5</v>
      </c>
    </row>
    <row r="17" spans="1:13" x14ac:dyDescent="0.4">
      <c r="A17" s="68" t="s">
        <v>980</v>
      </c>
      <c r="B17" s="68" t="s">
        <v>912</v>
      </c>
      <c r="C17" s="82">
        <v>419633.66</v>
      </c>
      <c r="G17" s="79">
        <f t="shared" si="0"/>
        <v>419633.66</v>
      </c>
      <c r="H17" s="78" t="s">
        <v>650</v>
      </c>
      <c r="I17" s="79">
        <f t="shared" si="1"/>
        <v>419633.66</v>
      </c>
      <c r="J17" s="77"/>
      <c r="K17" s="77"/>
      <c r="L17" s="417" t="s">
        <v>277</v>
      </c>
      <c r="M17" s="418">
        <v>-20785924.02</v>
      </c>
    </row>
    <row r="18" spans="1:13" x14ac:dyDescent="0.4">
      <c r="A18" s="125" t="s">
        <v>981</v>
      </c>
      <c r="B18" s="125" t="s">
        <v>913</v>
      </c>
      <c r="C18" s="82">
        <v>1327480.55</v>
      </c>
      <c r="G18" s="79">
        <f t="shared" si="0"/>
        <v>1327480.55</v>
      </c>
      <c r="H18" s="78" t="s">
        <v>650</v>
      </c>
      <c r="I18" s="79">
        <f t="shared" si="1"/>
        <v>1327480.55</v>
      </c>
      <c r="J18" s="77"/>
      <c r="K18" s="77"/>
      <c r="L18" s="417" t="s">
        <v>859</v>
      </c>
      <c r="M18" s="418">
        <v>-1194244.3799999999</v>
      </c>
    </row>
    <row r="19" spans="1:13" x14ac:dyDescent="0.4">
      <c r="A19" s="125" t="s">
        <v>982</v>
      </c>
      <c r="B19" s="125" t="s">
        <v>914</v>
      </c>
      <c r="C19" s="82">
        <v>557674</v>
      </c>
      <c r="G19" s="79">
        <f t="shared" si="0"/>
        <v>557674</v>
      </c>
      <c r="H19" s="78" t="s">
        <v>650</v>
      </c>
      <c r="I19" s="79">
        <f t="shared" si="1"/>
        <v>557674</v>
      </c>
      <c r="L19" s="417" t="s">
        <v>860</v>
      </c>
      <c r="M19" s="418">
        <v>-124143.51</v>
      </c>
    </row>
    <row r="20" spans="1:13" x14ac:dyDescent="0.4">
      <c r="A20" s="68" t="s">
        <v>983</v>
      </c>
      <c r="B20" s="68" t="s">
        <v>915</v>
      </c>
      <c r="C20" s="82">
        <v>51220.9</v>
      </c>
      <c r="G20" s="79">
        <f t="shared" si="0"/>
        <v>51220.9</v>
      </c>
      <c r="H20" s="78" t="s">
        <v>650</v>
      </c>
      <c r="I20" s="79">
        <f t="shared" si="1"/>
        <v>51220.9</v>
      </c>
      <c r="L20" s="417" t="s">
        <v>283</v>
      </c>
      <c r="M20" s="418">
        <v>0</v>
      </c>
    </row>
    <row r="21" spans="1:13" ht="14.35" x14ac:dyDescent="0.5">
      <c r="A21" s="68" t="s">
        <v>984</v>
      </c>
      <c r="B21" s="68" t="s">
        <v>916</v>
      </c>
      <c r="C21" s="82">
        <v>60000</v>
      </c>
      <c r="G21" s="79">
        <f t="shared" si="0"/>
        <v>60000</v>
      </c>
      <c r="H21" s="78" t="s">
        <v>271</v>
      </c>
      <c r="I21" s="79">
        <f t="shared" si="1"/>
        <v>60000</v>
      </c>
      <c r="L21"/>
      <c r="M21"/>
    </row>
    <row r="22" spans="1:13" ht="14.35" x14ac:dyDescent="0.5">
      <c r="A22" s="68" t="s">
        <v>985</v>
      </c>
      <c r="B22" s="68" t="s">
        <v>917</v>
      </c>
      <c r="C22" s="82">
        <v>-27854.86</v>
      </c>
      <c r="G22" s="79">
        <f t="shared" si="0"/>
        <v>-27854.86</v>
      </c>
      <c r="H22" s="78" t="s">
        <v>650</v>
      </c>
      <c r="I22" s="79">
        <f t="shared" si="1"/>
        <v>-27854.86</v>
      </c>
      <c r="L22"/>
      <c r="M22"/>
    </row>
    <row r="23" spans="1:13" ht="14.35" x14ac:dyDescent="0.5">
      <c r="A23" s="68" t="s">
        <v>986</v>
      </c>
      <c r="B23" s="68" t="s">
        <v>918</v>
      </c>
      <c r="C23" s="82">
        <v>-454729.95</v>
      </c>
      <c r="G23" s="79">
        <f t="shared" si="0"/>
        <v>-454729.95</v>
      </c>
      <c r="H23" s="78" t="s">
        <v>650</v>
      </c>
      <c r="I23" s="79">
        <f t="shared" si="1"/>
        <v>-454729.95</v>
      </c>
      <c r="L23"/>
      <c r="M23"/>
    </row>
    <row r="24" spans="1:13" ht="14.35" x14ac:dyDescent="0.5">
      <c r="A24" s="68" t="s">
        <v>987</v>
      </c>
      <c r="B24" s="68" t="s">
        <v>919</v>
      </c>
      <c r="C24" s="82">
        <v>30358.44</v>
      </c>
      <c r="G24" s="79">
        <f t="shared" si="0"/>
        <v>30358.44</v>
      </c>
      <c r="H24" s="78" t="s">
        <v>650</v>
      </c>
      <c r="I24" s="79">
        <f t="shared" si="1"/>
        <v>30358.44</v>
      </c>
      <c r="L24"/>
      <c r="M24"/>
    </row>
    <row r="25" spans="1:13" ht="14.35" x14ac:dyDescent="0.5">
      <c r="A25" s="68" t="s">
        <v>1240</v>
      </c>
      <c r="B25" s="68" t="s">
        <v>1241</v>
      </c>
      <c r="C25" s="82">
        <v>-718.94</v>
      </c>
      <c r="G25" s="79">
        <f t="shared" si="0"/>
        <v>-718.94</v>
      </c>
      <c r="H25" s="78" t="s">
        <v>271</v>
      </c>
      <c r="I25" s="79">
        <f t="shared" si="1"/>
        <v>-718.94</v>
      </c>
      <c r="L25"/>
      <c r="M25"/>
    </row>
    <row r="26" spans="1:13" ht="14.35" x14ac:dyDescent="0.5">
      <c r="A26" s="68" t="s">
        <v>988</v>
      </c>
      <c r="B26" s="68" t="s">
        <v>55</v>
      </c>
      <c r="C26" s="82">
        <v>356104.48</v>
      </c>
      <c r="G26" s="79">
        <f t="shared" si="0"/>
        <v>356104.48</v>
      </c>
      <c r="H26" s="78" t="s">
        <v>266</v>
      </c>
      <c r="I26" s="79">
        <f t="shared" si="1"/>
        <v>356104.48</v>
      </c>
      <c r="L26"/>
      <c r="M26"/>
    </row>
    <row r="27" spans="1:13" ht="14.35" x14ac:dyDescent="0.5">
      <c r="A27" s="68" t="s">
        <v>989</v>
      </c>
      <c r="B27" s="68" t="s">
        <v>920</v>
      </c>
      <c r="C27" s="82">
        <v>-152934.25</v>
      </c>
      <c r="G27" s="79">
        <f t="shared" si="0"/>
        <v>-152934.25</v>
      </c>
      <c r="H27" s="78" t="s">
        <v>266</v>
      </c>
      <c r="I27" s="79">
        <f t="shared" si="1"/>
        <v>-152934.25</v>
      </c>
      <c r="L27" s="80"/>
      <c r="M27" s="80"/>
    </row>
    <row r="28" spans="1:13" ht="14.35" x14ac:dyDescent="0.5">
      <c r="A28" s="68" t="s">
        <v>990</v>
      </c>
      <c r="B28" s="68" t="s">
        <v>921</v>
      </c>
      <c r="C28" s="82">
        <v>22222.54</v>
      </c>
      <c r="G28" s="79">
        <f t="shared" si="0"/>
        <v>22222.54</v>
      </c>
      <c r="H28" s="78" t="s">
        <v>266</v>
      </c>
      <c r="I28" s="79">
        <f t="shared" si="1"/>
        <v>22222.54</v>
      </c>
      <c r="L28" s="80"/>
      <c r="M28" s="80"/>
    </row>
    <row r="29" spans="1:13" ht="14.35" x14ac:dyDescent="0.5">
      <c r="A29" s="68" t="s">
        <v>991</v>
      </c>
      <c r="B29" s="68" t="s">
        <v>922</v>
      </c>
      <c r="C29" s="82">
        <v>-20920.28</v>
      </c>
      <c r="G29" s="79">
        <f t="shared" si="0"/>
        <v>-20920.28</v>
      </c>
      <c r="H29" s="78" t="s">
        <v>266</v>
      </c>
      <c r="I29" s="79">
        <f t="shared" si="1"/>
        <v>-20920.28</v>
      </c>
      <c r="L29" s="80"/>
      <c r="M29" s="80"/>
    </row>
    <row r="30" spans="1:13" x14ac:dyDescent="0.4">
      <c r="A30" s="68" t="s">
        <v>992</v>
      </c>
      <c r="B30" s="68" t="s">
        <v>923</v>
      </c>
      <c r="C30" s="82">
        <v>42000.76</v>
      </c>
      <c r="G30" s="79">
        <f t="shared" si="0"/>
        <v>42000.76</v>
      </c>
      <c r="H30" s="78" t="s">
        <v>266</v>
      </c>
      <c r="I30" s="79">
        <f t="shared" si="1"/>
        <v>42000.76</v>
      </c>
    </row>
    <row r="31" spans="1:13" x14ac:dyDescent="0.4">
      <c r="A31" s="68" t="s">
        <v>993</v>
      </c>
      <c r="B31" s="68" t="s">
        <v>924</v>
      </c>
      <c r="C31" s="82">
        <v>-30228.42</v>
      </c>
      <c r="G31" s="79">
        <f t="shared" si="0"/>
        <v>-30228.42</v>
      </c>
      <c r="H31" s="78" t="s">
        <v>266</v>
      </c>
      <c r="I31" s="79">
        <f t="shared" si="1"/>
        <v>-30228.42</v>
      </c>
    </row>
    <row r="32" spans="1:13" x14ac:dyDescent="0.4">
      <c r="A32" s="68" t="s">
        <v>994</v>
      </c>
      <c r="B32" s="68" t="s">
        <v>925</v>
      </c>
      <c r="C32" s="82">
        <v>1747984.96</v>
      </c>
      <c r="G32" s="79">
        <f t="shared" si="0"/>
        <v>1747984.96</v>
      </c>
      <c r="H32" s="78" t="s">
        <v>266</v>
      </c>
      <c r="I32" s="79">
        <f t="shared" si="1"/>
        <v>1747984.96</v>
      </c>
    </row>
    <row r="33" spans="1:11" x14ac:dyDescent="0.4">
      <c r="A33" s="125" t="s">
        <v>995</v>
      </c>
      <c r="B33" s="125" t="s">
        <v>926</v>
      </c>
      <c r="C33" s="82">
        <v>4705788.3499999996</v>
      </c>
      <c r="G33" s="79">
        <f t="shared" si="0"/>
        <v>4705788.3499999996</v>
      </c>
      <c r="H33" s="78" t="s">
        <v>266</v>
      </c>
      <c r="I33" s="79">
        <f t="shared" si="1"/>
        <v>4705788.3499999996</v>
      </c>
    </row>
    <row r="34" spans="1:11" x14ac:dyDescent="0.4">
      <c r="A34" s="125" t="s">
        <v>996</v>
      </c>
      <c r="B34" s="125" t="s">
        <v>45</v>
      </c>
      <c r="C34" s="82">
        <v>-1427459.37</v>
      </c>
      <c r="G34" s="79">
        <f t="shared" si="0"/>
        <v>-1427459.37</v>
      </c>
      <c r="H34" s="78" t="s">
        <v>266</v>
      </c>
      <c r="I34" s="79">
        <f t="shared" si="1"/>
        <v>-1427459.37</v>
      </c>
    </row>
    <row r="35" spans="1:11" x14ac:dyDescent="0.4">
      <c r="A35" s="68" t="s">
        <v>997</v>
      </c>
      <c r="B35" s="68" t="s">
        <v>927</v>
      </c>
      <c r="C35" s="82">
        <v>225185</v>
      </c>
      <c r="G35" s="79">
        <f t="shared" si="0"/>
        <v>225185</v>
      </c>
      <c r="H35" s="78" t="s">
        <v>266</v>
      </c>
      <c r="I35" s="79">
        <f t="shared" si="1"/>
        <v>225185</v>
      </c>
      <c r="K35" s="77"/>
    </row>
    <row r="36" spans="1:11" x14ac:dyDescent="0.4">
      <c r="A36" s="68" t="s">
        <v>998</v>
      </c>
      <c r="B36" s="68" t="s">
        <v>928</v>
      </c>
      <c r="C36" s="82">
        <v>-129377.51</v>
      </c>
      <c r="G36" s="79">
        <f t="shared" si="0"/>
        <v>-129377.51</v>
      </c>
      <c r="H36" s="78" t="s">
        <v>266</v>
      </c>
      <c r="I36" s="79">
        <f t="shared" si="1"/>
        <v>-129377.51</v>
      </c>
    </row>
    <row r="37" spans="1:11" x14ac:dyDescent="0.4">
      <c r="A37" s="68" t="s">
        <v>999</v>
      </c>
      <c r="B37" s="68" t="s">
        <v>929</v>
      </c>
      <c r="C37" s="82">
        <v>741401.39</v>
      </c>
      <c r="G37" s="79">
        <f t="shared" si="0"/>
        <v>741401.39</v>
      </c>
      <c r="H37" s="78" t="s">
        <v>266</v>
      </c>
      <c r="I37" s="79">
        <f t="shared" si="1"/>
        <v>741401.39</v>
      </c>
    </row>
    <row r="38" spans="1:11" x14ac:dyDescent="0.4">
      <c r="A38" s="68" t="s">
        <v>1000</v>
      </c>
      <c r="B38" s="68" t="s">
        <v>930</v>
      </c>
      <c r="C38" s="82">
        <v>-305429.15000000002</v>
      </c>
      <c r="G38" s="79">
        <f t="shared" si="0"/>
        <v>-305429.15000000002</v>
      </c>
      <c r="H38" s="78" t="s">
        <v>266</v>
      </c>
      <c r="I38" s="79">
        <f t="shared" si="1"/>
        <v>-305429.15000000002</v>
      </c>
    </row>
    <row r="39" spans="1:11" x14ac:dyDescent="0.4">
      <c r="A39" s="68" t="s">
        <v>1001</v>
      </c>
      <c r="B39" s="68" t="s">
        <v>931</v>
      </c>
      <c r="C39" s="82">
        <v>19737.259999999998</v>
      </c>
      <c r="G39" s="79">
        <f t="shared" si="0"/>
        <v>19737.259999999998</v>
      </c>
      <c r="H39" s="78" t="s">
        <v>266</v>
      </c>
      <c r="I39" s="79">
        <f t="shared" si="1"/>
        <v>19737.259999999998</v>
      </c>
    </row>
    <row r="40" spans="1:11" x14ac:dyDescent="0.4">
      <c r="A40" s="125" t="s">
        <v>1002</v>
      </c>
      <c r="B40" s="125" t="s">
        <v>932</v>
      </c>
      <c r="C40" s="82">
        <v>-9540.15</v>
      </c>
      <c r="G40" s="79">
        <f t="shared" si="0"/>
        <v>-9540.15</v>
      </c>
      <c r="H40" s="78" t="s">
        <v>266</v>
      </c>
      <c r="I40" s="79">
        <f t="shared" si="1"/>
        <v>-9540.15</v>
      </c>
    </row>
    <row r="41" spans="1:11" x14ac:dyDescent="0.4">
      <c r="A41" s="68" t="s">
        <v>1003</v>
      </c>
      <c r="B41" s="68" t="s">
        <v>933</v>
      </c>
      <c r="C41" s="82">
        <v>17799.150000000001</v>
      </c>
      <c r="G41" s="79">
        <f t="shared" si="0"/>
        <v>17799.150000000001</v>
      </c>
      <c r="H41" s="78" t="s">
        <v>268</v>
      </c>
      <c r="I41" s="79">
        <f t="shared" si="1"/>
        <v>17799.150000000001</v>
      </c>
    </row>
    <row r="42" spans="1:11" x14ac:dyDescent="0.4">
      <c r="A42" s="68" t="s">
        <v>1004</v>
      </c>
      <c r="B42" s="68" t="s">
        <v>934</v>
      </c>
      <c r="C42" s="82">
        <f>3625+968.48</f>
        <v>4593.4799999999996</v>
      </c>
      <c r="G42" s="79">
        <f t="shared" si="0"/>
        <v>4593.4799999999996</v>
      </c>
      <c r="H42" s="78" t="s">
        <v>271</v>
      </c>
      <c r="I42" s="79">
        <f t="shared" si="1"/>
        <v>4593.4799999999996</v>
      </c>
    </row>
    <row r="43" spans="1:11" x14ac:dyDescent="0.4">
      <c r="A43" s="68" t="s">
        <v>1005</v>
      </c>
      <c r="B43" s="68" t="s">
        <v>935</v>
      </c>
      <c r="C43" s="82">
        <v>49513.04</v>
      </c>
      <c r="G43" s="79">
        <f t="shared" si="0"/>
        <v>49513.04</v>
      </c>
      <c r="H43" s="78" t="s">
        <v>271</v>
      </c>
      <c r="I43" s="79">
        <f t="shared" si="1"/>
        <v>49513.04</v>
      </c>
    </row>
    <row r="44" spans="1:11" x14ac:dyDescent="0.4">
      <c r="A44" s="68" t="s">
        <v>1006</v>
      </c>
      <c r="B44" s="68" t="s">
        <v>936</v>
      </c>
      <c r="C44" s="82">
        <v>67820.13</v>
      </c>
      <c r="G44" s="79">
        <f t="shared" si="0"/>
        <v>67820.13</v>
      </c>
      <c r="H44" s="78" t="s">
        <v>271</v>
      </c>
      <c r="I44" s="79">
        <f t="shared" si="1"/>
        <v>67820.13</v>
      </c>
    </row>
    <row r="45" spans="1:11" x14ac:dyDescent="0.4">
      <c r="A45" s="68" t="s">
        <v>1007</v>
      </c>
      <c r="B45" s="68" t="s">
        <v>937</v>
      </c>
      <c r="C45" s="82">
        <v>62701.68</v>
      </c>
      <c r="G45" s="79">
        <f t="shared" si="0"/>
        <v>62701.68</v>
      </c>
      <c r="H45" s="78" t="s">
        <v>271</v>
      </c>
      <c r="I45" s="79">
        <f t="shared" si="1"/>
        <v>62701.68</v>
      </c>
    </row>
    <row r="46" spans="1:11" x14ac:dyDescent="0.4">
      <c r="A46" s="125" t="s">
        <v>1008</v>
      </c>
      <c r="B46" s="68" t="s">
        <v>938</v>
      </c>
      <c r="C46" s="82">
        <v>41444</v>
      </c>
      <c r="G46" s="79">
        <f t="shared" si="0"/>
        <v>41444</v>
      </c>
      <c r="H46" s="78" t="s">
        <v>271</v>
      </c>
      <c r="I46" s="79">
        <f t="shared" si="1"/>
        <v>41444</v>
      </c>
    </row>
    <row r="47" spans="1:11" x14ac:dyDescent="0.4">
      <c r="A47" s="68" t="s">
        <v>1009</v>
      </c>
      <c r="B47" s="68" t="s">
        <v>939</v>
      </c>
      <c r="C47" s="82">
        <v>12595.61</v>
      </c>
      <c r="G47" s="79">
        <f t="shared" si="0"/>
        <v>12595.61</v>
      </c>
      <c r="H47" s="78" t="s">
        <v>271</v>
      </c>
      <c r="I47" s="79">
        <f t="shared" si="1"/>
        <v>12595.61</v>
      </c>
      <c r="K47" s="77">
        <f>SUM(C41:C48)</f>
        <v>256824.58</v>
      </c>
    </row>
    <row r="48" spans="1:11" x14ac:dyDescent="0.4">
      <c r="A48" s="68" t="s">
        <v>1010</v>
      </c>
      <c r="B48" s="68" t="s">
        <v>940</v>
      </c>
      <c r="C48" s="82">
        <v>357.49</v>
      </c>
      <c r="G48" s="79">
        <f t="shared" si="0"/>
        <v>357.49</v>
      </c>
      <c r="H48" s="78" t="s">
        <v>264</v>
      </c>
      <c r="I48" s="79">
        <f t="shared" si="1"/>
        <v>357.49</v>
      </c>
      <c r="K48" s="76">
        <v>255856.1</v>
      </c>
    </row>
    <row r="49" spans="1:11" x14ac:dyDescent="0.4">
      <c r="A49" s="68" t="s">
        <v>363</v>
      </c>
      <c r="B49" s="68" t="s">
        <v>64</v>
      </c>
      <c r="C49" s="77">
        <v>-1141051.2</v>
      </c>
      <c r="G49" s="79">
        <f t="shared" si="0"/>
        <v>-1141051.2</v>
      </c>
      <c r="H49" s="78" t="s">
        <v>859</v>
      </c>
      <c r="I49" s="79">
        <f t="shared" si="1"/>
        <v>-1141051.2</v>
      </c>
      <c r="K49" s="77">
        <f>K47-K48</f>
        <v>968.48</v>
      </c>
    </row>
    <row r="50" spans="1:11" x14ac:dyDescent="0.4">
      <c r="A50" s="68" t="s">
        <v>1011</v>
      </c>
      <c r="B50" s="68" t="s">
        <v>941</v>
      </c>
      <c r="C50" s="77">
        <v>-53193.18</v>
      </c>
      <c r="D50" s="76"/>
      <c r="G50" s="79">
        <f t="shared" si="0"/>
        <v>-53193.18</v>
      </c>
      <c r="H50" s="78" t="s">
        <v>859</v>
      </c>
      <c r="I50" s="79">
        <f t="shared" si="1"/>
        <v>-53193.18</v>
      </c>
      <c r="K50" s="77">
        <f>SUM(C51:C53)</f>
        <v>-3273355.74</v>
      </c>
    </row>
    <row r="51" spans="1:11" x14ac:dyDescent="0.4">
      <c r="A51" s="68" t="s">
        <v>1012</v>
      </c>
      <c r="B51" s="68" t="s">
        <v>125</v>
      </c>
      <c r="C51" s="77">
        <v>-3149212.23</v>
      </c>
      <c r="G51" s="79">
        <f t="shared" si="0"/>
        <v>-3149212.23</v>
      </c>
      <c r="H51" s="78" t="s">
        <v>272</v>
      </c>
      <c r="I51" s="79">
        <f t="shared" si="1"/>
        <v>-3149212.23</v>
      </c>
      <c r="K51" s="77">
        <f>SUM(K49:K50)</f>
        <v>-3272387.26</v>
      </c>
    </row>
    <row r="52" spans="1:11" x14ac:dyDescent="0.4">
      <c r="A52" s="125" t="s">
        <v>1013</v>
      </c>
      <c r="B52" s="125" t="s">
        <v>942</v>
      </c>
      <c r="C52" s="77">
        <v>-17383.509999999998</v>
      </c>
      <c r="G52" s="79">
        <f t="shared" si="0"/>
        <v>-17383.509999999998</v>
      </c>
      <c r="H52" s="78" t="s">
        <v>860</v>
      </c>
      <c r="I52" s="79">
        <f t="shared" si="1"/>
        <v>-17383.509999999998</v>
      </c>
    </row>
    <row r="53" spans="1:11" x14ac:dyDescent="0.4">
      <c r="A53" s="68" t="s">
        <v>1014</v>
      </c>
      <c r="B53" s="68" t="s">
        <v>943</v>
      </c>
      <c r="C53" s="77">
        <v>-106760</v>
      </c>
      <c r="G53" s="79">
        <f t="shared" si="0"/>
        <v>-106760</v>
      </c>
      <c r="H53" s="78" t="s">
        <v>860</v>
      </c>
      <c r="I53" s="79">
        <f t="shared" si="1"/>
        <v>-106760</v>
      </c>
      <c r="K53" s="77"/>
    </row>
    <row r="54" spans="1:11" x14ac:dyDescent="0.4">
      <c r="A54" s="68" t="s">
        <v>1015</v>
      </c>
      <c r="B54" s="68" t="s">
        <v>944</v>
      </c>
      <c r="C54" s="77">
        <v>-112444.25</v>
      </c>
      <c r="G54" s="79">
        <f t="shared" si="0"/>
        <v>-112444.25</v>
      </c>
      <c r="H54" s="78" t="s">
        <v>274</v>
      </c>
      <c r="I54" s="79">
        <f t="shared" si="1"/>
        <v>-112444.25</v>
      </c>
    </row>
    <row r="55" spans="1:11" x14ac:dyDescent="0.4">
      <c r="A55" s="68" t="s">
        <v>1016</v>
      </c>
      <c r="B55" s="68" t="s">
        <v>945</v>
      </c>
      <c r="C55" s="77">
        <v>-112588.96</v>
      </c>
      <c r="G55" s="79">
        <f t="shared" si="0"/>
        <v>-112588.96</v>
      </c>
      <c r="H55" s="78" t="s">
        <v>274</v>
      </c>
      <c r="I55" s="79">
        <f t="shared" si="1"/>
        <v>-112588.96</v>
      </c>
    </row>
    <row r="56" spans="1:11" x14ac:dyDescent="0.4">
      <c r="A56" s="68" t="s">
        <v>1017</v>
      </c>
      <c r="B56" s="68" t="s">
        <v>946</v>
      </c>
      <c r="C56" s="77">
        <v>-385845.77</v>
      </c>
      <c r="G56" s="79">
        <f t="shared" si="0"/>
        <v>-385845.77</v>
      </c>
      <c r="H56" s="78" t="s">
        <v>274</v>
      </c>
      <c r="I56" s="79">
        <f t="shared" si="1"/>
        <v>-385845.77</v>
      </c>
    </row>
    <row r="57" spans="1:11" x14ac:dyDescent="0.4">
      <c r="A57" s="68" t="s">
        <v>1018</v>
      </c>
      <c r="B57" s="68" t="s">
        <v>947</v>
      </c>
      <c r="C57" s="77">
        <v>-39316.980000000003</v>
      </c>
      <c r="G57" s="79">
        <f t="shared" si="0"/>
        <v>-39316.980000000003</v>
      </c>
      <c r="H57" s="78" t="s">
        <v>274</v>
      </c>
      <c r="I57" s="79">
        <f t="shared" si="1"/>
        <v>-39316.980000000003</v>
      </c>
    </row>
    <row r="58" spans="1:11" x14ac:dyDescent="0.4">
      <c r="A58" s="68" t="s">
        <v>1019</v>
      </c>
      <c r="B58" s="68" t="s">
        <v>948</v>
      </c>
      <c r="C58" s="77">
        <v>-12071.9</v>
      </c>
      <c r="G58" s="79">
        <f t="shared" si="0"/>
        <v>-12071.9</v>
      </c>
      <c r="H58" s="78" t="s">
        <v>274</v>
      </c>
      <c r="I58" s="79">
        <f t="shared" si="1"/>
        <v>-12071.9</v>
      </c>
      <c r="K58" s="77"/>
    </row>
    <row r="59" spans="1:11" x14ac:dyDescent="0.4">
      <c r="A59" s="68" t="s">
        <v>1020</v>
      </c>
      <c r="B59" s="68" t="s">
        <v>949</v>
      </c>
      <c r="C59" s="77">
        <v>-38227.75</v>
      </c>
      <c r="G59" s="79">
        <f t="shared" si="0"/>
        <v>-38227.75</v>
      </c>
      <c r="H59" s="78" t="s">
        <v>274</v>
      </c>
      <c r="I59" s="79">
        <f t="shared" si="1"/>
        <v>-38227.75</v>
      </c>
      <c r="K59" s="77"/>
    </row>
    <row r="60" spans="1:11" x14ac:dyDescent="0.4">
      <c r="A60" s="68" t="s">
        <v>1021</v>
      </c>
      <c r="B60" s="68" t="s">
        <v>950</v>
      </c>
      <c r="C60" s="77">
        <v>-51704</v>
      </c>
      <c r="G60" s="79">
        <f t="shared" si="0"/>
        <v>-51704</v>
      </c>
      <c r="H60" s="78" t="s">
        <v>274</v>
      </c>
      <c r="I60" s="79">
        <f t="shared" si="1"/>
        <v>-51704</v>
      </c>
      <c r="K60" s="77"/>
    </row>
    <row r="61" spans="1:11" x14ac:dyDescent="0.4">
      <c r="A61" s="68" t="s">
        <v>1023</v>
      </c>
      <c r="B61" s="68" t="s">
        <v>1248</v>
      </c>
      <c r="C61" s="77">
        <v>-27404.67</v>
      </c>
      <c r="G61" s="79">
        <f t="shared" si="0"/>
        <v>-27404.67</v>
      </c>
      <c r="H61" s="78" t="s">
        <v>274</v>
      </c>
      <c r="I61" s="79">
        <f t="shared" si="1"/>
        <v>-27404.67</v>
      </c>
    </row>
    <row r="62" spans="1:11" x14ac:dyDescent="0.4">
      <c r="A62" s="68" t="s">
        <v>1024</v>
      </c>
      <c r="B62" s="68" t="s">
        <v>953</v>
      </c>
      <c r="C62" s="77">
        <v>-104108.11</v>
      </c>
      <c r="G62" s="79">
        <f t="shared" si="0"/>
        <v>-104108.11</v>
      </c>
      <c r="H62" s="78" t="s">
        <v>274</v>
      </c>
      <c r="I62" s="79">
        <f t="shared" si="1"/>
        <v>-104108.11</v>
      </c>
    </row>
    <row r="63" spans="1:11" x14ac:dyDescent="0.4">
      <c r="A63" s="68" t="s">
        <v>1026</v>
      </c>
      <c r="B63" s="68" t="s">
        <v>955</v>
      </c>
      <c r="C63" s="77">
        <v>-31750.18</v>
      </c>
      <c r="G63" s="79">
        <f t="shared" si="0"/>
        <v>-31750.18</v>
      </c>
      <c r="H63" s="78" t="s">
        <v>274</v>
      </c>
      <c r="I63" s="79">
        <f t="shared" si="1"/>
        <v>-31750.18</v>
      </c>
    </row>
    <row r="64" spans="1:11" x14ac:dyDescent="0.4">
      <c r="A64" s="68" t="s">
        <v>1027</v>
      </c>
      <c r="B64" s="68" t="s">
        <v>956</v>
      </c>
      <c r="C64" s="77">
        <v>-491500</v>
      </c>
      <c r="G64" s="79">
        <f t="shared" si="0"/>
        <v>-491500</v>
      </c>
      <c r="H64" s="78" t="s">
        <v>274</v>
      </c>
      <c r="I64" s="79">
        <f t="shared" si="1"/>
        <v>-491500</v>
      </c>
      <c r="K64" s="77"/>
    </row>
    <row r="65" spans="1:11" x14ac:dyDescent="0.4">
      <c r="A65" s="68" t="s">
        <v>1028</v>
      </c>
      <c r="B65" s="68" t="s">
        <v>957</v>
      </c>
      <c r="C65" s="77">
        <v>-45712.38</v>
      </c>
      <c r="G65" s="79">
        <f t="shared" si="0"/>
        <v>-45712.38</v>
      </c>
      <c r="H65" s="78" t="s">
        <v>274</v>
      </c>
      <c r="I65" s="79">
        <f t="shared" si="1"/>
        <v>-45712.38</v>
      </c>
    </row>
    <row r="66" spans="1:11" x14ac:dyDescent="0.4">
      <c r="A66" s="68" t="s">
        <v>1029</v>
      </c>
      <c r="B66" s="68" t="s">
        <v>958</v>
      </c>
      <c r="C66" s="77">
        <v>-39498</v>
      </c>
      <c r="G66" s="79">
        <f t="shared" si="0"/>
        <v>-39498</v>
      </c>
      <c r="H66" s="78" t="s">
        <v>274</v>
      </c>
      <c r="I66" s="79">
        <f t="shared" si="1"/>
        <v>-39498</v>
      </c>
    </row>
    <row r="67" spans="1:11" x14ac:dyDescent="0.4">
      <c r="A67" s="68" t="s">
        <v>1030</v>
      </c>
      <c r="B67" s="68" t="s">
        <v>959</v>
      </c>
      <c r="C67" s="77">
        <v>-200500</v>
      </c>
      <c r="G67" s="79">
        <f t="shared" si="0"/>
        <v>-200500</v>
      </c>
      <c r="H67" s="78" t="s">
        <v>274</v>
      </c>
      <c r="I67" s="79">
        <f t="shared" si="1"/>
        <v>-200500</v>
      </c>
    </row>
    <row r="68" spans="1:11" x14ac:dyDescent="0.4">
      <c r="A68" s="68" t="s">
        <v>1031</v>
      </c>
      <c r="B68" s="68" t="s">
        <v>960</v>
      </c>
      <c r="C68" s="77">
        <v>-152750.44</v>
      </c>
      <c r="G68" s="79">
        <f t="shared" si="0"/>
        <v>-152750.44</v>
      </c>
      <c r="H68" s="78" t="s">
        <v>274</v>
      </c>
      <c r="I68" s="79">
        <f t="shared" si="1"/>
        <v>-152750.44</v>
      </c>
    </row>
    <row r="69" spans="1:11" x14ac:dyDescent="0.4">
      <c r="A69" s="68" t="s">
        <v>1032</v>
      </c>
      <c r="B69" s="68" t="s">
        <v>961</v>
      </c>
      <c r="C69" s="77">
        <v>-62512.92</v>
      </c>
      <c r="G69" s="79">
        <f t="shared" ref="G69:G84" si="2">SUM(C69:F69)</f>
        <v>-62512.92</v>
      </c>
      <c r="H69" s="78" t="s">
        <v>274</v>
      </c>
      <c r="I69" s="79">
        <f t="shared" si="1"/>
        <v>-62512.92</v>
      </c>
    </row>
    <row r="70" spans="1:11" x14ac:dyDescent="0.4">
      <c r="A70" s="68" t="s">
        <v>1033</v>
      </c>
      <c r="B70" s="68" t="s">
        <v>962</v>
      </c>
      <c r="C70" s="77">
        <v>-47710</v>
      </c>
      <c r="G70" s="79">
        <f t="shared" si="2"/>
        <v>-47710</v>
      </c>
      <c r="H70" s="78" t="s">
        <v>274</v>
      </c>
      <c r="I70" s="79">
        <f t="shared" ref="I70:I84" si="3">G70</f>
        <v>-47710</v>
      </c>
    </row>
    <row r="71" spans="1:11" x14ac:dyDescent="0.4">
      <c r="A71" s="68" t="s">
        <v>1034</v>
      </c>
      <c r="B71" s="68" t="s">
        <v>963</v>
      </c>
      <c r="C71" s="77">
        <v>-51796.38</v>
      </c>
      <c r="G71" s="79">
        <f t="shared" si="2"/>
        <v>-51796.38</v>
      </c>
      <c r="H71" s="78" t="s">
        <v>274</v>
      </c>
      <c r="I71" s="79">
        <f t="shared" si="3"/>
        <v>-51796.38</v>
      </c>
    </row>
    <row r="72" spans="1:11" x14ac:dyDescent="0.4">
      <c r="A72" s="68" t="s">
        <v>1035</v>
      </c>
      <c r="B72" s="68" t="s">
        <v>964</v>
      </c>
      <c r="C72" s="77">
        <v>-60030.54</v>
      </c>
      <c r="G72" s="79">
        <f t="shared" si="2"/>
        <v>-60030.54</v>
      </c>
      <c r="H72" s="78" t="s">
        <v>274</v>
      </c>
      <c r="I72" s="79">
        <f t="shared" si="3"/>
        <v>-60030.54</v>
      </c>
    </row>
    <row r="73" spans="1:11" x14ac:dyDescent="0.4">
      <c r="A73" s="68" t="s">
        <v>1036</v>
      </c>
      <c r="B73" s="68" t="s">
        <v>965</v>
      </c>
      <c r="C73" s="77">
        <v>-130000</v>
      </c>
      <c r="G73" s="79">
        <f t="shared" si="2"/>
        <v>-130000</v>
      </c>
      <c r="H73" s="78" t="s">
        <v>274</v>
      </c>
      <c r="I73" s="79">
        <f t="shared" si="3"/>
        <v>-130000</v>
      </c>
    </row>
    <row r="74" spans="1:11" x14ac:dyDescent="0.4">
      <c r="A74" s="68" t="s">
        <v>1037</v>
      </c>
      <c r="B74" s="68" t="s">
        <v>966</v>
      </c>
      <c r="C74" s="77">
        <v>-106643.15</v>
      </c>
      <c r="G74" s="79">
        <f t="shared" si="2"/>
        <v>-106643.15</v>
      </c>
      <c r="H74" s="78" t="s">
        <v>274</v>
      </c>
      <c r="I74" s="79">
        <f t="shared" si="3"/>
        <v>-106643.15</v>
      </c>
      <c r="K74" s="77"/>
    </row>
    <row r="75" spans="1:11" x14ac:dyDescent="0.4">
      <c r="A75" s="68" t="s">
        <v>1249</v>
      </c>
      <c r="B75" s="68" t="s">
        <v>926</v>
      </c>
      <c r="C75" s="77">
        <v>-917366</v>
      </c>
      <c r="G75" s="79">
        <f t="shared" si="2"/>
        <v>-917366</v>
      </c>
      <c r="H75" s="78" t="s">
        <v>274</v>
      </c>
      <c r="I75" s="79">
        <f t="shared" si="3"/>
        <v>-917366</v>
      </c>
      <c r="K75" s="77"/>
    </row>
    <row r="76" spans="1:11" x14ac:dyDescent="0.4">
      <c r="A76" s="68" t="s">
        <v>1232</v>
      </c>
      <c r="B76" s="68" t="s">
        <v>1233</v>
      </c>
      <c r="C76" s="77">
        <v>-140508.88</v>
      </c>
      <c r="G76" s="79">
        <f t="shared" si="2"/>
        <v>-140508.88</v>
      </c>
      <c r="H76" s="78" t="s">
        <v>274</v>
      </c>
      <c r="I76" s="79">
        <f t="shared" si="3"/>
        <v>-140508.88</v>
      </c>
    </row>
    <row r="77" spans="1:11" x14ac:dyDescent="0.4">
      <c r="A77" s="68" t="s">
        <v>1236</v>
      </c>
      <c r="B77" s="68" t="s">
        <v>1237</v>
      </c>
      <c r="C77" s="77">
        <v>-87184.98</v>
      </c>
      <c r="G77" s="79">
        <f t="shared" si="2"/>
        <v>-87184.98</v>
      </c>
      <c r="H77" s="78" t="s">
        <v>274</v>
      </c>
      <c r="I77" s="79">
        <f t="shared" si="3"/>
        <v>-87184.98</v>
      </c>
    </row>
    <row r="78" spans="1:11" x14ac:dyDescent="0.4">
      <c r="A78" s="68" t="s">
        <v>1242</v>
      </c>
      <c r="B78" s="68" t="s">
        <v>1243</v>
      </c>
      <c r="C78" s="77">
        <v>-75416.44</v>
      </c>
      <c r="G78" s="79">
        <f t="shared" si="2"/>
        <v>-75416.44</v>
      </c>
      <c r="H78" s="78" t="s">
        <v>274</v>
      </c>
      <c r="I78" s="79">
        <f t="shared" si="3"/>
        <v>-75416.44</v>
      </c>
    </row>
    <row r="79" spans="1:11" x14ac:dyDescent="0.4">
      <c r="A79" s="68" t="s">
        <v>1244</v>
      </c>
      <c r="B79" s="68" t="s">
        <v>1245</v>
      </c>
      <c r="C79" s="77">
        <v>79327</v>
      </c>
      <c r="G79" s="79">
        <f t="shared" si="2"/>
        <v>79327</v>
      </c>
      <c r="H79" s="78" t="s">
        <v>278</v>
      </c>
      <c r="I79" s="79">
        <f t="shared" si="3"/>
        <v>79327</v>
      </c>
      <c r="K79" s="77">
        <f>SUM(C54:C78)</f>
        <v>-3524592.68</v>
      </c>
    </row>
    <row r="80" spans="1:11" x14ac:dyDescent="0.4">
      <c r="A80" s="68" t="s">
        <v>1039</v>
      </c>
      <c r="B80" s="68" t="s">
        <v>138</v>
      </c>
      <c r="C80" s="77">
        <v>20808269.530000001</v>
      </c>
      <c r="G80" s="79">
        <f t="shared" si="2"/>
        <v>20808269.530000001</v>
      </c>
      <c r="H80" s="78" t="s">
        <v>278</v>
      </c>
      <c r="I80" s="79">
        <f t="shared" si="3"/>
        <v>20808269.530000001</v>
      </c>
      <c r="K80" s="76">
        <v>3524592.68</v>
      </c>
    </row>
    <row r="81" spans="1:13" x14ac:dyDescent="0.4">
      <c r="A81" s="68" t="s">
        <v>1040</v>
      </c>
      <c r="B81" s="68" t="s">
        <v>968</v>
      </c>
      <c r="C81" s="77">
        <v>-754016.84</v>
      </c>
      <c r="G81" s="79">
        <f t="shared" si="2"/>
        <v>-754016.84</v>
      </c>
      <c r="H81" s="78" t="s">
        <v>276</v>
      </c>
      <c r="I81" s="79">
        <f t="shared" si="3"/>
        <v>-754016.84</v>
      </c>
      <c r="K81" s="77">
        <f>SUM(K79:K80)</f>
        <v>0</v>
      </c>
    </row>
    <row r="82" spans="1:13" x14ac:dyDescent="0.4">
      <c r="A82" s="68" t="s">
        <v>1041</v>
      </c>
      <c r="B82" s="68" t="s">
        <v>969</v>
      </c>
      <c r="C82" s="77">
        <v>5437.5</v>
      </c>
      <c r="G82" s="79">
        <f t="shared" si="2"/>
        <v>5437.5</v>
      </c>
      <c r="H82" s="78" t="s">
        <v>275</v>
      </c>
      <c r="I82" s="79">
        <f t="shared" si="3"/>
        <v>5437.5</v>
      </c>
    </row>
    <row r="83" spans="1:13" x14ac:dyDescent="0.4">
      <c r="A83" s="68" t="s">
        <v>1042</v>
      </c>
      <c r="B83" s="68" t="s">
        <v>970</v>
      </c>
      <c r="C83" s="77">
        <v>-20785924.02</v>
      </c>
      <c r="G83" s="79">
        <f t="shared" si="2"/>
        <v>-20785924.02</v>
      </c>
      <c r="H83" s="78" t="s">
        <v>277</v>
      </c>
      <c r="I83" s="79">
        <f t="shared" si="3"/>
        <v>-20785924.02</v>
      </c>
    </row>
    <row r="84" spans="1:13" x14ac:dyDescent="0.4">
      <c r="A84" s="68" t="s">
        <v>304</v>
      </c>
      <c r="B84" s="68" t="s">
        <v>142</v>
      </c>
      <c r="C84" s="77">
        <v>-402457.59999999998</v>
      </c>
      <c r="G84" s="79">
        <f t="shared" si="2"/>
        <v>-402457.59999999998</v>
      </c>
      <c r="H84" s="78" t="s">
        <v>278</v>
      </c>
      <c r="I84" s="79">
        <f t="shared" si="3"/>
        <v>-402457.59999999998</v>
      </c>
      <c r="L84" s="92"/>
      <c r="M84" s="92"/>
    </row>
    <row r="85" spans="1:13" x14ac:dyDescent="0.4">
      <c r="A85" s="76" t="s">
        <v>483</v>
      </c>
      <c r="B85" s="8"/>
      <c r="C85" s="20">
        <f t="shared" ref="C85:I85" si="4">SUM(C6:C48)+SUM(C49:C84)</f>
        <v>0</v>
      </c>
      <c r="D85" s="20">
        <f t="shared" si="4"/>
        <v>0</v>
      </c>
      <c r="E85" s="20">
        <f t="shared" si="4"/>
        <v>0</v>
      </c>
      <c r="F85" s="20">
        <f t="shared" si="4"/>
        <v>0</v>
      </c>
      <c r="G85" s="20">
        <f t="shared" si="4"/>
        <v>0</v>
      </c>
      <c r="H85" s="20">
        <f t="shared" si="4"/>
        <v>0</v>
      </c>
      <c r="I85" s="20">
        <f t="shared" si="4"/>
        <v>0</v>
      </c>
      <c r="J85" s="92"/>
      <c r="K85" s="92"/>
    </row>
    <row r="86" spans="1:13" x14ac:dyDescent="0.4">
      <c r="B86" s="8"/>
      <c r="H86" s="78"/>
    </row>
    <row r="87" spans="1:13" x14ac:dyDescent="0.4">
      <c r="B87" s="8" t="s">
        <v>261</v>
      </c>
      <c r="H87" s="78"/>
    </row>
    <row r="88" spans="1:13" x14ac:dyDescent="0.4">
      <c r="B88" s="76" t="s">
        <v>285</v>
      </c>
      <c r="C88" s="78">
        <f t="shared" ref="C88:I88" si="5">SUM(C6:C48)</f>
        <v>9041557.2300000004</v>
      </c>
      <c r="D88" s="78">
        <f t="shared" si="5"/>
        <v>0</v>
      </c>
      <c r="E88" s="78">
        <f t="shared" si="5"/>
        <v>0</v>
      </c>
      <c r="F88" s="78">
        <f t="shared" si="5"/>
        <v>0</v>
      </c>
      <c r="G88" s="78">
        <f t="shared" si="5"/>
        <v>9041557.2300000004</v>
      </c>
      <c r="H88" s="78">
        <f t="shared" si="5"/>
        <v>0</v>
      </c>
      <c r="I88" s="78">
        <f t="shared" si="5"/>
        <v>9041557.2300000004</v>
      </c>
      <c r="J88" s="77"/>
    </row>
    <row r="89" spans="1:13" x14ac:dyDescent="0.4">
      <c r="B89" s="76" t="s">
        <v>286</v>
      </c>
      <c r="C89" s="78">
        <f>SUM(C49:C78)</f>
        <v>-7992192.7999999998</v>
      </c>
      <c r="D89" s="78">
        <f>SUM(D49:D77)</f>
        <v>0</v>
      </c>
      <c r="E89" s="78">
        <f>SUM(E49:E77)</f>
        <v>0</v>
      </c>
      <c r="F89" s="78">
        <f>SUM(F49:F77)</f>
        <v>0</v>
      </c>
      <c r="G89" s="78">
        <f>SUM(G49:G78)</f>
        <v>-7992192.7999999998</v>
      </c>
      <c r="H89" s="78">
        <f>SUM(H49:H77)</f>
        <v>0</v>
      </c>
      <c r="I89" s="78">
        <f>SUM(I49:I78)</f>
        <v>-7992192.7999999998</v>
      </c>
      <c r="J89" s="77"/>
    </row>
    <row r="90" spans="1:13" x14ac:dyDescent="0.4">
      <c r="B90" s="76" t="s">
        <v>607</v>
      </c>
      <c r="C90" s="78">
        <f>SUM(C79:C84)</f>
        <v>-1049364.43</v>
      </c>
      <c r="D90" s="78">
        <f t="shared" ref="D90:H90" si="6">SUM(D80:D84)</f>
        <v>0</v>
      </c>
      <c r="E90" s="78">
        <f t="shared" si="6"/>
        <v>0</v>
      </c>
      <c r="F90" s="78">
        <f t="shared" si="6"/>
        <v>0</v>
      </c>
      <c r="G90" s="78">
        <f>SUM(G79:G84)</f>
        <v>-1049364.43</v>
      </c>
      <c r="H90" s="78">
        <f t="shared" si="6"/>
        <v>0</v>
      </c>
      <c r="I90" s="78">
        <f>SUM(I79:I84)</f>
        <v>-1049364.43</v>
      </c>
      <c r="J90" s="77"/>
    </row>
    <row r="91" spans="1:13" x14ac:dyDescent="0.4">
      <c r="B91" s="76" t="s">
        <v>483</v>
      </c>
      <c r="C91" s="78">
        <f>SUM(C88:C90)</f>
        <v>0</v>
      </c>
      <c r="D91" s="78">
        <f t="shared" ref="D91:I91" si="7">SUM(D88:D90)</f>
        <v>0</v>
      </c>
      <c r="E91" s="78">
        <f t="shared" si="7"/>
        <v>0</v>
      </c>
      <c r="F91" s="78">
        <f t="shared" si="7"/>
        <v>0</v>
      </c>
      <c r="G91" s="78">
        <f>SUM(G88:G90)</f>
        <v>0</v>
      </c>
      <c r="H91" s="78">
        <f t="shared" si="7"/>
        <v>0</v>
      </c>
      <c r="I91" s="78">
        <f t="shared" si="7"/>
        <v>0</v>
      </c>
      <c r="J91" s="77"/>
    </row>
    <row r="92" spans="1:13" x14ac:dyDescent="0.4">
      <c r="E92" s="77">
        <f>C85+F85</f>
        <v>0</v>
      </c>
      <c r="F92" s="76"/>
      <c r="G92" s="78"/>
      <c r="H92" s="78"/>
    </row>
    <row r="93" spans="1:13" x14ac:dyDescent="0.4">
      <c r="D93" s="76"/>
      <c r="H93" s="78"/>
    </row>
    <row r="94" spans="1:13" x14ac:dyDescent="0.4">
      <c r="D94" s="76"/>
      <c r="H94" s="78"/>
    </row>
    <row r="95" spans="1:13" x14ac:dyDescent="0.4">
      <c r="D95" s="76"/>
      <c r="H95" s="78"/>
    </row>
    <row r="96" spans="1:13" x14ac:dyDescent="0.4">
      <c r="D96" s="76"/>
      <c r="H96" s="78"/>
    </row>
    <row r="97" spans="1:15" x14ac:dyDescent="0.4">
      <c r="D97" s="77"/>
      <c r="H97" s="78"/>
      <c r="N97" s="79"/>
      <c r="O97" s="79"/>
    </row>
    <row r="98" spans="1:15" s="79" customFormat="1" x14ac:dyDescent="0.4">
      <c r="A98" s="76"/>
      <c r="B98" s="76"/>
      <c r="C98" s="78"/>
      <c r="D98" s="78"/>
      <c r="E98" s="78"/>
      <c r="F98" s="78"/>
      <c r="H98" s="78"/>
      <c r="J98" s="77" t="s">
        <v>261</v>
      </c>
      <c r="K98" s="76"/>
      <c r="L98" s="76"/>
      <c r="M98" s="76"/>
    </row>
    <row r="99" spans="1:15" s="79" customFormat="1" x14ac:dyDescent="0.4">
      <c r="A99" s="76"/>
      <c r="B99" s="76"/>
      <c r="C99" s="78"/>
      <c r="D99" s="78"/>
      <c r="E99" s="78"/>
      <c r="F99" s="78"/>
      <c r="H99" s="78"/>
      <c r="J99" s="76"/>
      <c r="K99" s="76"/>
      <c r="L99" s="76"/>
      <c r="M99" s="76"/>
    </row>
    <row r="100" spans="1:15" s="79" customFormat="1" x14ac:dyDescent="0.4">
      <c r="A100" s="76"/>
      <c r="B100" s="76"/>
      <c r="C100" s="78"/>
      <c r="D100" s="78"/>
      <c r="E100" s="78"/>
      <c r="F100" s="78"/>
      <c r="H100" s="78"/>
      <c r="J100" s="76"/>
      <c r="K100" s="76"/>
      <c r="L100" s="76"/>
      <c r="M100" s="76"/>
    </row>
    <row r="101" spans="1:15" s="79" customFormat="1" x14ac:dyDescent="0.4">
      <c r="A101" s="76"/>
      <c r="B101" s="76"/>
      <c r="C101" s="78"/>
      <c r="D101" s="78"/>
      <c r="E101" s="78"/>
      <c r="F101" s="78"/>
      <c r="H101" s="78"/>
      <c r="J101" s="76"/>
      <c r="K101" s="76"/>
      <c r="L101" s="76"/>
      <c r="M101" s="76"/>
    </row>
    <row r="102" spans="1:15" s="79" customFormat="1" x14ac:dyDescent="0.4">
      <c r="A102" s="76"/>
      <c r="B102" s="76"/>
      <c r="C102" s="78"/>
      <c r="D102" s="78"/>
      <c r="E102" s="78"/>
      <c r="F102" s="78"/>
      <c r="H102" s="78"/>
      <c r="J102" s="76"/>
      <c r="K102" s="76"/>
      <c r="L102" s="76"/>
      <c r="M102" s="76"/>
    </row>
    <row r="103" spans="1:15" s="79" customFormat="1" x14ac:dyDescent="0.4">
      <c r="A103" s="76"/>
      <c r="B103" s="76"/>
      <c r="C103" s="78"/>
      <c r="D103" s="78"/>
      <c r="E103" s="78"/>
      <c r="F103" s="78"/>
      <c r="H103" s="78"/>
      <c r="J103" s="76"/>
      <c r="K103" s="76"/>
      <c r="L103" s="76"/>
      <c r="M103" s="76"/>
    </row>
    <row r="104" spans="1:15" s="79" customFormat="1" x14ac:dyDescent="0.4">
      <c r="A104" s="76"/>
      <c r="B104" s="76"/>
      <c r="C104" s="78"/>
      <c r="D104" s="78"/>
      <c r="E104" s="78"/>
      <c r="F104" s="78"/>
      <c r="H104" s="78"/>
      <c r="J104" s="76"/>
      <c r="K104" s="76"/>
      <c r="L104" s="76"/>
      <c r="M104" s="76"/>
    </row>
    <row r="105" spans="1:15" s="79" customFormat="1" x14ac:dyDescent="0.4">
      <c r="A105" s="76"/>
      <c r="B105" s="76"/>
      <c r="C105" s="78"/>
      <c r="D105" s="78"/>
      <c r="E105" s="78"/>
      <c r="F105" s="78"/>
      <c r="H105" s="78"/>
      <c r="J105" s="76"/>
      <c r="K105" s="76"/>
      <c r="L105" s="76"/>
      <c r="M105" s="76"/>
    </row>
    <row r="106" spans="1:15" s="79" customFormat="1" x14ac:dyDescent="0.4">
      <c r="A106" s="76"/>
      <c r="B106" s="76"/>
      <c r="C106" s="78"/>
      <c r="D106" s="78"/>
      <c r="E106" s="78"/>
      <c r="F106" s="78"/>
      <c r="H106" s="78"/>
      <c r="J106" s="76"/>
      <c r="K106" s="76"/>
      <c r="L106" s="76"/>
      <c r="M106" s="76"/>
    </row>
    <row r="107" spans="1:15" s="79" customFormat="1" x14ac:dyDescent="0.4">
      <c r="A107" s="76"/>
      <c r="B107" s="76"/>
      <c r="C107" s="78"/>
      <c r="D107" s="78"/>
      <c r="E107" s="78"/>
      <c r="F107" s="78"/>
      <c r="H107" s="78"/>
      <c r="J107" s="76"/>
      <c r="K107" s="76"/>
      <c r="L107" s="76"/>
      <c r="M107" s="76"/>
    </row>
    <row r="108" spans="1:15" s="79" customFormat="1" x14ac:dyDescent="0.4">
      <c r="A108" s="76"/>
      <c r="B108" s="76"/>
      <c r="C108" s="78"/>
      <c r="D108" s="78"/>
      <c r="E108" s="78"/>
      <c r="F108" s="78"/>
      <c r="H108" s="78"/>
      <c r="J108" s="76"/>
      <c r="K108" s="76"/>
      <c r="L108" s="76"/>
      <c r="M108" s="76"/>
    </row>
    <row r="109" spans="1:15" s="79" customFormat="1" x14ac:dyDescent="0.4">
      <c r="A109" s="76"/>
      <c r="B109" s="76"/>
      <c r="C109" s="78"/>
      <c r="D109" s="78"/>
      <c r="E109" s="78"/>
      <c r="F109" s="78"/>
      <c r="H109" s="78"/>
      <c r="J109" s="76"/>
      <c r="K109" s="76"/>
      <c r="L109" s="76"/>
      <c r="M109" s="76"/>
    </row>
    <row r="110" spans="1:15" s="79" customFormat="1" x14ac:dyDescent="0.4">
      <c r="A110" s="76"/>
      <c r="B110" s="76"/>
      <c r="C110" s="78"/>
      <c r="D110" s="78"/>
      <c r="E110" s="78"/>
      <c r="F110" s="78"/>
      <c r="H110" s="78"/>
      <c r="J110" s="76"/>
      <c r="K110" s="76"/>
      <c r="L110" s="76"/>
      <c r="M110" s="76"/>
    </row>
    <row r="111" spans="1:15" s="79" customFormat="1" x14ac:dyDescent="0.4">
      <c r="A111" s="76"/>
      <c r="B111" s="76"/>
      <c r="C111" s="78"/>
      <c r="D111" s="78"/>
      <c r="E111" s="78"/>
      <c r="F111" s="78"/>
      <c r="H111" s="78"/>
      <c r="J111" s="76"/>
      <c r="K111" s="76"/>
      <c r="L111" s="76"/>
      <c r="M111" s="76"/>
    </row>
    <row r="112" spans="1:15" s="79" customFormat="1" x14ac:dyDescent="0.4">
      <c r="A112" s="76"/>
      <c r="B112" s="76"/>
      <c r="C112" s="78"/>
      <c r="D112" s="78"/>
      <c r="E112" s="78"/>
      <c r="F112" s="78"/>
      <c r="H112" s="78"/>
      <c r="J112" s="76"/>
      <c r="K112" s="76"/>
      <c r="L112" s="76"/>
      <c r="M112" s="76"/>
    </row>
    <row r="113" spans="1:13" s="79" customFormat="1" x14ac:dyDescent="0.4">
      <c r="A113" s="76"/>
      <c r="B113" s="76" t="s">
        <v>808</v>
      </c>
      <c r="C113" s="78"/>
      <c r="D113" s="78"/>
      <c r="E113" s="78"/>
      <c r="F113" s="78"/>
      <c r="H113" s="78"/>
      <c r="I113" s="79" t="e">
        <f>SUM(#REF!)+SUM(#REF!)+SUM(#REF!)</f>
        <v>#REF!</v>
      </c>
      <c r="J113" s="76"/>
      <c r="K113" s="76"/>
      <c r="L113" s="76"/>
      <c r="M113" s="76"/>
    </row>
    <row r="114" spans="1:13" s="79" customFormat="1" x14ac:dyDescent="0.4">
      <c r="A114" s="76"/>
      <c r="B114" s="76"/>
      <c r="C114" s="78"/>
      <c r="D114" s="78"/>
      <c r="E114" s="78"/>
      <c r="F114" s="78"/>
      <c r="H114" s="78"/>
      <c r="J114" s="76"/>
      <c r="K114" s="76"/>
      <c r="L114" s="76"/>
      <c r="M114" s="76"/>
    </row>
    <row r="115" spans="1:13" s="79" customFormat="1" x14ac:dyDescent="0.4">
      <c r="A115" s="76"/>
      <c r="B115" s="76"/>
      <c r="C115" s="78"/>
      <c r="D115" s="78"/>
      <c r="E115" s="78"/>
      <c r="F115" s="78"/>
      <c r="H115" s="78"/>
      <c r="J115" s="76"/>
      <c r="K115" s="76"/>
      <c r="L115" s="76"/>
      <c r="M115" s="76"/>
    </row>
    <row r="116" spans="1:13" s="79" customFormat="1" x14ac:dyDescent="0.4">
      <c r="A116" s="76"/>
      <c r="B116" s="76"/>
      <c r="C116" s="78"/>
      <c r="D116" s="78"/>
      <c r="E116" s="78"/>
      <c r="F116" s="78"/>
      <c r="H116" s="78"/>
      <c r="J116" s="76"/>
      <c r="K116" s="76"/>
      <c r="L116" s="76"/>
      <c r="M116" s="76"/>
    </row>
    <row r="117" spans="1:13" s="79" customFormat="1" x14ac:dyDescent="0.4">
      <c r="A117" s="76"/>
      <c r="B117" s="76"/>
      <c r="C117" s="78"/>
      <c r="D117" s="78"/>
      <c r="E117" s="78"/>
      <c r="F117" s="78"/>
      <c r="H117" s="78"/>
      <c r="J117" s="76"/>
      <c r="K117" s="76"/>
      <c r="L117" s="76"/>
      <c r="M117" s="76"/>
    </row>
    <row r="118" spans="1:13" s="79" customFormat="1" x14ac:dyDescent="0.4">
      <c r="A118" s="76"/>
      <c r="B118" s="76"/>
      <c r="C118" s="78"/>
      <c r="D118" s="78"/>
      <c r="E118" s="78"/>
      <c r="F118" s="78"/>
      <c r="H118" s="78"/>
      <c r="J118" s="76"/>
      <c r="K118" s="76"/>
      <c r="L118" s="76"/>
      <c r="M118" s="76"/>
    </row>
    <row r="119" spans="1:13" s="79" customFormat="1" x14ac:dyDescent="0.4">
      <c r="A119" s="76"/>
      <c r="B119" s="76"/>
      <c r="C119" s="78"/>
      <c r="D119" s="78"/>
      <c r="E119" s="78"/>
      <c r="F119" s="78"/>
      <c r="H119" s="78"/>
      <c r="J119" s="76"/>
      <c r="K119" s="76"/>
      <c r="L119" s="76"/>
      <c r="M119" s="76"/>
    </row>
    <row r="120" spans="1:13" s="79" customFormat="1" x14ac:dyDescent="0.4">
      <c r="A120" s="76"/>
      <c r="B120" s="76"/>
      <c r="C120" s="78"/>
      <c r="D120" s="78"/>
      <c r="E120" s="78"/>
      <c r="F120" s="78"/>
      <c r="H120" s="78"/>
      <c r="J120" s="76"/>
      <c r="K120" s="76"/>
      <c r="L120" s="76"/>
      <c r="M120" s="76"/>
    </row>
    <row r="121" spans="1:13" s="79" customFormat="1" x14ac:dyDescent="0.4">
      <c r="A121" s="76"/>
      <c r="B121" s="76"/>
      <c r="C121" s="78"/>
      <c r="D121" s="78"/>
      <c r="E121" s="78"/>
      <c r="F121" s="78"/>
      <c r="H121" s="78"/>
      <c r="J121" s="76"/>
      <c r="K121" s="76"/>
      <c r="L121" s="76"/>
      <c r="M121" s="76"/>
    </row>
    <row r="122" spans="1:13" s="79" customFormat="1" x14ac:dyDescent="0.4">
      <c r="A122" s="76"/>
      <c r="B122" s="76"/>
      <c r="C122" s="78"/>
      <c r="D122" s="78"/>
      <c r="E122" s="78"/>
      <c r="F122" s="78"/>
      <c r="H122" s="78"/>
      <c r="J122" s="76"/>
      <c r="K122" s="76"/>
      <c r="L122" s="76"/>
      <c r="M122" s="76"/>
    </row>
    <row r="123" spans="1:13" s="79" customFormat="1" x14ac:dyDescent="0.4">
      <c r="A123" s="76"/>
      <c r="B123" s="76"/>
      <c r="C123" s="78"/>
      <c r="D123" s="78"/>
      <c r="E123" s="78"/>
      <c r="F123" s="78"/>
      <c r="H123" s="78"/>
      <c r="J123" s="76"/>
      <c r="K123" s="76"/>
      <c r="L123" s="76"/>
      <c r="M123" s="76"/>
    </row>
    <row r="124" spans="1:13" s="79" customFormat="1" x14ac:dyDescent="0.4">
      <c r="A124" s="76"/>
      <c r="B124" s="76"/>
      <c r="C124" s="78"/>
      <c r="D124" s="78"/>
      <c r="E124" s="78"/>
      <c r="F124" s="78"/>
      <c r="H124" s="78"/>
      <c r="J124" s="76"/>
      <c r="K124" s="76"/>
      <c r="L124" s="76"/>
      <c r="M124" s="76"/>
    </row>
    <row r="125" spans="1:13" s="79" customFormat="1" x14ac:dyDescent="0.4">
      <c r="A125" s="76"/>
      <c r="B125" s="76"/>
      <c r="C125" s="78"/>
      <c r="D125" s="78"/>
      <c r="E125" s="78"/>
      <c r="F125" s="78"/>
      <c r="H125" s="78"/>
      <c r="J125" s="76"/>
      <c r="K125" s="76"/>
      <c r="L125" s="76"/>
      <c r="M125" s="76"/>
    </row>
    <row r="126" spans="1:13" s="79" customFormat="1" x14ac:dyDescent="0.4">
      <c r="A126" s="76"/>
      <c r="B126" s="76"/>
      <c r="C126" s="78"/>
      <c r="D126" s="78"/>
      <c r="E126" s="78"/>
      <c r="F126" s="78"/>
      <c r="H126" s="78"/>
      <c r="J126" s="76"/>
      <c r="K126" s="76"/>
      <c r="L126" s="76"/>
      <c r="M126" s="76"/>
    </row>
    <row r="127" spans="1:13" s="79" customFormat="1" x14ac:dyDescent="0.4">
      <c r="A127" s="76"/>
      <c r="B127" s="76"/>
      <c r="C127" s="78"/>
      <c r="D127" s="78"/>
      <c r="E127" s="78"/>
      <c r="F127" s="78"/>
      <c r="H127" s="78"/>
      <c r="J127" s="76"/>
      <c r="K127" s="76"/>
      <c r="L127" s="76"/>
      <c r="M127" s="76"/>
    </row>
    <row r="128" spans="1:13" s="79" customFormat="1" x14ac:dyDescent="0.4">
      <c r="A128" s="76"/>
      <c r="B128" s="76"/>
      <c r="C128" s="78"/>
      <c r="D128" s="78"/>
      <c r="E128" s="78"/>
      <c r="F128" s="78"/>
      <c r="H128" s="78"/>
      <c r="J128" s="76"/>
      <c r="K128" s="76"/>
      <c r="L128" s="76"/>
      <c r="M128" s="76"/>
    </row>
    <row r="129" spans="1:13" s="79" customFormat="1" x14ac:dyDescent="0.4">
      <c r="A129" s="76"/>
      <c r="B129" s="76"/>
      <c r="C129" s="78"/>
      <c r="D129" s="78"/>
      <c r="E129" s="78"/>
      <c r="F129" s="78"/>
      <c r="H129" s="78"/>
      <c r="J129" s="76"/>
      <c r="K129" s="76"/>
      <c r="L129" s="76"/>
      <c r="M129" s="76"/>
    </row>
    <row r="130" spans="1:13" s="79" customFormat="1" x14ac:dyDescent="0.4">
      <c r="A130" s="76"/>
      <c r="B130" s="76"/>
      <c r="C130" s="78"/>
      <c r="D130" s="78"/>
      <c r="E130" s="78"/>
      <c r="F130" s="78"/>
      <c r="H130" s="78"/>
      <c r="J130" s="76"/>
      <c r="K130" s="76"/>
      <c r="L130" s="76"/>
      <c r="M130" s="76"/>
    </row>
    <row r="131" spans="1:13" s="79" customFormat="1" x14ac:dyDescent="0.4">
      <c r="A131" s="76"/>
      <c r="B131" s="76"/>
      <c r="C131" s="78"/>
      <c r="D131" s="78"/>
      <c r="E131" s="78"/>
      <c r="F131" s="78"/>
      <c r="H131" s="78"/>
      <c r="J131" s="76"/>
      <c r="K131" s="76"/>
      <c r="L131" s="76"/>
      <c r="M131" s="76"/>
    </row>
    <row r="132" spans="1:13" s="79" customFormat="1" x14ac:dyDescent="0.4">
      <c r="A132" s="76"/>
      <c r="B132" s="76"/>
      <c r="C132" s="78"/>
      <c r="D132" s="78"/>
      <c r="E132" s="78"/>
      <c r="F132" s="78"/>
      <c r="H132" s="78"/>
      <c r="J132" s="76"/>
      <c r="K132" s="76"/>
      <c r="L132" s="76"/>
      <c r="M132" s="76"/>
    </row>
    <row r="133" spans="1:13" s="79" customFormat="1" x14ac:dyDescent="0.4">
      <c r="A133" s="76"/>
      <c r="B133" s="76"/>
      <c r="C133" s="78"/>
      <c r="D133" s="78"/>
      <c r="E133" s="78"/>
      <c r="F133" s="78"/>
      <c r="H133" s="78"/>
      <c r="J133" s="76"/>
      <c r="K133" s="76"/>
      <c r="L133" s="76"/>
      <c r="M133" s="76"/>
    </row>
    <row r="134" spans="1:13" s="79" customFormat="1" x14ac:dyDescent="0.4">
      <c r="A134" s="76"/>
      <c r="B134" s="76"/>
      <c r="C134" s="78"/>
      <c r="D134" s="78"/>
      <c r="E134" s="78"/>
      <c r="F134" s="78"/>
      <c r="H134" s="78"/>
      <c r="J134" s="76"/>
      <c r="K134" s="76"/>
      <c r="L134" s="76"/>
      <c r="M134" s="76"/>
    </row>
    <row r="135" spans="1:13" s="79" customFormat="1" x14ac:dyDescent="0.4">
      <c r="A135" s="76"/>
      <c r="B135" s="76"/>
      <c r="C135" s="78"/>
      <c r="D135" s="78"/>
      <c r="E135" s="78"/>
      <c r="F135" s="78"/>
      <c r="H135" s="78"/>
      <c r="J135" s="76"/>
      <c r="K135" s="76"/>
      <c r="L135" s="76"/>
      <c r="M135" s="76"/>
    </row>
    <row r="136" spans="1:13" s="79" customFormat="1" x14ac:dyDescent="0.4">
      <c r="A136" s="76"/>
      <c r="B136" s="76"/>
      <c r="C136" s="78"/>
      <c r="D136" s="78"/>
      <c r="E136" s="78"/>
      <c r="F136" s="78"/>
      <c r="H136" s="78"/>
      <c r="J136" s="76"/>
      <c r="K136" s="76"/>
      <c r="L136" s="76"/>
      <c r="M136" s="76"/>
    </row>
    <row r="137" spans="1:13" s="79" customFormat="1" x14ac:dyDescent="0.4">
      <c r="A137" s="76"/>
      <c r="B137" s="76"/>
      <c r="C137" s="78"/>
      <c r="D137" s="78"/>
      <c r="E137" s="78"/>
      <c r="F137" s="78"/>
      <c r="H137" s="78"/>
      <c r="J137" s="76"/>
      <c r="K137" s="76"/>
      <c r="L137" s="76"/>
      <c r="M137" s="76"/>
    </row>
    <row r="138" spans="1:13" s="79" customFormat="1" x14ac:dyDescent="0.4">
      <c r="A138" s="76"/>
      <c r="B138" s="76"/>
      <c r="C138" s="78"/>
      <c r="D138" s="78"/>
      <c r="E138" s="78"/>
      <c r="F138" s="78"/>
      <c r="H138" s="78"/>
      <c r="J138" s="76"/>
      <c r="K138" s="76"/>
      <c r="L138" s="76"/>
      <c r="M138" s="76"/>
    </row>
    <row r="139" spans="1:13" s="79" customFormat="1" x14ac:dyDescent="0.4">
      <c r="A139" s="76"/>
      <c r="B139" s="76"/>
      <c r="C139" s="78"/>
      <c r="D139" s="78"/>
      <c r="E139" s="78"/>
      <c r="F139" s="78"/>
      <c r="H139" s="78"/>
      <c r="J139" s="76"/>
      <c r="K139" s="76"/>
      <c r="L139" s="76"/>
      <c r="M139" s="76"/>
    </row>
    <row r="140" spans="1:13" s="79" customFormat="1" x14ac:dyDescent="0.4">
      <c r="A140" s="76"/>
      <c r="B140" s="76"/>
      <c r="C140" s="78"/>
      <c r="D140" s="78"/>
      <c r="E140" s="78"/>
      <c r="F140" s="78"/>
      <c r="H140" s="78"/>
      <c r="J140" s="76"/>
      <c r="K140" s="76"/>
      <c r="L140" s="76"/>
      <c r="M140" s="76"/>
    </row>
    <row r="141" spans="1:13" s="79" customFormat="1" x14ac:dyDescent="0.4">
      <c r="A141" s="76"/>
      <c r="B141" s="76"/>
      <c r="C141" s="78"/>
      <c r="D141" s="78"/>
      <c r="E141" s="78"/>
      <c r="F141" s="78"/>
      <c r="H141" s="78"/>
      <c r="J141" s="76"/>
      <c r="K141" s="76"/>
      <c r="L141" s="76"/>
      <c r="M141" s="76"/>
    </row>
    <row r="142" spans="1:13" s="79" customFormat="1" x14ac:dyDescent="0.4">
      <c r="A142" s="76"/>
      <c r="B142" s="76"/>
      <c r="C142" s="78"/>
      <c r="D142" s="78"/>
      <c r="E142" s="78"/>
      <c r="F142" s="78"/>
      <c r="H142" s="78"/>
      <c r="J142" s="76"/>
      <c r="K142" s="76"/>
      <c r="L142" s="76"/>
      <c r="M142" s="76"/>
    </row>
    <row r="143" spans="1:13" s="79" customFormat="1" x14ac:dyDescent="0.4">
      <c r="A143" s="76"/>
      <c r="B143" s="76"/>
      <c r="C143" s="78"/>
      <c r="D143" s="78"/>
      <c r="E143" s="78"/>
      <c r="F143" s="78"/>
      <c r="H143" s="78"/>
      <c r="J143" s="76"/>
      <c r="K143" s="76"/>
      <c r="L143" s="76"/>
      <c r="M143" s="76"/>
    </row>
    <row r="144" spans="1:13" s="79" customFormat="1" x14ac:dyDescent="0.4">
      <c r="A144" s="76"/>
      <c r="B144" s="76"/>
      <c r="C144" s="78"/>
      <c r="D144" s="78"/>
      <c r="E144" s="78"/>
      <c r="F144" s="78"/>
      <c r="H144" s="78"/>
      <c r="J144" s="76"/>
      <c r="K144" s="76"/>
      <c r="L144" s="76"/>
      <c r="M144" s="76"/>
    </row>
    <row r="145" spans="1:13" s="79" customFormat="1" x14ac:dyDescent="0.4">
      <c r="A145" s="76"/>
      <c r="B145" s="76"/>
      <c r="C145" s="78"/>
      <c r="D145" s="78"/>
      <c r="E145" s="78"/>
      <c r="F145" s="78"/>
      <c r="H145" s="78"/>
      <c r="J145" s="76"/>
      <c r="K145" s="76"/>
      <c r="L145" s="76"/>
      <c r="M145" s="76"/>
    </row>
    <row r="146" spans="1:13" s="79" customFormat="1" x14ac:dyDescent="0.4">
      <c r="A146" s="76"/>
      <c r="B146" s="76"/>
      <c r="C146" s="78"/>
      <c r="D146" s="78"/>
      <c r="E146" s="78"/>
      <c r="F146" s="78"/>
      <c r="H146" s="78"/>
      <c r="J146" s="76"/>
      <c r="K146" s="76"/>
      <c r="L146" s="76"/>
      <c r="M146" s="76"/>
    </row>
    <row r="147" spans="1:13" s="79" customFormat="1" x14ac:dyDescent="0.4">
      <c r="A147" s="76"/>
      <c r="B147" s="76"/>
      <c r="C147" s="78"/>
      <c r="D147" s="78"/>
      <c r="E147" s="78"/>
      <c r="F147" s="78"/>
      <c r="H147" s="78"/>
      <c r="J147" s="76"/>
      <c r="K147" s="76"/>
      <c r="L147" s="76"/>
      <c r="M147" s="76"/>
    </row>
    <row r="148" spans="1:13" s="79" customFormat="1" x14ac:dyDescent="0.4">
      <c r="A148" s="76"/>
      <c r="B148" s="76"/>
      <c r="C148" s="78"/>
      <c r="D148" s="78"/>
      <c r="E148" s="78"/>
      <c r="F148" s="78"/>
      <c r="H148" s="78"/>
      <c r="J148" s="76"/>
      <c r="K148" s="76"/>
      <c r="L148" s="76"/>
      <c r="M148" s="76"/>
    </row>
    <row r="149" spans="1:13" s="79" customFormat="1" x14ac:dyDescent="0.4">
      <c r="A149" s="76"/>
      <c r="B149" s="76"/>
      <c r="C149" s="78"/>
      <c r="D149" s="78"/>
      <c r="E149" s="78"/>
      <c r="F149" s="78"/>
      <c r="H149" s="78"/>
      <c r="J149" s="76"/>
      <c r="K149" s="76"/>
      <c r="L149" s="76"/>
      <c r="M149" s="76"/>
    </row>
    <row r="150" spans="1:13" s="79" customFormat="1" x14ac:dyDescent="0.4">
      <c r="A150" s="76"/>
      <c r="B150" s="76"/>
      <c r="C150" s="78"/>
      <c r="D150" s="78"/>
      <c r="E150" s="78"/>
      <c r="F150" s="78"/>
      <c r="H150" s="78"/>
      <c r="J150" s="76"/>
      <c r="K150" s="76"/>
      <c r="L150" s="76"/>
      <c r="M150" s="76"/>
    </row>
    <row r="151" spans="1:13" s="79" customFormat="1" x14ac:dyDescent="0.4">
      <c r="A151" s="76"/>
      <c r="B151" s="76"/>
      <c r="C151" s="78"/>
      <c r="D151" s="78"/>
      <c r="E151" s="78"/>
      <c r="F151" s="78"/>
      <c r="H151" s="78"/>
      <c r="J151" s="76"/>
      <c r="K151" s="76"/>
      <c r="L151" s="76"/>
      <c r="M151" s="76"/>
    </row>
    <row r="152" spans="1:13" s="79" customFormat="1" x14ac:dyDescent="0.4">
      <c r="A152" s="76"/>
      <c r="B152" s="76"/>
      <c r="C152" s="78"/>
      <c r="D152" s="78"/>
      <c r="E152" s="78"/>
      <c r="F152" s="78"/>
      <c r="H152" s="78"/>
      <c r="J152" s="76"/>
      <c r="K152" s="76"/>
      <c r="L152" s="76"/>
      <c r="M152" s="76"/>
    </row>
    <row r="153" spans="1:13" s="79" customFormat="1" x14ac:dyDescent="0.4">
      <c r="A153" s="76"/>
      <c r="B153" s="76"/>
      <c r="C153" s="78"/>
      <c r="D153" s="78"/>
      <c r="E153" s="78"/>
      <c r="F153" s="78"/>
      <c r="H153" s="78"/>
      <c r="J153" s="76"/>
      <c r="K153" s="76"/>
      <c r="L153" s="76"/>
      <c r="M153" s="76"/>
    </row>
    <row r="154" spans="1:13" s="79" customFormat="1" x14ac:dyDescent="0.4">
      <c r="A154" s="76"/>
      <c r="B154" s="76"/>
      <c r="C154" s="78"/>
      <c r="D154" s="78"/>
      <c r="E154" s="78"/>
      <c r="F154" s="78"/>
      <c r="H154" s="78"/>
      <c r="J154" s="76"/>
      <c r="K154" s="76"/>
      <c r="L154" s="76"/>
      <c r="M154" s="76"/>
    </row>
    <row r="155" spans="1:13" s="79" customFormat="1" x14ac:dyDescent="0.4">
      <c r="A155" s="76"/>
      <c r="B155" s="76"/>
      <c r="C155" s="78"/>
      <c r="D155" s="78"/>
      <c r="E155" s="78"/>
      <c r="F155" s="78"/>
      <c r="H155" s="78"/>
      <c r="J155" s="76"/>
      <c r="K155" s="76"/>
      <c r="L155" s="76"/>
      <c r="M155" s="76"/>
    </row>
    <row r="156" spans="1:13" s="79" customFormat="1" x14ac:dyDescent="0.4">
      <c r="A156" s="76"/>
      <c r="B156" s="76"/>
      <c r="C156" s="78"/>
      <c r="D156" s="78"/>
      <c r="E156" s="78"/>
      <c r="F156" s="78"/>
      <c r="H156" s="78"/>
      <c r="J156" s="76"/>
      <c r="K156" s="76"/>
      <c r="L156" s="76"/>
      <c r="M156" s="76"/>
    </row>
    <row r="157" spans="1:13" s="79" customFormat="1" x14ac:dyDescent="0.4">
      <c r="A157" s="76"/>
      <c r="B157" s="76"/>
      <c r="C157" s="78"/>
      <c r="D157" s="78"/>
      <c r="E157" s="78"/>
      <c r="F157" s="78"/>
      <c r="H157" s="78"/>
      <c r="J157" s="76"/>
      <c r="K157" s="76"/>
      <c r="L157" s="76"/>
      <c r="M157" s="76"/>
    </row>
    <row r="158" spans="1:13" s="79" customFormat="1" x14ac:dyDescent="0.4">
      <c r="A158" s="76"/>
      <c r="B158" s="76"/>
      <c r="C158" s="78"/>
      <c r="D158" s="78"/>
      <c r="E158" s="78"/>
      <c r="F158" s="78"/>
      <c r="H158" s="78"/>
      <c r="J158" s="76"/>
      <c r="K158" s="76"/>
      <c r="L158" s="76"/>
      <c r="M158" s="76"/>
    </row>
    <row r="159" spans="1:13" s="79" customFormat="1" x14ac:dyDescent="0.4">
      <c r="A159" s="76"/>
      <c r="B159" s="76"/>
      <c r="C159" s="78"/>
      <c r="D159" s="78"/>
      <c r="E159" s="78"/>
      <c r="F159" s="78"/>
      <c r="H159" s="78"/>
      <c r="J159" s="76"/>
      <c r="K159" s="76"/>
      <c r="L159" s="76"/>
      <c r="M159" s="76"/>
    </row>
    <row r="160" spans="1:13" s="79" customFormat="1" x14ac:dyDescent="0.4">
      <c r="A160" s="76"/>
      <c r="B160" s="76"/>
      <c r="C160" s="78"/>
      <c r="D160" s="78"/>
      <c r="E160" s="78"/>
      <c r="F160" s="78"/>
      <c r="H160" s="78"/>
      <c r="J160" s="76"/>
      <c r="K160" s="76"/>
      <c r="L160" s="76"/>
      <c r="M160" s="76"/>
    </row>
    <row r="161" spans="1:15" s="79" customFormat="1" x14ac:dyDescent="0.4">
      <c r="A161" s="76"/>
      <c r="B161" s="76"/>
      <c r="C161" s="78"/>
      <c r="D161" s="78"/>
      <c r="E161" s="78"/>
      <c r="F161" s="78"/>
      <c r="H161" s="78"/>
      <c r="J161" s="76"/>
      <c r="K161" s="76"/>
      <c r="L161" s="76"/>
      <c r="M161" s="76"/>
    </row>
    <row r="162" spans="1:15" s="79" customFormat="1" x14ac:dyDescent="0.4">
      <c r="A162" s="76"/>
      <c r="B162" s="76"/>
      <c r="C162" s="78"/>
      <c r="D162" s="78"/>
      <c r="E162" s="78"/>
      <c r="F162" s="78"/>
      <c r="H162" s="78"/>
      <c r="J162" s="76"/>
      <c r="K162" s="76"/>
      <c r="L162" s="76"/>
      <c r="M162" s="76"/>
    </row>
    <row r="163" spans="1:15" s="79" customFormat="1" x14ac:dyDescent="0.4">
      <c r="A163" s="76"/>
      <c r="B163" s="76"/>
      <c r="C163" s="78"/>
      <c r="D163" s="78"/>
      <c r="E163" s="78"/>
      <c r="F163" s="78"/>
      <c r="H163" s="78"/>
      <c r="J163" s="76"/>
      <c r="K163" s="76"/>
      <c r="L163" s="76"/>
      <c r="M163" s="76"/>
    </row>
    <row r="164" spans="1:15" s="79" customFormat="1" x14ac:dyDescent="0.4">
      <c r="A164" s="76"/>
      <c r="B164" s="76"/>
      <c r="C164" s="78"/>
      <c r="D164" s="78"/>
      <c r="E164" s="78"/>
      <c r="F164" s="78"/>
      <c r="H164" s="78"/>
      <c r="J164" s="76"/>
      <c r="K164" s="76"/>
      <c r="L164" s="76"/>
      <c r="M164" s="76"/>
    </row>
    <row r="165" spans="1:15" s="79" customFormat="1" x14ac:dyDescent="0.4">
      <c r="A165" s="76"/>
      <c r="B165" s="76"/>
      <c r="C165" s="78"/>
      <c r="D165" s="78"/>
      <c r="E165" s="78"/>
      <c r="F165" s="78"/>
      <c r="H165" s="78"/>
      <c r="J165" s="76"/>
      <c r="K165" s="76"/>
      <c r="L165" s="76"/>
      <c r="M165" s="76"/>
    </row>
    <row r="166" spans="1:15" s="79" customFormat="1" x14ac:dyDescent="0.4">
      <c r="A166" s="76"/>
      <c r="B166" s="76"/>
      <c r="C166" s="78"/>
      <c r="D166" s="78"/>
      <c r="E166" s="78"/>
      <c r="F166" s="78"/>
      <c r="H166" s="78"/>
      <c r="J166" s="76"/>
      <c r="K166" s="76"/>
      <c r="L166" s="76"/>
      <c r="M166" s="76"/>
    </row>
    <row r="167" spans="1:15" s="79" customFormat="1" x14ac:dyDescent="0.4">
      <c r="A167" s="76"/>
      <c r="B167" s="76"/>
      <c r="C167" s="78"/>
      <c r="D167" s="78"/>
      <c r="E167" s="78"/>
      <c r="F167" s="78"/>
      <c r="H167" s="78"/>
      <c r="J167" s="76"/>
      <c r="K167" s="76"/>
      <c r="L167" s="76"/>
      <c r="M167" s="76"/>
    </row>
    <row r="168" spans="1:15" s="79" customFormat="1" x14ac:dyDescent="0.4">
      <c r="A168" s="76"/>
      <c r="B168" s="76"/>
      <c r="C168" s="78"/>
      <c r="D168" s="78"/>
      <c r="E168" s="78"/>
      <c r="F168" s="78"/>
      <c r="H168" s="78"/>
      <c r="J168" s="76"/>
      <c r="K168" s="76"/>
      <c r="L168" s="76"/>
      <c r="M168" s="76"/>
    </row>
    <row r="169" spans="1:15" s="79" customFormat="1" x14ac:dyDescent="0.4">
      <c r="A169" s="76"/>
      <c r="B169" s="76"/>
      <c r="C169" s="78"/>
      <c r="D169" s="78"/>
      <c r="E169" s="78"/>
      <c r="F169" s="78"/>
      <c r="H169" s="78"/>
      <c r="J169" s="76"/>
      <c r="K169" s="76"/>
      <c r="L169" s="76"/>
      <c r="M169" s="76"/>
    </row>
    <row r="170" spans="1:15" s="79" customFormat="1" x14ac:dyDescent="0.4">
      <c r="A170" s="76"/>
      <c r="B170" s="76"/>
      <c r="C170" s="78"/>
      <c r="D170" s="78"/>
      <c r="E170" s="78"/>
      <c r="F170" s="78"/>
      <c r="H170" s="78"/>
      <c r="J170" s="76"/>
      <c r="K170" s="76"/>
      <c r="L170" s="76"/>
      <c r="M170" s="76"/>
      <c r="N170" s="76"/>
      <c r="O170" s="76"/>
    </row>
    <row r="171" spans="1:15" x14ac:dyDescent="0.4">
      <c r="H171" s="78"/>
    </row>
    <row r="172" spans="1:15" x14ac:dyDescent="0.4">
      <c r="H172" s="78"/>
      <c r="N172" s="79"/>
      <c r="O172" s="79"/>
    </row>
    <row r="173" spans="1:15" s="79" customFormat="1" x14ac:dyDescent="0.4">
      <c r="A173" s="76"/>
      <c r="B173" s="76"/>
      <c r="C173" s="78"/>
      <c r="D173" s="78"/>
      <c r="E173" s="78"/>
      <c r="F173" s="78"/>
      <c r="H173" s="78"/>
      <c r="J173" s="76"/>
      <c r="K173" s="76"/>
      <c r="L173" s="76"/>
      <c r="M173" s="76"/>
      <c r="N173" s="76"/>
      <c r="O173" s="76"/>
    </row>
    <row r="174" spans="1:15" x14ac:dyDescent="0.4">
      <c r="H174" s="78"/>
    </row>
    <row r="175" spans="1:15" x14ac:dyDescent="0.4">
      <c r="H175" s="78"/>
    </row>
    <row r="176" spans="1:15" x14ac:dyDescent="0.4">
      <c r="A176" s="79"/>
      <c r="B176" s="79"/>
      <c r="H176" s="78"/>
    </row>
    <row r="183" spans="3:13" x14ac:dyDescent="0.4">
      <c r="L183" s="79"/>
      <c r="M183" s="79"/>
    </row>
    <row r="184" spans="3:13" x14ac:dyDescent="0.4">
      <c r="C184" s="76"/>
      <c r="D184" s="76"/>
      <c r="E184" s="76"/>
      <c r="F184" s="76"/>
      <c r="G184" s="76"/>
      <c r="I184" s="76"/>
      <c r="J184" s="79"/>
      <c r="K184" s="79"/>
    </row>
    <row r="187" spans="3:13" x14ac:dyDescent="0.4">
      <c r="C187" s="76"/>
      <c r="D187" s="76"/>
      <c r="E187" s="76"/>
      <c r="F187" s="76"/>
      <c r="G187" s="76"/>
      <c r="I187" s="76"/>
    </row>
    <row r="188" spans="3:13" x14ac:dyDescent="0.4">
      <c r="C188" s="76"/>
      <c r="D188" s="76"/>
      <c r="E188" s="76"/>
      <c r="F188" s="76"/>
      <c r="G188" s="76"/>
      <c r="I188" s="76"/>
    </row>
    <row r="189" spans="3:13" x14ac:dyDescent="0.4">
      <c r="C189" s="76"/>
      <c r="D189" s="76"/>
      <c r="E189" s="76"/>
      <c r="F189" s="76"/>
      <c r="G189" s="76"/>
      <c r="I189" s="76"/>
    </row>
    <row r="190" spans="3:13" x14ac:dyDescent="0.4">
      <c r="C190" s="76"/>
      <c r="D190" s="76"/>
      <c r="E190" s="76"/>
      <c r="F190" s="76"/>
      <c r="G190" s="76"/>
      <c r="I190" s="76"/>
    </row>
    <row r="191" spans="3:13" x14ac:dyDescent="0.4">
      <c r="C191" s="76"/>
      <c r="D191" s="76"/>
      <c r="E191" s="76"/>
      <c r="F191" s="76"/>
      <c r="G191" s="76"/>
      <c r="I191" s="76"/>
    </row>
    <row r="192" spans="3:13" x14ac:dyDescent="0.4">
      <c r="C192" s="76"/>
      <c r="D192" s="76"/>
      <c r="E192" s="76"/>
      <c r="F192" s="76"/>
      <c r="G192" s="76"/>
      <c r="I192" s="76"/>
    </row>
    <row r="193" s="76" customFormat="1" x14ac:dyDescent="0.4"/>
    <row r="194" s="76" customFormat="1" x14ac:dyDescent="0.4"/>
    <row r="195" s="76" customFormat="1" x14ac:dyDescent="0.4"/>
    <row r="196" s="76" customFormat="1" x14ac:dyDescent="0.4"/>
    <row r="197" s="76" customFormat="1" x14ac:dyDescent="0.4"/>
    <row r="198" s="76" customFormat="1" x14ac:dyDescent="0.4"/>
    <row r="199" s="76" customFormat="1" x14ac:dyDescent="0.4"/>
    <row r="200" s="76" customFormat="1" x14ac:dyDescent="0.4"/>
    <row r="201" s="76" customFormat="1" x14ac:dyDescent="0.4"/>
    <row r="202" s="76" customFormat="1" x14ac:dyDescent="0.4"/>
    <row r="203" s="76" customFormat="1" x14ac:dyDescent="0.4"/>
    <row r="204" s="76" customFormat="1" x14ac:dyDescent="0.4"/>
    <row r="205" s="76" customFormat="1" x14ac:dyDescent="0.4"/>
    <row r="206" s="76" customFormat="1" x14ac:dyDescent="0.4"/>
    <row r="207" s="76" customFormat="1" x14ac:dyDescent="0.4"/>
    <row r="208" s="76" customFormat="1" x14ac:dyDescent="0.4"/>
    <row r="209" s="76" customFormat="1" x14ac:dyDescent="0.4"/>
    <row r="210" s="76" customFormat="1" x14ac:dyDescent="0.4"/>
    <row r="211" s="76" customFormat="1" x14ac:dyDescent="0.4"/>
    <row r="212" s="76" customFormat="1" x14ac:dyDescent="0.4"/>
    <row r="213" s="76" customFormat="1" x14ac:dyDescent="0.4"/>
    <row r="214" s="76" customFormat="1" x14ac:dyDescent="0.4"/>
    <row r="215" s="76" customFormat="1" x14ac:dyDescent="0.4"/>
    <row r="216" s="76" customFormat="1" x14ac:dyDescent="0.4"/>
    <row r="217" s="76" customFormat="1" x14ac:dyDescent="0.4"/>
    <row r="218" s="76" customFormat="1" x14ac:dyDescent="0.4"/>
    <row r="219" s="76" customFormat="1" x14ac:dyDescent="0.4"/>
    <row r="220" s="76" customFormat="1" x14ac:dyDescent="0.4"/>
    <row r="221" s="76" customFormat="1" x14ac:dyDescent="0.4"/>
    <row r="222" s="76" customFormat="1" x14ac:dyDescent="0.4"/>
    <row r="223" s="76" customFormat="1" x14ac:dyDescent="0.4"/>
    <row r="224" s="76" customFormat="1" x14ac:dyDescent="0.4"/>
    <row r="225" s="76" customFormat="1" x14ac:dyDescent="0.4"/>
    <row r="226" s="76" customFormat="1" x14ac:dyDescent="0.4"/>
    <row r="227" s="76" customFormat="1" x14ac:dyDescent="0.4"/>
    <row r="228" s="76" customFormat="1" x14ac:dyDescent="0.4"/>
    <row r="229" s="76" customFormat="1" x14ac:dyDescent="0.4"/>
    <row r="230" s="76" customFormat="1" x14ac:dyDescent="0.4"/>
    <row r="231" s="76" customFormat="1" x14ac:dyDescent="0.4"/>
    <row r="232" s="76" customFormat="1" x14ac:dyDescent="0.4"/>
    <row r="233" s="76" customFormat="1" x14ac:dyDescent="0.4"/>
    <row r="234" s="76" customFormat="1" x14ac:dyDescent="0.4"/>
    <row r="235" s="76" customFormat="1" x14ac:dyDescent="0.4"/>
    <row r="236" s="76" customFormat="1" x14ac:dyDescent="0.4"/>
    <row r="237" s="76" customFormat="1" x14ac:dyDescent="0.4"/>
    <row r="238" s="76" customFormat="1" x14ac:dyDescent="0.4"/>
    <row r="239" s="76" customFormat="1" x14ac:dyDescent="0.4"/>
    <row r="240" s="76" customFormat="1" x14ac:dyDescent="0.4"/>
    <row r="241" s="76" customFormat="1" x14ac:dyDescent="0.4"/>
    <row r="242" s="76" customFormat="1" x14ac:dyDescent="0.4"/>
    <row r="243" s="76" customFormat="1" x14ac:dyDescent="0.4"/>
    <row r="244" s="76" customFormat="1" x14ac:dyDescent="0.4"/>
    <row r="245" s="76" customFormat="1" x14ac:dyDescent="0.4"/>
    <row r="246" s="76" customFormat="1" x14ac:dyDescent="0.4"/>
    <row r="247" s="76" customFormat="1" x14ac:dyDescent="0.4"/>
    <row r="248" s="76" customFormat="1" x14ac:dyDescent="0.4"/>
    <row r="249" s="76" customFormat="1" x14ac:dyDescent="0.4"/>
    <row r="250" s="76" customFormat="1" x14ac:dyDescent="0.4"/>
    <row r="251" s="76" customFormat="1" x14ac:dyDescent="0.4"/>
    <row r="252" s="76" customFormat="1" x14ac:dyDescent="0.4"/>
    <row r="253" s="76" customFormat="1" x14ac:dyDescent="0.4"/>
    <row r="254" s="76" customFormat="1" x14ac:dyDescent="0.4"/>
    <row r="255" s="76" customFormat="1" x14ac:dyDescent="0.4"/>
    <row r="256" s="76" customFormat="1" x14ac:dyDescent="0.4"/>
    <row r="257" s="76" customFormat="1" x14ac:dyDescent="0.4"/>
    <row r="258" s="76" customFormat="1" x14ac:dyDescent="0.4"/>
    <row r="259" s="76" customFormat="1" x14ac:dyDescent="0.4"/>
    <row r="260" s="76" customFormat="1" x14ac:dyDescent="0.4"/>
    <row r="261" s="76" customFormat="1" x14ac:dyDescent="0.4"/>
    <row r="262" s="76" customFormat="1" x14ac:dyDescent="0.4"/>
    <row r="263" s="76" customFormat="1" x14ac:dyDescent="0.4"/>
    <row r="264" s="76" customFormat="1" x14ac:dyDescent="0.4"/>
    <row r="265" s="76" customFormat="1" x14ac:dyDescent="0.4"/>
    <row r="266" s="76" customFormat="1" x14ac:dyDescent="0.4"/>
    <row r="267" s="76" customFormat="1" x14ac:dyDescent="0.4"/>
    <row r="268" s="76" customFormat="1" x14ac:dyDescent="0.4"/>
    <row r="269" s="76" customFormat="1" x14ac:dyDescent="0.4"/>
    <row r="270" s="76" customFormat="1" x14ac:dyDescent="0.4"/>
    <row r="271" s="76" customFormat="1" x14ac:dyDescent="0.4"/>
    <row r="272" s="76" customFormat="1" x14ac:dyDescent="0.4"/>
    <row r="273" s="76" customFormat="1" x14ac:dyDescent="0.4"/>
    <row r="274" s="76" customFormat="1" x14ac:dyDescent="0.4"/>
    <row r="275" s="76" customFormat="1" x14ac:dyDescent="0.4"/>
    <row r="276" s="76" customFormat="1" x14ac:dyDescent="0.4"/>
    <row r="277" s="76" customFormat="1" x14ac:dyDescent="0.4"/>
    <row r="278" s="76" customFormat="1" x14ac:dyDescent="0.4"/>
    <row r="279" s="76" customFormat="1" x14ac:dyDescent="0.4"/>
    <row r="280" s="76" customFormat="1" x14ac:dyDescent="0.4"/>
    <row r="281" s="76" customFormat="1" x14ac:dyDescent="0.4"/>
    <row r="282" s="76" customFormat="1" x14ac:dyDescent="0.4"/>
    <row r="290" spans="1:15" x14ac:dyDescent="0.4">
      <c r="N290" s="78"/>
      <c r="O290" s="78"/>
    </row>
    <row r="291" spans="1:15" s="78" customFormat="1" x14ac:dyDescent="0.4">
      <c r="A291" s="76"/>
      <c r="B291" s="76"/>
      <c r="G291" s="79"/>
      <c r="H291" s="76"/>
      <c r="I291" s="79"/>
      <c r="J291" s="76"/>
      <c r="K291" s="76"/>
      <c r="L291" s="76"/>
      <c r="M291" s="76"/>
    </row>
    <row r="292" spans="1:15" s="78" customFormat="1" x14ac:dyDescent="0.4">
      <c r="A292" s="76"/>
      <c r="B292" s="76"/>
      <c r="G292" s="79"/>
      <c r="H292" s="76"/>
      <c r="I292" s="79"/>
      <c r="J292" s="76"/>
      <c r="K292" s="76"/>
      <c r="L292" s="76"/>
      <c r="M292" s="76"/>
    </row>
    <row r="293" spans="1:15" s="78" customFormat="1" x14ac:dyDescent="0.4">
      <c r="A293" s="76"/>
      <c r="B293" s="76"/>
      <c r="G293" s="79"/>
      <c r="H293" s="76"/>
      <c r="I293" s="79"/>
      <c r="J293" s="76"/>
      <c r="K293" s="76"/>
      <c r="L293" s="76"/>
      <c r="M293" s="76"/>
    </row>
    <row r="294" spans="1:15" s="78" customFormat="1" x14ac:dyDescent="0.4">
      <c r="A294" s="76"/>
      <c r="B294" s="76"/>
      <c r="G294" s="79"/>
      <c r="H294" s="76"/>
      <c r="I294" s="79"/>
      <c r="J294" s="76"/>
      <c r="K294" s="76"/>
      <c r="L294" s="76"/>
      <c r="M294" s="76"/>
    </row>
    <row r="295" spans="1:15" s="78" customFormat="1" x14ac:dyDescent="0.4">
      <c r="A295" s="76"/>
      <c r="B295" s="76"/>
      <c r="G295" s="79"/>
      <c r="H295" s="76"/>
      <c r="I295" s="79"/>
      <c r="J295" s="76"/>
      <c r="K295" s="76"/>
      <c r="L295" s="76"/>
      <c r="M295" s="76"/>
    </row>
    <row r="296" spans="1:15" s="78" customFormat="1" x14ac:dyDescent="0.4">
      <c r="A296" s="76"/>
      <c r="B296" s="76"/>
      <c r="G296" s="79"/>
      <c r="H296" s="76"/>
      <c r="I296" s="79"/>
      <c r="J296" s="76"/>
      <c r="K296" s="76"/>
      <c r="L296" s="76"/>
      <c r="M296" s="76"/>
    </row>
    <row r="297" spans="1:15" s="78" customFormat="1" x14ac:dyDescent="0.4">
      <c r="A297" s="76"/>
      <c r="B297" s="76"/>
      <c r="C297" s="14"/>
      <c r="G297" s="79"/>
      <c r="H297" s="76"/>
      <c r="I297" s="79"/>
      <c r="J297" s="76"/>
      <c r="K297" s="76"/>
      <c r="L297" s="76"/>
      <c r="M297" s="76"/>
    </row>
    <row r="298" spans="1:15" s="78" customFormat="1" x14ac:dyDescent="0.4">
      <c r="A298" s="76"/>
      <c r="B298" s="76"/>
      <c r="C298" s="14"/>
      <c r="G298" s="79"/>
      <c r="H298" s="76"/>
      <c r="I298" s="79"/>
      <c r="J298" s="76"/>
      <c r="K298" s="76"/>
      <c r="L298" s="76"/>
      <c r="M298" s="76"/>
    </row>
    <row r="299" spans="1:15" s="78" customFormat="1" x14ac:dyDescent="0.4">
      <c r="A299" s="76"/>
      <c r="B299" s="76"/>
      <c r="C299" s="14"/>
      <c r="G299" s="79"/>
      <c r="H299" s="76"/>
      <c r="I299" s="79"/>
      <c r="J299" s="76"/>
      <c r="K299" s="76"/>
      <c r="L299" s="76"/>
      <c r="M299" s="76"/>
    </row>
    <row r="300" spans="1:15" s="78" customFormat="1" x14ac:dyDescent="0.4">
      <c r="A300" s="76"/>
      <c r="B300" s="76"/>
      <c r="C300" s="14"/>
      <c r="G300" s="79"/>
      <c r="H300" s="76"/>
      <c r="I300" s="79"/>
      <c r="J300" s="76"/>
      <c r="K300" s="76"/>
      <c r="L300" s="76"/>
      <c r="M300" s="76"/>
    </row>
    <row r="301" spans="1:15" s="78" customFormat="1" x14ac:dyDescent="0.4">
      <c r="A301" s="76"/>
      <c r="B301" s="76"/>
      <c r="C301" s="14"/>
      <c r="G301" s="79"/>
      <c r="H301" s="76"/>
      <c r="I301" s="79"/>
      <c r="J301" s="76"/>
      <c r="K301" s="76"/>
      <c r="L301" s="76"/>
      <c r="M301" s="76"/>
    </row>
    <row r="302" spans="1:15" s="78" customFormat="1" x14ac:dyDescent="0.4">
      <c r="A302" s="76"/>
      <c r="B302" s="76"/>
      <c r="C302" s="14"/>
      <c r="G302" s="79"/>
      <c r="H302" s="76"/>
      <c r="I302" s="79"/>
      <c r="J302" s="76"/>
      <c r="K302" s="76"/>
      <c r="L302" s="76"/>
      <c r="M302" s="76"/>
    </row>
    <row r="303" spans="1:15" s="78" customFormat="1" x14ac:dyDescent="0.4">
      <c r="A303" s="76"/>
      <c r="B303" s="76"/>
      <c r="C303" s="14"/>
      <c r="G303" s="79"/>
      <c r="H303" s="76"/>
      <c r="I303" s="79"/>
      <c r="J303" s="76"/>
      <c r="K303" s="76"/>
      <c r="L303" s="76"/>
      <c r="M303" s="76"/>
    </row>
    <row r="304" spans="1:15" s="78" customFormat="1" x14ac:dyDescent="0.4">
      <c r="A304" s="76"/>
      <c r="B304" s="76"/>
      <c r="C304" s="14"/>
      <c r="G304" s="79"/>
      <c r="H304" s="76"/>
      <c r="I304" s="79"/>
      <c r="J304" s="76"/>
      <c r="K304" s="76"/>
      <c r="L304" s="76"/>
      <c r="M304" s="76"/>
    </row>
    <row r="305" spans="1:13" s="78" customFormat="1" x14ac:dyDescent="0.4">
      <c r="A305" s="76"/>
      <c r="B305" s="76"/>
      <c r="C305" s="14"/>
      <c r="G305" s="79"/>
      <c r="H305" s="76"/>
      <c r="I305" s="79"/>
      <c r="J305" s="76"/>
      <c r="K305" s="76"/>
      <c r="L305" s="76"/>
      <c r="M305" s="76"/>
    </row>
    <row r="306" spans="1:13" s="78" customFormat="1" x14ac:dyDescent="0.4">
      <c r="A306" s="76"/>
      <c r="B306" s="76"/>
      <c r="C306" s="14"/>
      <c r="G306" s="79"/>
      <c r="H306" s="76"/>
      <c r="I306" s="79"/>
      <c r="J306" s="76"/>
      <c r="K306" s="76"/>
      <c r="L306" s="76"/>
      <c r="M306" s="76"/>
    </row>
    <row r="307" spans="1:13" s="78" customFormat="1" x14ac:dyDescent="0.4">
      <c r="A307" s="76"/>
      <c r="B307" s="76"/>
      <c r="C307" s="14"/>
      <c r="G307" s="79"/>
      <c r="H307" s="76"/>
      <c r="I307" s="79"/>
      <c r="J307" s="76"/>
      <c r="K307" s="76"/>
      <c r="L307" s="76"/>
      <c r="M307" s="76"/>
    </row>
    <row r="308" spans="1:13" s="78" customFormat="1" x14ac:dyDescent="0.4">
      <c r="A308" s="76"/>
      <c r="B308" s="76"/>
      <c r="C308" s="14"/>
      <c r="G308" s="79"/>
      <c r="H308" s="76"/>
      <c r="I308" s="79"/>
      <c r="J308" s="76"/>
      <c r="K308" s="76"/>
      <c r="L308" s="76"/>
      <c r="M308" s="76"/>
    </row>
    <row r="309" spans="1:13" s="78" customFormat="1" x14ac:dyDescent="0.4">
      <c r="A309" s="76"/>
      <c r="B309" s="76"/>
      <c r="C309" s="14"/>
      <c r="G309" s="79"/>
      <c r="H309" s="76"/>
      <c r="I309" s="79"/>
      <c r="J309" s="76"/>
      <c r="K309" s="76"/>
      <c r="L309" s="76"/>
      <c r="M309" s="76"/>
    </row>
    <row r="310" spans="1:13" s="78" customFormat="1" x14ac:dyDescent="0.4">
      <c r="A310" s="76"/>
      <c r="B310" s="76"/>
      <c r="C310" s="14"/>
      <c r="G310" s="79"/>
      <c r="H310" s="76"/>
      <c r="I310" s="79"/>
      <c r="J310" s="76"/>
      <c r="K310" s="76"/>
      <c r="L310" s="76"/>
      <c r="M310" s="76"/>
    </row>
    <row r="311" spans="1:13" s="78" customFormat="1" x14ac:dyDescent="0.4">
      <c r="A311" s="76"/>
      <c r="B311" s="76"/>
      <c r="C311" s="14"/>
      <c r="G311" s="79"/>
      <c r="H311" s="76"/>
      <c r="I311" s="79"/>
      <c r="J311" s="76"/>
      <c r="K311" s="76"/>
      <c r="L311" s="76"/>
      <c r="M311" s="76"/>
    </row>
    <row r="312" spans="1:13" s="78" customFormat="1" x14ac:dyDescent="0.4">
      <c r="A312" s="76"/>
      <c r="B312" s="76"/>
      <c r="C312" s="14"/>
      <c r="G312" s="79"/>
      <c r="H312" s="76"/>
      <c r="I312" s="79"/>
      <c r="J312" s="76"/>
      <c r="K312" s="76"/>
      <c r="L312" s="76"/>
      <c r="M312" s="76"/>
    </row>
    <row r="313" spans="1:13" s="78" customFormat="1" x14ac:dyDescent="0.4">
      <c r="A313" s="76"/>
      <c r="B313" s="76"/>
      <c r="C313" s="14"/>
      <c r="G313" s="79"/>
      <c r="H313" s="76"/>
      <c r="I313" s="79"/>
      <c r="J313" s="76"/>
      <c r="K313" s="76"/>
      <c r="L313" s="76"/>
      <c r="M313" s="76"/>
    </row>
    <row r="314" spans="1:13" s="78" customFormat="1" x14ac:dyDescent="0.4">
      <c r="A314" s="76"/>
      <c r="B314" s="76"/>
      <c r="C314" s="14"/>
      <c r="G314" s="79"/>
      <c r="H314" s="76"/>
      <c r="I314" s="79"/>
      <c r="J314" s="76"/>
      <c r="K314" s="76"/>
      <c r="L314" s="76"/>
      <c r="M314" s="76"/>
    </row>
    <row r="315" spans="1:13" s="78" customFormat="1" x14ac:dyDescent="0.4">
      <c r="A315" s="76"/>
      <c r="B315" s="76"/>
      <c r="C315" s="14"/>
      <c r="G315" s="79"/>
      <c r="H315" s="76"/>
      <c r="I315" s="79"/>
      <c r="J315" s="76"/>
      <c r="K315" s="76"/>
      <c r="L315" s="76"/>
      <c r="M315" s="76"/>
    </row>
    <row r="316" spans="1:13" s="78" customFormat="1" x14ac:dyDescent="0.4">
      <c r="A316" s="76"/>
      <c r="B316" s="76"/>
      <c r="C316" s="14"/>
      <c r="G316" s="79"/>
      <c r="H316" s="76"/>
      <c r="I316" s="79"/>
      <c r="J316" s="76"/>
      <c r="K316" s="76"/>
      <c r="L316" s="76"/>
      <c r="M316" s="76"/>
    </row>
    <row r="317" spans="1:13" s="78" customFormat="1" x14ac:dyDescent="0.4">
      <c r="A317" s="76"/>
      <c r="B317" s="76"/>
      <c r="C317" s="14"/>
      <c r="G317" s="79"/>
      <c r="H317" s="76"/>
      <c r="I317" s="79"/>
      <c r="J317" s="76"/>
      <c r="K317" s="76"/>
      <c r="L317" s="76"/>
      <c r="M317" s="76"/>
    </row>
    <row r="318" spans="1:13" s="78" customFormat="1" x14ac:dyDescent="0.4">
      <c r="A318" s="76"/>
      <c r="B318" s="76"/>
      <c r="C318" s="14"/>
      <c r="G318" s="79"/>
      <c r="H318" s="76"/>
      <c r="I318" s="79"/>
      <c r="J318" s="76"/>
      <c r="K318" s="76"/>
      <c r="L318" s="76"/>
      <c r="M318" s="76"/>
    </row>
    <row r="319" spans="1:13" s="78" customFormat="1" x14ac:dyDescent="0.4">
      <c r="A319" s="76"/>
      <c r="B319" s="76"/>
      <c r="C319" s="14"/>
      <c r="G319" s="79"/>
      <c r="H319" s="76"/>
      <c r="I319" s="79"/>
      <c r="J319" s="76"/>
      <c r="K319" s="76"/>
      <c r="L319" s="76"/>
      <c r="M319" s="76"/>
    </row>
    <row r="320" spans="1:13" s="78" customFormat="1" x14ac:dyDescent="0.4">
      <c r="A320" s="76"/>
      <c r="B320" s="76"/>
      <c r="C320" s="14"/>
      <c r="G320" s="79"/>
      <c r="H320" s="76"/>
      <c r="I320" s="79"/>
      <c r="J320" s="76"/>
      <c r="K320" s="76"/>
      <c r="L320" s="76"/>
      <c r="M320" s="76"/>
    </row>
    <row r="321" spans="1:15" s="78" customFormat="1" x14ac:dyDescent="0.4">
      <c r="A321" s="76"/>
      <c r="B321" s="76"/>
      <c r="C321" s="14"/>
      <c r="G321" s="79"/>
      <c r="H321" s="76"/>
      <c r="I321" s="79"/>
      <c r="J321" s="76"/>
      <c r="K321" s="76"/>
      <c r="L321" s="76"/>
      <c r="M321" s="76"/>
    </row>
    <row r="322" spans="1:15" s="78" customFormat="1" x14ac:dyDescent="0.4">
      <c r="A322" s="76"/>
      <c r="B322" s="76"/>
      <c r="C322" s="14"/>
      <c r="G322" s="79"/>
      <c r="H322" s="76"/>
      <c r="I322" s="79"/>
      <c r="J322" s="76"/>
      <c r="K322" s="76"/>
      <c r="L322" s="76"/>
      <c r="M322" s="76"/>
    </row>
    <row r="323" spans="1:15" s="78" customFormat="1" x14ac:dyDescent="0.4">
      <c r="A323" s="76"/>
      <c r="B323" s="76"/>
      <c r="C323" s="14"/>
      <c r="G323" s="79"/>
      <c r="H323" s="76"/>
      <c r="I323" s="79"/>
      <c r="J323" s="76"/>
      <c r="K323" s="76"/>
      <c r="L323" s="76"/>
      <c r="M323" s="76"/>
    </row>
    <row r="324" spans="1:15" s="78" customFormat="1" x14ac:dyDescent="0.4">
      <c r="A324" s="76"/>
      <c r="B324" s="76"/>
      <c r="C324" s="14"/>
      <c r="G324" s="79"/>
      <c r="H324" s="76"/>
      <c r="I324" s="79"/>
      <c r="J324" s="76"/>
      <c r="K324" s="76"/>
      <c r="L324" s="76"/>
      <c r="M324" s="76"/>
      <c r="N324" s="76"/>
      <c r="O324" s="76"/>
    </row>
    <row r="325" spans="1:15" x14ac:dyDescent="0.4">
      <c r="C325" s="14"/>
    </row>
    <row r="326" spans="1:15" x14ac:dyDescent="0.4">
      <c r="C326" s="14"/>
    </row>
    <row r="327" spans="1:15" x14ac:dyDescent="0.4">
      <c r="C327" s="14"/>
    </row>
    <row r="328" spans="1:15" x14ac:dyDescent="0.4">
      <c r="C328" s="14"/>
      <c r="D328" s="76"/>
      <c r="E328" s="76"/>
      <c r="F328" s="76"/>
      <c r="G328" s="76"/>
      <c r="I328" s="76"/>
    </row>
    <row r="331" spans="1:15" x14ac:dyDescent="0.4">
      <c r="C331" s="76"/>
      <c r="D331" s="76"/>
      <c r="E331" s="76"/>
      <c r="F331" s="76"/>
      <c r="G331" s="76"/>
      <c r="I331" s="76"/>
    </row>
    <row r="332" spans="1:15" x14ac:dyDescent="0.4">
      <c r="C332" s="76"/>
      <c r="D332" s="76"/>
      <c r="E332" s="76"/>
      <c r="F332" s="76"/>
      <c r="G332" s="76"/>
      <c r="I332" s="76"/>
    </row>
    <row r="333" spans="1:15" x14ac:dyDescent="0.4">
      <c r="C333" s="76"/>
      <c r="D333" s="76"/>
      <c r="E333" s="76"/>
      <c r="F333" s="76"/>
      <c r="G333" s="76"/>
      <c r="I333" s="76"/>
    </row>
    <row r="334" spans="1:15" x14ac:dyDescent="0.4">
      <c r="C334" s="76"/>
      <c r="D334" s="76"/>
      <c r="E334" s="76"/>
      <c r="F334" s="76"/>
      <c r="G334" s="76"/>
      <c r="I334" s="76"/>
    </row>
    <row r="335" spans="1:15" x14ac:dyDescent="0.4">
      <c r="C335" s="76"/>
      <c r="D335" s="76"/>
      <c r="E335" s="76"/>
      <c r="F335" s="76"/>
      <c r="G335" s="76"/>
      <c r="I335" s="76"/>
    </row>
    <row r="336" spans="1:15" x14ac:dyDescent="0.4">
      <c r="C336" s="76"/>
      <c r="D336" s="76"/>
      <c r="E336" s="76"/>
      <c r="F336" s="76"/>
      <c r="G336" s="76"/>
      <c r="I336" s="76"/>
    </row>
    <row r="337" s="76" customFormat="1" x14ac:dyDescent="0.4"/>
    <row r="338" s="76" customFormat="1" x14ac:dyDescent="0.4"/>
    <row r="339" s="76" customFormat="1" x14ac:dyDescent="0.4"/>
    <row r="340" s="76" customFormat="1" x14ac:dyDescent="0.4"/>
    <row r="341" s="76" customFormat="1" x14ac:dyDescent="0.4"/>
    <row r="342" s="76" customFormat="1" x14ac:dyDescent="0.4"/>
    <row r="343" s="76" customFormat="1" x14ac:dyDescent="0.4"/>
    <row r="344" s="76" customFormat="1" x14ac:dyDescent="0.4"/>
    <row r="345" s="76" customFormat="1" x14ac:dyDescent="0.4"/>
    <row r="346" s="76" customFormat="1" x14ac:dyDescent="0.4"/>
    <row r="347" s="76" customFormat="1" x14ac:dyDescent="0.4"/>
    <row r="348" s="76" customFormat="1" x14ac:dyDescent="0.4"/>
    <row r="349" s="76" customFormat="1" x14ac:dyDescent="0.4"/>
    <row r="350" s="76" customFormat="1" x14ac:dyDescent="0.4"/>
    <row r="351" s="76" customFormat="1" x14ac:dyDescent="0.4"/>
    <row r="352" s="76" customFormat="1" x14ac:dyDescent="0.4"/>
    <row r="353" s="76" customFormat="1" x14ac:dyDescent="0.4"/>
    <row r="354" s="76" customFormat="1" x14ac:dyDescent="0.4"/>
    <row r="355" s="76" customFormat="1" x14ac:dyDescent="0.4"/>
    <row r="356" s="76" customFormat="1" x14ac:dyDescent="0.4"/>
    <row r="357" s="76" customFormat="1" x14ac:dyDescent="0.4"/>
  </sheetData>
  <pageMargins left="0.7" right="0.7" top="0.75" bottom="0.75" header="0.3" footer="0.3"/>
  <pageSetup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8"/>
  <dimension ref="A1:O118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3.52734375" style="21" bestFit="1" customWidth="1"/>
    <col min="2" max="2" width="30" style="9" customWidth="1"/>
    <col min="3" max="3" width="13.64453125" style="78" hidden="1" customWidth="1" outlineLevel="1"/>
    <col min="4" max="5" width="11" style="78" hidden="1" customWidth="1" outlineLevel="1"/>
    <col min="6" max="6" width="12.3515625" style="78" hidden="1" customWidth="1" outlineLevel="1"/>
    <col min="7" max="7" width="15.64453125" style="79" hidden="1" customWidth="1" outlineLevel="1"/>
    <col min="8" max="8" width="15.46875" style="76" hidden="1" customWidth="1" outlineLevel="1"/>
    <col min="9" max="9" width="12" style="79" customWidth="1" collapsed="1"/>
    <col min="10" max="10" width="13.46875" style="76" customWidth="1"/>
    <col min="11" max="11" width="11.64453125" style="76" customWidth="1"/>
    <col min="12" max="12" width="13.17578125" style="76" customWidth="1"/>
    <col min="13" max="13" width="11.703125" style="76" customWidth="1"/>
    <col min="14" max="16384" width="9.05859375" style="21"/>
  </cols>
  <sheetData>
    <row r="1" spans="1:13" x14ac:dyDescent="0.4">
      <c r="A1" s="22" t="s">
        <v>901</v>
      </c>
      <c r="B1" s="75"/>
    </row>
    <row r="2" spans="1:13" x14ac:dyDescent="0.4">
      <c r="A2" s="22" t="s">
        <v>603</v>
      </c>
      <c r="B2" s="75"/>
    </row>
    <row r="3" spans="1:13" x14ac:dyDescent="0.4">
      <c r="A3" s="3">
        <v>43220</v>
      </c>
      <c r="B3" s="3"/>
      <c r="F3" s="78" t="s">
        <v>261</v>
      </c>
      <c r="G3" s="79" t="s">
        <v>261</v>
      </c>
      <c r="H3" s="4"/>
    </row>
    <row r="5" spans="1:13" s="10" customFormat="1" x14ac:dyDescent="0.4">
      <c r="A5" s="21" t="s">
        <v>484</v>
      </c>
      <c r="B5" s="9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J5" s="78"/>
      <c r="K5" s="78"/>
      <c r="L5" s="416" t="s">
        <v>282</v>
      </c>
      <c r="M5" s="416" t="s">
        <v>284</v>
      </c>
    </row>
    <row r="6" spans="1:13" s="10" customFormat="1" x14ac:dyDescent="0.4">
      <c r="A6" s="126" t="s">
        <v>1047</v>
      </c>
      <c r="B6" s="12" t="s">
        <v>1048</v>
      </c>
      <c r="C6" s="78">
        <v>192077.5</v>
      </c>
      <c r="D6" s="78"/>
      <c r="E6" s="78"/>
      <c r="F6" s="78"/>
      <c r="G6" s="79">
        <f t="shared" ref="G6:G70" si="0">SUM(C6:F6)</f>
        <v>192077.5</v>
      </c>
      <c r="H6" s="78" t="s">
        <v>287</v>
      </c>
      <c r="I6" s="79">
        <f>G6*1</f>
        <v>192077.5</v>
      </c>
      <c r="J6" s="78"/>
      <c r="K6" s="78"/>
      <c r="L6" s="417" t="s">
        <v>287</v>
      </c>
      <c r="M6" s="418">
        <v>469466.12</v>
      </c>
    </row>
    <row r="7" spans="1:13" s="10" customFormat="1" x14ac:dyDescent="0.4">
      <c r="A7" s="126" t="s">
        <v>1049</v>
      </c>
      <c r="B7" s="12" t="s">
        <v>1050</v>
      </c>
      <c r="C7" s="78">
        <v>6016</v>
      </c>
      <c r="D7" s="78"/>
      <c r="E7" s="78"/>
      <c r="F7" s="78"/>
      <c r="G7" s="79">
        <f t="shared" si="0"/>
        <v>6016</v>
      </c>
      <c r="H7" s="78" t="s">
        <v>287</v>
      </c>
      <c r="I7" s="79">
        <f t="shared" ref="I7:I71" si="1">G7*1</f>
        <v>6016</v>
      </c>
      <c r="J7" s="78"/>
      <c r="K7" s="78"/>
      <c r="L7" s="417" t="s">
        <v>288</v>
      </c>
      <c r="M7" s="418">
        <v>-194215.61</v>
      </c>
    </row>
    <row r="8" spans="1:13" s="10" customFormat="1" x14ac:dyDescent="0.4">
      <c r="A8" s="126" t="s">
        <v>1051</v>
      </c>
      <c r="B8" s="12" t="s">
        <v>1052</v>
      </c>
      <c r="C8" s="78">
        <v>0</v>
      </c>
      <c r="D8" s="78"/>
      <c r="E8" s="78"/>
      <c r="F8" s="78"/>
      <c r="G8" s="79">
        <f t="shared" si="0"/>
        <v>0</v>
      </c>
      <c r="H8" s="78" t="s">
        <v>287</v>
      </c>
      <c r="I8" s="79">
        <f t="shared" si="1"/>
        <v>0</v>
      </c>
      <c r="J8" s="78"/>
      <c r="K8" s="78"/>
      <c r="L8" s="417" t="s">
        <v>292</v>
      </c>
      <c r="M8" s="418">
        <v>-175551.49</v>
      </c>
    </row>
    <row r="9" spans="1:13" s="10" customFormat="1" x14ac:dyDescent="0.4">
      <c r="A9" s="126" t="s">
        <v>1053</v>
      </c>
      <c r="B9" s="12" t="s">
        <v>1054</v>
      </c>
      <c r="C9" s="78">
        <v>55000</v>
      </c>
      <c r="D9" s="78"/>
      <c r="E9" s="78"/>
      <c r="F9" s="78"/>
      <c r="G9" s="79">
        <f t="shared" si="0"/>
        <v>55000</v>
      </c>
      <c r="H9" s="78" t="s">
        <v>287</v>
      </c>
      <c r="I9" s="79">
        <f t="shared" si="1"/>
        <v>55000</v>
      </c>
      <c r="J9" s="78"/>
      <c r="K9" s="78"/>
      <c r="L9" s="417" t="s">
        <v>291</v>
      </c>
      <c r="M9" s="418">
        <v>-6531.21</v>
      </c>
    </row>
    <row r="10" spans="1:13" s="10" customFormat="1" x14ac:dyDescent="0.4">
      <c r="A10" s="68" t="s">
        <v>1055</v>
      </c>
      <c r="B10" s="12" t="s">
        <v>1056</v>
      </c>
      <c r="C10" s="78">
        <v>0</v>
      </c>
      <c r="D10" s="78"/>
      <c r="E10" s="78"/>
      <c r="F10" s="78">
        <v>0</v>
      </c>
      <c r="G10" s="79">
        <f t="shared" si="0"/>
        <v>0</v>
      </c>
      <c r="H10" s="78" t="s">
        <v>287</v>
      </c>
      <c r="I10" s="79">
        <f t="shared" si="1"/>
        <v>0</v>
      </c>
      <c r="J10" s="78"/>
      <c r="K10" s="78"/>
      <c r="L10" s="417" t="s">
        <v>289</v>
      </c>
      <c r="M10" s="418">
        <v>-77388.39</v>
      </c>
    </row>
    <row r="11" spans="1:13" s="10" customFormat="1" x14ac:dyDescent="0.4">
      <c r="A11" s="125" t="s">
        <v>1057</v>
      </c>
      <c r="B11" s="125" t="s">
        <v>1058</v>
      </c>
      <c r="C11" s="78">
        <v>125000</v>
      </c>
      <c r="D11" s="78"/>
      <c r="E11" s="78"/>
      <c r="F11" s="78"/>
      <c r="G11" s="79">
        <f t="shared" si="0"/>
        <v>125000</v>
      </c>
      <c r="H11" s="78" t="s">
        <v>287</v>
      </c>
      <c r="I11" s="79">
        <f t="shared" si="1"/>
        <v>125000</v>
      </c>
      <c r="J11" s="78"/>
      <c r="K11" s="78"/>
      <c r="L11" s="417" t="s">
        <v>290</v>
      </c>
      <c r="M11" s="418">
        <v>-19780.71</v>
      </c>
    </row>
    <row r="12" spans="1:13" s="78" customFormat="1" x14ac:dyDescent="0.4">
      <c r="A12" s="126" t="s">
        <v>1059</v>
      </c>
      <c r="B12" s="12" t="s">
        <v>1060</v>
      </c>
      <c r="C12" s="78">
        <v>0</v>
      </c>
      <c r="G12" s="79">
        <f t="shared" si="0"/>
        <v>0</v>
      </c>
      <c r="H12" s="78" t="s">
        <v>287</v>
      </c>
      <c r="I12" s="79">
        <f t="shared" si="1"/>
        <v>0</v>
      </c>
      <c r="L12" s="417" t="s">
        <v>299</v>
      </c>
      <c r="M12" s="418">
        <v>-7448.31</v>
      </c>
    </row>
    <row r="13" spans="1:13" s="78" customFormat="1" x14ac:dyDescent="0.4">
      <c r="A13" s="126" t="s">
        <v>1061</v>
      </c>
      <c r="B13" s="12" t="s">
        <v>1062</v>
      </c>
      <c r="C13" s="78">
        <v>0</v>
      </c>
      <c r="G13" s="79">
        <f t="shared" si="0"/>
        <v>0</v>
      </c>
      <c r="H13" s="78" t="s">
        <v>287</v>
      </c>
      <c r="I13" s="79">
        <f t="shared" si="1"/>
        <v>0</v>
      </c>
      <c r="L13" s="417" t="s">
        <v>862</v>
      </c>
      <c r="M13" s="418">
        <v>0</v>
      </c>
    </row>
    <row r="14" spans="1:13" s="78" customFormat="1" x14ac:dyDescent="0.4">
      <c r="A14" s="126" t="s">
        <v>1063</v>
      </c>
      <c r="B14" s="12" t="s">
        <v>1064</v>
      </c>
      <c r="C14" s="78">
        <v>85510.19</v>
      </c>
      <c r="G14" s="79">
        <f t="shared" si="0"/>
        <v>85510.19</v>
      </c>
      <c r="H14" s="78" t="s">
        <v>287</v>
      </c>
      <c r="I14" s="79">
        <f t="shared" si="1"/>
        <v>85510.19</v>
      </c>
      <c r="L14" s="417" t="s">
        <v>283</v>
      </c>
      <c r="M14" s="418">
        <v>-11449.6</v>
      </c>
    </row>
    <row r="15" spans="1:13" s="10" customFormat="1" x14ac:dyDescent="0.4">
      <c r="A15" s="126" t="s">
        <v>1065</v>
      </c>
      <c r="B15" s="12" t="s">
        <v>1066</v>
      </c>
      <c r="C15" s="78">
        <v>0</v>
      </c>
      <c r="D15" s="78"/>
      <c r="E15" s="78"/>
      <c r="F15" s="78"/>
      <c r="G15" s="79">
        <f t="shared" si="0"/>
        <v>0</v>
      </c>
      <c r="H15" s="78" t="s">
        <v>287</v>
      </c>
      <c r="I15" s="79">
        <f t="shared" si="1"/>
        <v>0</v>
      </c>
      <c r="J15" s="78"/>
      <c r="K15" s="78"/>
      <c r="L15" s="76"/>
      <c r="M15" s="76"/>
    </row>
    <row r="16" spans="1:13" s="10" customFormat="1" x14ac:dyDescent="0.4">
      <c r="A16" s="126" t="s">
        <v>1067</v>
      </c>
      <c r="B16" s="12" t="s">
        <v>1068</v>
      </c>
      <c r="C16" s="78">
        <v>3402.43</v>
      </c>
      <c r="D16" s="78"/>
      <c r="E16" s="78"/>
      <c r="F16" s="78"/>
      <c r="G16" s="79">
        <f t="shared" si="0"/>
        <v>3402.43</v>
      </c>
      <c r="H16" s="78" t="s">
        <v>287</v>
      </c>
      <c r="I16" s="79">
        <f t="shared" si="1"/>
        <v>3402.43</v>
      </c>
      <c r="J16" s="78"/>
      <c r="K16" s="78"/>
      <c r="L16" s="76"/>
      <c r="M16" s="76"/>
    </row>
    <row r="17" spans="1:13" s="10" customFormat="1" x14ac:dyDescent="0.4">
      <c r="A17" s="126" t="s">
        <v>1069</v>
      </c>
      <c r="B17" s="12" t="s">
        <v>1070</v>
      </c>
      <c r="C17" s="78">
        <v>0</v>
      </c>
      <c r="D17" s="78"/>
      <c r="E17" s="78"/>
      <c r="F17" s="78"/>
      <c r="G17" s="79">
        <f t="shared" si="0"/>
        <v>0</v>
      </c>
      <c r="H17" s="78" t="s">
        <v>287</v>
      </c>
      <c r="I17" s="79">
        <f t="shared" si="1"/>
        <v>0</v>
      </c>
      <c r="J17" s="78"/>
      <c r="K17" s="78"/>
      <c r="L17" s="76"/>
      <c r="M17" s="76"/>
    </row>
    <row r="18" spans="1:13" s="10" customFormat="1" x14ac:dyDescent="0.4">
      <c r="A18" s="126" t="s">
        <v>1071</v>
      </c>
      <c r="B18" s="12" t="s">
        <v>1072</v>
      </c>
      <c r="C18" s="78">
        <v>2460</v>
      </c>
      <c r="D18" s="78"/>
      <c r="E18" s="78"/>
      <c r="F18" s="78"/>
      <c r="G18" s="79">
        <f t="shared" si="0"/>
        <v>2460</v>
      </c>
      <c r="H18" s="78" t="s">
        <v>287</v>
      </c>
      <c r="I18" s="79">
        <f t="shared" si="1"/>
        <v>2460</v>
      </c>
      <c r="J18" s="78"/>
      <c r="K18" s="78"/>
      <c r="L18" s="76"/>
      <c r="M18" s="76"/>
    </row>
    <row r="19" spans="1:13" s="10" customFormat="1" x14ac:dyDescent="0.4">
      <c r="A19" s="27" t="s">
        <v>1073</v>
      </c>
      <c r="B19" s="125" t="s">
        <v>1074</v>
      </c>
      <c r="C19" s="78">
        <v>0</v>
      </c>
      <c r="D19" s="78"/>
      <c r="E19" s="78"/>
      <c r="F19" s="78"/>
      <c r="G19" s="79">
        <f t="shared" si="0"/>
        <v>0</v>
      </c>
      <c r="H19" s="78" t="s">
        <v>287</v>
      </c>
      <c r="I19" s="79">
        <f t="shared" si="1"/>
        <v>0</v>
      </c>
      <c r="J19" s="78"/>
      <c r="K19" s="78"/>
      <c r="L19" s="76"/>
      <c r="M19" s="77"/>
    </row>
    <row r="20" spans="1:13" s="10" customFormat="1" x14ac:dyDescent="0.4">
      <c r="A20" s="126" t="s">
        <v>1075</v>
      </c>
      <c r="B20" s="12" t="s">
        <v>1076</v>
      </c>
      <c r="C20" s="78">
        <v>-71090.06</v>
      </c>
      <c r="D20" s="78"/>
      <c r="E20" s="78"/>
      <c r="F20" s="78"/>
      <c r="G20" s="79">
        <f t="shared" si="0"/>
        <v>-71090.06</v>
      </c>
      <c r="H20" s="78" t="s">
        <v>288</v>
      </c>
      <c r="I20" s="79">
        <f t="shared" si="1"/>
        <v>-71090.06</v>
      </c>
      <c r="J20" s="78"/>
      <c r="K20" s="78"/>
      <c r="L20" s="76"/>
      <c r="M20" s="76"/>
    </row>
    <row r="21" spans="1:13" s="10" customFormat="1" x14ac:dyDescent="0.4">
      <c r="A21" s="126" t="s">
        <v>509</v>
      </c>
      <c r="B21" s="12" t="s">
        <v>1077</v>
      </c>
      <c r="C21" s="78"/>
      <c r="D21" s="78"/>
      <c r="E21" s="78"/>
      <c r="F21" s="78"/>
      <c r="G21" s="79">
        <f t="shared" si="0"/>
        <v>0</v>
      </c>
      <c r="H21" s="78" t="s">
        <v>288</v>
      </c>
      <c r="I21" s="79">
        <f t="shared" si="1"/>
        <v>0</v>
      </c>
      <c r="J21" s="78"/>
      <c r="K21" s="78"/>
      <c r="L21" s="76"/>
      <c r="M21" s="77"/>
    </row>
    <row r="22" spans="1:13" s="10" customFormat="1" x14ac:dyDescent="0.4">
      <c r="A22" s="126" t="s">
        <v>1078</v>
      </c>
      <c r="B22" s="27" t="s">
        <v>1079</v>
      </c>
      <c r="C22" s="78">
        <v>0</v>
      </c>
      <c r="D22" s="78"/>
      <c r="E22" s="78"/>
      <c r="F22" s="78"/>
      <c r="G22" s="79">
        <f t="shared" si="0"/>
        <v>0</v>
      </c>
      <c r="H22" s="78" t="s">
        <v>288</v>
      </c>
      <c r="I22" s="79">
        <f t="shared" si="1"/>
        <v>0</v>
      </c>
      <c r="J22" s="78"/>
      <c r="K22" s="78"/>
      <c r="L22" s="76"/>
      <c r="M22" s="77"/>
    </row>
    <row r="23" spans="1:13" s="10" customFormat="1" x14ac:dyDescent="0.4">
      <c r="A23" s="126" t="s">
        <v>1080</v>
      </c>
      <c r="B23" s="12" t="s">
        <v>1081</v>
      </c>
      <c r="C23" s="78">
        <v>-68548.710000000006</v>
      </c>
      <c r="D23" s="78"/>
      <c r="E23" s="78"/>
      <c r="F23" s="78"/>
      <c r="G23" s="79">
        <f t="shared" si="0"/>
        <v>-68548.710000000006</v>
      </c>
      <c r="H23" s="78" t="s">
        <v>288</v>
      </c>
      <c r="I23" s="79">
        <f t="shared" si="1"/>
        <v>-68548.710000000006</v>
      </c>
      <c r="J23" s="78"/>
      <c r="K23" s="78"/>
      <c r="L23" s="78"/>
      <c r="M23" s="78"/>
    </row>
    <row r="24" spans="1:13" s="10" customFormat="1" x14ac:dyDescent="0.4">
      <c r="A24" s="126" t="s">
        <v>1082</v>
      </c>
      <c r="B24" s="12" t="s">
        <v>1083</v>
      </c>
      <c r="C24" s="78">
        <v>0</v>
      </c>
      <c r="D24" s="78"/>
      <c r="E24" s="78"/>
      <c r="F24" s="78"/>
      <c r="G24" s="79">
        <f t="shared" si="0"/>
        <v>0</v>
      </c>
      <c r="H24" s="78" t="s">
        <v>288</v>
      </c>
      <c r="I24" s="79">
        <f t="shared" si="1"/>
        <v>0</v>
      </c>
      <c r="J24" s="78"/>
      <c r="K24" s="78"/>
      <c r="L24" s="78"/>
      <c r="M24" s="78"/>
    </row>
    <row r="25" spans="1:13" s="10" customFormat="1" x14ac:dyDescent="0.4">
      <c r="A25" s="125" t="s">
        <v>1084</v>
      </c>
      <c r="B25" s="125" t="s">
        <v>1085</v>
      </c>
      <c r="C25" s="78">
        <v>-470.4</v>
      </c>
      <c r="D25" s="78"/>
      <c r="E25" s="78"/>
      <c r="F25" s="78"/>
      <c r="G25" s="79">
        <f t="shared" si="0"/>
        <v>-470.4</v>
      </c>
      <c r="H25" s="78" t="s">
        <v>288</v>
      </c>
      <c r="I25" s="79">
        <f t="shared" si="1"/>
        <v>-470.4</v>
      </c>
      <c r="J25" s="78"/>
      <c r="K25" s="78"/>
      <c r="L25" s="78"/>
      <c r="M25" s="78"/>
    </row>
    <row r="26" spans="1:13" s="10" customFormat="1" x14ac:dyDescent="0.4">
      <c r="A26" s="126" t="s">
        <v>1086</v>
      </c>
      <c r="B26" s="12" t="s">
        <v>1087</v>
      </c>
      <c r="C26" s="78">
        <v>-15225</v>
      </c>
      <c r="D26" s="78"/>
      <c r="E26" s="78"/>
      <c r="F26" s="78"/>
      <c r="G26" s="79">
        <f t="shared" si="0"/>
        <v>-15225</v>
      </c>
      <c r="H26" s="78" t="s">
        <v>288</v>
      </c>
      <c r="I26" s="79">
        <f t="shared" si="1"/>
        <v>-15225</v>
      </c>
      <c r="J26" s="78"/>
      <c r="L26" s="78"/>
      <c r="M26" s="78"/>
    </row>
    <row r="27" spans="1:13" s="10" customFormat="1" x14ac:dyDescent="0.4">
      <c r="A27" s="126" t="s">
        <v>1088</v>
      </c>
      <c r="B27" s="12" t="s">
        <v>1089</v>
      </c>
      <c r="C27" s="78">
        <v>-8797.3799999999992</v>
      </c>
      <c r="D27" s="78"/>
      <c r="E27" s="78"/>
      <c r="F27" s="78"/>
      <c r="G27" s="79">
        <f t="shared" si="0"/>
        <v>-8797.3799999999992</v>
      </c>
      <c r="H27" s="78" t="s">
        <v>288</v>
      </c>
      <c r="I27" s="79">
        <f t="shared" si="1"/>
        <v>-8797.3799999999992</v>
      </c>
      <c r="J27" s="78"/>
      <c r="K27" s="78"/>
      <c r="L27" s="78"/>
      <c r="M27" s="78"/>
    </row>
    <row r="28" spans="1:13" s="10" customFormat="1" x14ac:dyDescent="0.4">
      <c r="A28" s="126" t="s">
        <v>1090</v>
      </c>
      <c r="B28" s="12" t="s">
        <v>1091</v>
      </c>
      <c r="C28" s="78">
        <v>-1587.51</v>
      </c>
      <c r="D28" s="78"/>
      <c r="E28" s="78"/>
      <c r="F28" s="78"/>
      <c r="G28" s="79">
        <f t="shared" si="0"/>
        <v>-1587.51</v>
      </c>
      <c r="H28" s="79" t="s">
        <v>288</v>
      </c>
      <c r="I28" s="79">
        <f t="shared" si="1"/>
        <v>-1587.51</v>
      </c>
      <c r="J28" s="78"/>
      <c r="K28" s="78"/>
      <c r="L28" s="78"/>
      <c r="M28" s="78"/>
    </row>
    <row r="29" spans="1:13" s="10" customFormat="1" x14ac:dyDescent="0.4">
      <c r="A29" s="126" t="s">
        <v>1092</v>
      </c>
      <c r="B29" s="12" t="s">
        <v>1093</v>
      </c>
      <c r="C29" s="78">
        <v>0</v>
      </c>
      <c r="D29" s="78"/>
      <c r="E29" s="78"/>
      <c r="F29" s="78"/>
      <c r="G29" s="79">
        <f t="shared" si="0"/>
        <v>0</v>
      </c>
      <c r="H29" s="78" t="s">
        <v>288</v>
      </c>
      <c r="I29" s="79">
        <f t="shared" si="1"/>
        <v>0</v>
      </c>
      <c r="J29" s="78"/>
      <c r="K29" s="78"/>
      <c r="L29" s="78"/>
      <c r="M29" s="78"/>
    </row>
    <row r="30" spans="1:13" s="10" customFormat="1" x14ac:dyDescent="0.4">
      <c r="A30" s="126" t="s">
        <v>1094</v>
      </c>
      <c r="B30" s="12" t="s">
        <v>1095</v>
      </c>
      <c r="C30" s="78">
        <v>0</v>
      </c>
      <c r="D30" s="78"/>
      <c r="E30" s="78"/>
      <c r="F30" s="78"/>
      <c r="G30" s="79">
        <f t="shared" si="0"/>
        <v>0</v>
      </c>
      <c r="H30" s="78" t="s">
        <v>288</v>
      </c>
      <c r="I30" s="79">
        <f t="shared" si="1"/>
        <v>0</v>
      </c>
      <c r="J30" s="78"/>
      <c r="K30" s="78"/>
      <c r="L30" s="78"/>
      <c r="M30" s="78"/>
    </row>
    <row r="31" spans="1:13" s="10" customFormat="1" x14ac:dyDescent="0.4">
      <c r="A31" s="126" t="s">
        <v>1096</v>
      </c>
      <c r="B31" s="12" t="s">
        <v>1097</v>
      </c>
      <c r="C31" s="78">
        <v>-28496.55</v>
      </c>
      <c r="D31" s="78"/>
      <c r="E31" s="78"/>
      <c r="F31" s="78"/>
      <c r="G31" s="79">
        <f t="shared" si="0"/>
        <v>-28496.55</v>
      </c>
      <c r="H31" s="78" t="s">
        <v>288</v>
      </c>
      <c r="I31" s="79">
        <f t="shared" si="1"/>
        <v>-28496.55</v>
      </c>
      <c r="J31" s="78"/>
      <c r="K31" s="78"/>
      <c r="L31" s="78"/>
      <c r="M31" s="78"/>
    </row>
    <row r="32" spans="1:13" s="10" customFormat="1" x14ac:dyDescent="0.4">
      <c r="A32" s="126" t="s">
        <v>1098</v>
      </c>
      <c r="B32" s="12" t="s">
        <v>1099</v>
      </c>
      <c r="C32" s="78">
        <v>0</v>
      </c>
      <c r="D32" s="78"/>
      <c r="E32" s="78"/>
      <c r="F32" s="78"/>
      <c r="G32" s="79">
        <f t="shared" si="0"/>
        <v>0</v>
      </c>
      <c r="H32" s="78" t="s">
        <v>288</v>
      </c>
      <c r="I32" s="79">
        <f t="shared" si="1"/>
        <v>0</v>
      </c>
      <c r="J32" s="78"/>
      <c r="K32" s="78"/>
      <c r="L32" s="78"/>
      <c r="M32" s="78"/>
    </row>
    <row r="33" spans="1:14" s="10" customFormat="1" x14ac:dyDescent="0.4">
      <c r="A33" s="126" t="s">
        <v>1100</v>
      </c>
      <c r="B33" s="12" t="s">
        <v>1101</v>
      </c>
      <c r="C33" s="78">
        <v>-11264.35</v>
      </c>
      <c r="D33" s="78"/>
      <c r="E33" s="78"/>
      <c r="F33" s="78"/>
      <c r="G33" s="79">
        <f t="shared" si="0"/>
        <v>-11264.35</v>
      </c>
      <c r="H33" s="78" t="s">
        <v>292</v>
      </c>
      <c r="I33" s="79">
        <f t="shared" si="1"/>
        <v>-11264.35</v>
      </c>
      <c r="J33" s="78"/>
      <c r="K33" s="78"/>
      <c r="L33" s="78"/>
      <c r="M33" s="78"/>
    </row>
    <row r="34" spans="1:14" s="78" customFormat="1" x14ac:dyDescent="0.4">
      <c r="A34" s="126" t="s">
        <v>1102</v>
      </c>
      <c r="B34" s="12" t="s">
        <v>1103</v>
      </c>
      <c r="C34" s="78">
        <v>-18208.84</v>
      </c>
      <c r="G34" s="79">
        <f t="shared" si="0"/>
        <v>-18208.84</v>
      </c>
      <c r="H34" s="78" t="s">
        <v>292</v>
      </c>
      <c r="I34" s="79">
        <f t="shared" si="1"/>
        <v>-18208.84</v>
      </c>
      <c r="N34" s="10"/>
    </row>
    <row r="35" spans="1:14" s="78" customFormat="1" x14ac:dyDescent="0.4">
      <c r="A35" s="126" t="s">
        <v>1104</v>
      </c>
      <c r="B35" s="12" t="s">
        <v>1105</v>
      </c>
      <c r="C35" s="78">
        <v>-6520.61</v>
      </c>
      <c r="G35" s="79">
        <f t="shared" si="0"/>
        <v>-6520.61</v>
      </c>
      <c r="H35" s="78" t="s">
        <v>292</v>
      </c>
      <c r="I35" s="79">
        <f t="shared" si="1"/>
        <v>-6520.61</v>
      </c>
    </row>
    <row r="36" spans="1:14" s="10" customFormat="1" x14ac:dyDescent="0.4">
      <c r="A36" s="126" t="s">
        <v>1106</v>
      </c>
      <c r="B36" s="12" t="s">
        <v>1107</v>
      </c>
      <c r="C36" s="78">
        <v>-10791.96</v>
      </c>
      <c r="D36" s="78"/>
      <c r="E36" s="78"/>
      <c r="F36" s="78"/>
      <c r="G36" s="79">
        <f t="shared" si="0"/>
        <v>-10791.96</v>
      </c>
      <c r="H36" s="78" t="s">
        <v>292</v>
      </c>
      <c r="I36" s="79">
        <f t="shared" si="1"/>
        <v>-10791.96</v>
      </c>
      <c r="J36" s="78"/>
      <c r="K36" s="78"/>
      <c r="L36" s="78"/>
      <c r="M36" s="78"/>
      <c r="N36" s="78"/>
    </row>
    <row r="37" spans="1:14" s="10" customFormat="1" x14ac:dyDescent="0.4">
      <c r="A37" s="126" t="s">
        <v>1108</v>
      </c>
      <c r="B37" s="12" t="s">
        <v>1109</v>
      </c>
      <c r="C37" s="78">
        <v>-30577.65</v>
      </c>
      <c r="D37" s="78"/>
      <c r="E37" s="78"/>
      <c r="F37" s="78"/>
      <c r="G37" s="79">
        <f t="shared" si="0"/>
        <v>-30577.65</v>
      </c>
      <c r="H37" s="78" t="s">
        <v>292</v>
      </c>
      <c r="I37" s="79">
        <f t="shared" si="1"/>
        <v>-30577.65</v>
      </c>
      <c r="J37" s="78"/>
      <c r="K37" s="78"/>
      <c r="L37" s="78"/>
      <c r="M37" s="78"/>
    </row>
    <row r="38" spans="1:14" s="10" customFormat="1" x14ac:dyDescent="0.4">
      <c r="A38" s="126" t="s">
        <v>1110</v>
      </c>
      <c r="B38" s="12" t="s">
        <v>1111</v>
      </c>
      <c r="C38" s="78">
        <v>0</v>
      </c>
      <c r="D38" s="78"/>
      <c r="E38" s="78"/>
      <c r="F38" s="78"/>
      <c r="G38" s="79">
        <f t="shared" si="0"/>
        <v>0</v>
      </c>
      <c r="H38" s="78" t="s">
        <v>292</v>
      </c>
      <c r="I38" s="79">
        <f t="shared" si="1"/>
        <v>0</v>
      </c>
      <c r="J38" s="78"/>
      <c r="K38" s="78"/>
      <c r="L38" s="78"/>
      <c r="M38" s="78"/>
    </row>
    <row r="39" spans="1:14" s="10" customFormat="1" x14ac:dyDescent="0.4">
      <c r="A39" s="126" t="s">
        <v>1112</v>
      </c>
      <c r="B39" s="12" t="s">
        <v>1113</v>
      </c>
      <c r="C39" s="78">
        <v>0</v>
      </c>
      <c r="D39" s="78"/>
      <c r="E39" s="78"/>
      <c r="F39" s="78"/>
      <c r="G39" s="79">
        <f t="shared" si="0"/>
        <v>0</v>
      </c>
      <c r="H39" s="78" t="s">
        <v>292</v>
      </c>
      <c r="I39" s="79">
        <f t="shared" si="1"/>
        <v>0</v>
      </c>
      <c r="J39" s="78"/>
      <c r="K39" s="78"/>
      <c r="L39" s="78"/>
      <c r="M39" s="78"/>
    </row>
    <row r="40" spans="1:14" s="10" customFormat="1" x14ac:dyDescent="0.4">
      <c r="A40" s="126" t="s">
        <v>1114</v>
      </c>
      <c r="B40" s="12" t="s">
        <v>1115</v>
      </c>
      <c r="C40" s="78">
        <v>0</v>
      </c>
      <c r="D40" s="78"/>
      <c r="E40" s="78"/>
      <c r="F40" s="78"/>
      <c r="G40" s="79">
        <f t="shared" si="0"/>
        <v>0</v>
      </c>
      <c r="H40" s="78" t="s">
        <v>292</v>
      </c>
      <c r="I40" s="79">
        <f t="shared" si="1"/>
        <v>0</v>
      </c>
      <c r="J40" s="78">
        <f>SUM(I6:I19)</f>
        <v>469466.12</v>
      </c>
      <c r="K40" s="78"/>
      <c r="L40" s="78"/>
      <c r="M40" s="78"/>
    </row>
    <row r="41" spans="1:14" s="10" customFormat="1" x14ac:dyDescent="0.4">
      <c r="A41" s="126" t="s">
        <v>1116</v>
      </c>
      <c r="B41" s="12" t="s">
        <v>1117</v>
      </c>
      <c r="C41" s="78">
        <v>-2604.21</v>
      </c>
      <c r="D41" s="78"/>
      <c r="E41" s="78"/>
      <c r="F41" s="78"/>
      <c r="G41" s="79">
        <f t="shared" si="0"/>
        <v>-2604.21</v>
      </c>
      <c r="H41" s="78" t="s">
        <v>291</v>
      </c>
      <c r="I41" s="79">
        <f t="shared" si="1"/>
        <v>-2604.21</v>
      </c>
      <c r="J41" s="78"/>
      <c r="K41" s="78"/>
      <c r="L41" s="78"/>
      <c r="M41" s="78"/>
    </row>
    <row r="42" spans="1:14" s="10" customFormat="1" x14ac:dyDescent="0.4">
      <c r="A42" s="126" t="s">
        <v>1118</v>
      </c>
      <c r="B42" s="12" t="s">
        <v>1119</v>
      </c>
      <c r="C42" s="78">
        <v>-3927</v>
      </c>
      <c r="D42" s="78"/>
      <c r="E42" s="78"/>
      <c r="F42" s="78"/>
      <c r="G42" s="79">
        <f t="shared" si="0"/>
        <v>-3927</v>
      </c>
      <c r="H42" s="78" t="s">
        <v>291</v>
      </c>
      <c r="I42" s="79">
        <f t="shared" si="1"/>
        <v>-3927</v>
      </c>
      <c r="J42" s="78"/>
      <c r="K42" s="78"/>
      <c r="L42" s="78"/>
      <c r="M42" s="78"/>
    </row>
    <row r="43" spans="1:14" s="10" customFormat="1" x14ac:dyDescent="0.4">
      <c r="A43" s="126" t="s">
        <v>1120</v>
      </c>
      <c r="B43" s="12" t="s">
        <v>1121</v>
      </c>
      <c r="C43" s="78">
        <v>0</v>
      </c>
      <c r="D43" s="78"/>
      <c r="E43" s="78"/>
      <c r="F43" s="78"/>
      <c r="G43" s="79">
        <f t="shared" si="0"/>
        <v>0</v>
      </c>
      <c r="H43" s="78" t="s">
        <v>292</v>
      </c>
      <c r="I43" s="79">
        <f t="shared" si="1"/>
        <v>0</v>
      </c>
      <c r="J43" s="78"/>
      <c r="K43" s="78"/>
      <c r="L43" s="78"/>
      <c r="M43" s="78"/>
    </row>
    <row r="44" spans="1:14" s="10" customFormat="1" x14ac:dyDescent="0.4">
      <c r="A44" s="126" t="s">
        <v>1122</v>
      </c>
      <c r="B44" s="12" t="s">
        <v>1123</v>
      </c>
      <c r="C44" s="78">
        <v>-1412</v>
      </c>
      <c r="D44" s="78"/>
      <c r="E44" s="78"/>
      <c r="F44" s="78"/>
      <c r="G44" s="79">
        <f t="shared" si="0"/>
        <v>-1412</v>
      </c>
      <c r="H44" s="78" t="s">
        <v>292</v>
      </c>
      <c r="I44" s="79">
        <f t="shared" si="1"/>
        <v>-1412</v>
      </c>
      <c r="J44" s="78"/>
      <c r="K44" s="78"/>
      <c r="L44" s="78"/>
      <c r="M44" s="78"/>
    </row>
    <row r="45" spans="1:14" s="10" customFormat="1" x14ac:dyDescent="0.4">
      <c r="A45" s="126" t="s">
        <v>1124</v>
      </c>
      <c r="B45" s="12" t="s">
        <v>1125</v>
      </c>
      <c r="C45" s="78">
        <v>0</v>
      </c>
      <c r="D45" s="78"/>
      <c r="E45" s="78"/>
      <c r="F45" s="78"/>
      <c r="G45" s="79">
        <f t="shared" si="0"/>
        <v>0</v>
      </c>
      <c r="H45" s="78" t="s">
        <v>292</v>
      </c>
      <c r="I45" s="79">
        <f t="shared" si="1"/>
        <v>0</v>
      </c>
      <c r="J45" s="78"/>
      <c r="K45" s="78"/>
      <c r="L45" s="78"/>
      <c r="M45" s="78"/>
    </row>
    <row r="46" spans="1:14" s="10" customFormat="1" x14ac:dyDescent="0.4">
      <c r="A46" s="126" t="s">
        <v>1126</v>
      </c>
      <c r="B46" s="12" t="s">
        <v>1127</v>
      </c>
      <c r="C46" s="78">
        <v>-5373.69</v>
      </c>
      <c r="D46" s="78"/>
      <c r="E46" s="78"/>
      <c r="F46" s="78"/>
      <c r="G46" s="79">
        <f t="shared" si="0"/>
        <v>-5373.69</v>
      </c>
      <c r="H46" s="78" t="s">
        <v>292</v>
      </c>
      <c r="I46" s="79">
        <f t="shared" si="1"/>
        <v>-5373.69</v>
      </c>
      <c r="J46" s="78"/>
      <c r="K46" s="78"/>
      <c r="L46" s="78"/>
      <c r="M46" s="78"/>
    </row>
    <row r="47" spans="1:14" s="10" customFormat="1" x14ac:dyDescent="0.4">
      <c r="A47" s="126" t="s">
        <v>1128</v>
      </c>
      <c r="B47" s="12" t="s">
        <v>1129</v>
      </c>
      <c r="C47" s="78">
        <v>-3280.2</v>
      </c>
      <c r="D47" s="78"/>
      <c r="E47" s="78"/>
      <c r="F47" s="78"/>
      <c r="G47" s="79">
        <f t="shared" si="0"/>
        <v>-3280.2</v>
      </c>
      <c r="H47" s="78" t="s">
        <v>292</v>
      </c>
      <c r="I47" s="79">
        <f t="shared" si="1"/>
        <v>-3280.2</v>
      </c>
      <c r="J47" s="78"/>
      <c r="K47" s="78"/>
      <c r="L47" s="78"/>
      <c r="M47" s="78"/>
    </row>
    <row r="48" spans="1:14" s="10" customFormat="1" x14ac:dyDescent="0.4">
      <c r="A48" s="126" t="s">
        <v>1130</v>
      </c>
      <c r="B48" s="12" t="s">
        <v>1131</v>
      </c>
      <c r="C48" s="78">
        <v>-1012.58</v>
      </c>
      <c r="D48" s="78"/>
      <c r="E48" s="78"/>
      <c r="F48" s="78"/>
      <c r="G48" s="79">
        <f t="shared" si="0"/>
        <v>-1012.58</v>
      </c>
      <c r="H48" s="78" t="s">
        <v>292</v>
      </c>
      <c r="I48" s="79">
        <f t="shared" si="1"/>
        <v>-1012.58</v>
      </c>
      <c r="J48" s="79"/>
      <c r="K48" s="79"/>
      <c r="L48" s="79"/>
      <c r="M48" s="79"/>
    </row>
    <row r="49" spans="1:13" s="10" customFormat="1" x14ac:dyDescent="0.4">
      <c r="A49" s="126" t="s">
        <v>1132</v>
      </c>
      <c r="B49" s="12" t="s">
        <v>186</v>
      </c>
      <c r="C49" s="78">
        <v>-25</v>
      </c>
      <c r="D49" s="78"/>
      <c r="E49" s="78"/>
      <c r="F49" s="78"/>
      <c r="G49" s="79">
        <f t="shared" si="0"/>
        <v>-25</v>
      </c>
      <c r="H49" s="78" t="s">
        <v>292</v>
      </c>
      <c r="I49" s="79">
        <f t="shared" si="1"/>
        <v>-25</v>
      </c>
      <c r="J49" s="78"/>
      <c r="K49" s="78"/>
      <c r="L49" s="78"/>
      <c r="M49" s="78"/>
    </row>
    <row r="50" spans="1:13" s="10" customFormat="1" x14ac:dyDescent="0.4">
      <c r="A50" s="126" t="s">
        <v>1133</v>
      </c>
      <c r="B50" s="12" t="s">
        <v>1134</v>
      </c>
      <c r="C50" s="78">
        <v>-1505.33</v>
      </c>
      <c r="D50" s="78"/>
      <c r="E50" s="78"/>
      <c r="F50" s="78"/>
      <c r="G50" s="79">
        <f t="shared" si="0"/>
        <v>-1505.33</v>
      </c>
      <c r="H50" s="78" t="s">
        <v>292</v>
      </c>
      <c r="I50" s="79">
        <f t="shared" si="1"/>
        <v>-1505.33</v>
      </c>
      <c r="J50" s="78"/>
      <c r="K50" s="78"/>
      <c r="L50" s="78"/>
      <c r="M50" s="78"/>
    </row>
    <row r="51" spans="1:13" s="10" customFormat="1" x14ac:dyDescent="0.4">
      <c r="A51" s="126" t="s">
        <v>1135</v>
      </c>
      <c r="B51" s="12" t="s">
        <v>1136</v>
      </c>
      <c r="C51" s="78">
        <v>-152.1</v>
      </c>
      <c r="D51" s="78"/>
      <c r="E51" s="78"/>
      <c r="F51" s="78"/>
      <c r="G51" s="79">
        <f t="shared" si="0"/>
        <v>-152.1</v>
      </c>
      <c r="H51" s="78" t="s">
        <v>292</v>
      </c>
      <c r="I51" s="79">
        <f t="shared" si="1"/>
        <v>-152.1</v>
      </c>
      <c r="J51" s="78"/>
      <c r="K51" s="78"/>
      <c r="L51" s="78"/>
      <c r="M51" s="78"/>
    </row>
    <row r="52" spans="1:13" s="10" customFormat="1" x14ac:dyDescent="0.4">
      <c r="A52" s="126" t="s">
        <v>1137</v>
      </c>
      <c r="B52" s="12" t="s">
        <v>1138</v>
      </c>
      <c r="C52" s="78">
        <v>155.80000000000001</v>
      </c>
      <c r="D52" s="78"/>
      <c r="E52" s="78"/>
      <c r="F52" s="78"/>
      <c r="G52" s="79">
        <f t="shared" si="0"/>
        <v>155.80000000000001</v>
      </c>
      <c r="H52" s="78" t="s">
        <v>292</v>
      </c>
      <c r="I52" s="79">
        <f t="shared" si="1"/>
        <v>155.80000000000001</v>
      </c>
      <c r="J52" s="78"/>
      <c r="K52" s="78"/>
      <c r="L52" s="78"/>
      <c r="M52" s="78"/>
    </row>
    <row r="53" spans="1:13" s="10" customFormat="1" x14ac:dyDescent="0.4">
      <c r="A53" s="126" t="s">
        <v>1139</v>
      </c>
      <c r="B53" s="12" t="s">
        <v>1140</v>
      </c>
      <c r="C53" s="78">
        <v>3313.34</v>
      </c>
      <c r="D53" s="78"/>
      <c r="E53" s="78"/>
      <c r="F53" s="78"/>
      <c r="G53" s="79">
        <f t="shared" si="0"/>
        <v>3313.34</v>
      </c>
      <c r="H53" s="78" t="s">
        <v>292</v>
      </c>
      <c r="I53" s="79">
        <f t="shared" si="1"/>
        <v>3313.34</v>
      </c>
      <c r="J53" s="78"/>
      <c r="K53" s="78"/>
      <c r="L53" s="78"/>
      <c r="M53" s="78"/>
    </row>
    <row r="54" spans="1:13" s="10" customFormat="1" x14ac:dyDescent="0.4">
      <c r="A54" s="126" t="s">
        <v>1141</v>
      </c>
      <c r="B54" s="12" t="s">
        <v>1142</v>
      </c>
      <c r="C54" s="78">
        <v>-1739.43</v>
      </c>
      <c r="D54" s="78"/>
      <c r="E54" s="78"/>
      <c r="F54" s="78"/>
      <c r="G54" s="79">
        <f t="shared" si="0"/>
        <v>-1739.43</v>
      </c>
      <c r="H54" s="78" t="s">
        <v>292</v>
      </c>
      <c r="I54" s="79">
        <f t="shared" si="1"/>
        <v>-1739.43</v>
      </c>
      <c r="J54" s="78"/>
      <c r="K54" s="78"/>
      <c r="L54" s="78"/>
      <c r="M54" s="78"/>
    </row>
    <row r="55" spans="1:13" s="10" customFormat="1" x14ac:dyDescent="0.4">
      <c r="A55" s="126" t="s">
        <v>1143</v>
      </c>
      <c r="B55" s="12" t="s">
        <v>1144</v>
      </c>
      <c r="C55" s="78">
        <v>-19780.71</v>
      </c>
      <c r="D55" s="78"/>
      <c r="E55" s="78"/>
      <c r="F55" s="78"/>
      <c r="G55" s="79">
        <f t="shared" si="0"/>
        <v>-19780.71</v>
      </c>
      <c r="H55" s="78" t="s">
        <v>290</v>
      </c>
      <c r="I55" s="79">
        <f t="shared" si="1"/>
        <v>-19780.71</v>
      </c>
      <c r="J55" s="78"/>
      <c r="K55" s="78"/>
      <c r="L55" s="78"/>
      <c r="M55" s="78"/>
    </row>
    <row r="56" spans="1:13" s="10" customFormat="1" x14ac:dyDescent="0.4">
      <c r="A56" s="126" t="s">
        <v>1145</v>
      </c>
      <c r="B56" s="12" t="s">
        <v>1146</v>
      </c>
      <c r="C56" s="78">
        <v>-2149.73</v>
      </c>
      <c r="D56" s="78"/>
      <c r="E56" s="78"/>
      <c r="F56" s="78"/>
      <c r="G56" s="79">
        <f t="shared" si="0"/>
        <v>-2149.73</v>
      </c>
      <c r="H56" s="78" t="s">
        <v>292</v>
      </c>
      <c r="I56" s="79">
        <f t="shared" si="1"/>
        <v>-2149.73</v>
      </c>
      <c r="J56" s="78"/>
      <c r="K56" s="78"/>
      <c r="L56" s="78"/>
      <c r="M56" s="78"/>
    </row>
    <row r="57" spans="1:13" s="10" customFormat="1" x14ac:dyDescent="0.4">
      <c r="A57" s="126" t="s">
        <v>1147</v>
      </c>
      <c r="B57" s="12" t="s">
        <v>1148</v>
      </c>
      <c r="C57" s="78">
        <v>0</v>
      </c>
      <c r="D57" s="78"/>
      <c r="E57" s="78"/>
      <c r="F57" s="78"/>
      <c r="G57" s="79">
        <f t="shared" si="0"/>
        <v>0</v>
      </c>
      <c r="H57" s="78" t="s">
        <v>292</v>
      </c>
      <c r="I57" s="79">
        <f t="shared" si="1"/>
        <v>0</v>
      </c>
      <c r="J57" s="78"/>
      <c r="K57" s="78"/>
      <c r="L57" s="78"/>
      <c r="M57" s="78"/>
    </row>
    <row r="58" spans="1:13" s="10" customFormat="1" x14ac:dyDescent="0.4">
      <c r="A58" s="125" t="s">
        <v>1149</v>
      </c>
      <c r="B58" s="125" t="s">
        <v>204</v>
      </c>
      <c r="C58" s="78">
        <v>-198.31</v>
      </c>
      <c r="D58" s="78"/>
      <c r="E58" s="78"/>
      <c r="F58" s="78"/>
      <c r="G58" s="79">
        <f t="shared" si="0"/>
        <v>-198.31</v>
      </c>
      <c r="H58" s="78" t="s">
        <v>299</v>
      </c>
      <c r="I58" s="79">
        <f t="shared" si="1"/>
        <v>-198.31</v>
      </c>
      <c r="J58" s="78"/>
      <c r="K58" s="78"/>
      <c r="L58" s="78"/>
      <c r="M58" s="78"/>
    </row>
    <row r="59" spans="1:13" s="10" customFormat="1" x14ac:dyDescent="0.4">
      <c r="A59" s="126" t="s">
        <v>1150</v>
      </c>
      <c r="B59" s="12" t="s">
        <v>1151</v>
      </c>
      <c r="C59" s="78">
        <v>-937.5</v>
      </c>
      <c r="D59" s="78"/>
      <c r="E59" s="78"/>
      <c r="F59" s="78"/>
      <c r="G59" s="79">
        <f t="shared" si="0"/>
        <v>-937.5</v>
      </c>
      <c r="H59" s="78" t="s">
        <v>292</v>
      </c>
      <c r="I59" s="79">
        <f t="shared" si="1"/>
        <v>-937.5</v>
      </c>
      <c r="J59" s="78"/>
      <c r="K59" s="78"/>
      <c r="L59" s="78"/>
      <c r="M59" s="78"/>
    </row>
    <row r="60" spans="1:13" s="10" customFormat="1" x14ac:dyDescent="0.4">
      <c r="A60" s="126" t="s">
        <v>1152</v>
      </c>
      <c r="B60" s="12" t="s">
        <v>1153</v>
      </c>
      <c r="C60" s="78">
        <v>-9393</v>
      </c>
      <c r="D60" s="78"/>
      <c r="E60" s="78"/>
      <c r="F60" s="78"/>
      <c r="G60" s="79">
        <f t="shared" si="0"/>
        <v>-9393</v>
      </c>
      <c r="H60" s="78" t="s">
        <v>292</v>
      </c>
      <c r="I60" s="79">
        <f t="shared" si="1"/>
        <v>-9393</v>
      </c>
      <c r="J60" s="78"/>
      <c r="K60" s="78"/>
      <c r="L60" s="78"/>
      <c r="M60" s="78"/>
    </row>
    <row r="61" spans="1:13" s="10" customFormat="1" x14ac:dyDescent="0.4">
      <c r="A61" s="126" t="s">
        <v>1154</v>
      </c>
      <c r="B61" s="12" t="s">
        <v>210</v>
      </c>
      <c r="C61" s="78">
        <v>0</v>
      </c>
      <c r="D61" s="78"/>
      <c r="E61" s="78"/>
      <c r="F61" s="78"/>
      <c r="G61" s="79">
        <f t="shared" si="0"/>
        <v>0</v>
      </c>
      <c r="H61" s="78" t="s">
        <v>292</v>
      </c>
      <c r="I61" s="79">
        <f t="shared" si="1"/>
        <v>0</v>
      </c>
      <c r="J61" s="78"/>
      <c r="K61" s="78"/>
      <c r="L61" s="78"/>
      <c r="M61" s="78"/>
    </row>
    <row r="62" spans="1:13" s="10" customFormat="1" x14ac:dyDescent="0.4">
      <c r="A62" s="126" t="s">
        <v>1155</v>
      </c>
      <c r="B62" s="12" t="s">
        <v>1156</v>
      </c>
      <c r="C62" s="78">
        <v>0</v>
      </c>
      <c r="D62" s="78"/>
      <c r="E62" s="78"/>
      <c r="F62" s="78"/>
      <c r="G62" s="79">
        <f t="shared" si="0"/>
        <v>0</v>
      </c>
      <c r="H62" s="78" t="s">
        <v>292</v>
      </c>
      <c r="I62" s="79">
        <f t="shared" si="1"/>
        <v>0</v>
      </c>
      <c r="J62" s="78"/>
      <c r="K62" s="78"/>
      <c r="L62" s="78"/>
      <c r="M62" s="78"/>
    </row>
    <row r="63" spans="1:13" s="10" customFormat="1" x14ac:dyDescent="0.4">
      <c r="A63" s="126" t="s">
        <v>1157</v>
      </c>
      <c r="B63" s="12" t="s">
        <v>1158</v>
      </c>
      <c r="C63" s="78">
        <v>-112.51</v>
      </c>
      <c r="D63" s="78"/>
      <c r="E63" s="78"/>
      <c r="F63" s="78"/>
      <c r="G63" s="79">
        <f t="shared" si="0"/>
        <v>-112.51</v>
      </c>
      <c r="H63" s="78" t="s">
        <v>292</v>
      </c>
      <c r="I63" s="79">
        <f t="shared" si="1"/>
        <v>-112.51</v>
      </c>
      <c r="J63" s="78"/>
      <c r="K63" s="78"/>
      <c r="L63" s="78"/>
      <c r="M63" s="78"/>
    </row>
    <row r="64" spans="1:13" s="10" customFormat="1" x14ac:dyDescent="0.4">
      <c r="A64" s="126" t="s">
        <v>1159</v>
      </c>
      <c r="B64" s="12" t="s">
        <v>181</v>
      </c>
      <c r="C64" s="78">
        <v>0</v>
      </c>
      <c r="D64" s="78"/>
      <c r="E64" s="78"/>
      <c r="F64" s="78"/>
      <c r="G64" s="79">
        <f t="shared" si="0"/>
        <v>0</v>
      </c>
      <c r="H64" s="78" t="s">
        <v>292</v>
      </c>
      <c r="I64" s="79">
        <f t="shared" si="1"/>
        <v>0</v>
      </c>
      <c r="J64" s="78"/>
      <c r="K64" s="78"/>
      <c r="L64" s="78"/>
      <c r="M64" s="78"/>
    </row>
    <row r="65" spans="1:13" s="10" customFormat="1" x14ac:dyDescent="0.4">
      <c r="A65" s="125" t="s">
        <v>1160</v>
      </c>
      <c r="B65" s="125" t="s">
        <v>203</v>
      </c>
      <c r="C65" s="78">
        <v>-21.21</v>
      </c>
      <c r="D65" s="78"/>
      <c r="E65" s="78"/>
      <c r="F65" s="78"/>
      <c r="G65" s="79">
        <f t="shared" si="0"/>
        <v>-21.21</v>
      </c>
      <c r="H65" s="78" t="s">
        <v>292</v>
      </c>
      <c r="I65" s="79">
        <f t="shared" si="1"/>
        <v>-21.21</v>
      </c>
      <c r="J65" s="78"/>
      <c r="K65" s="78"/>
      <c r="L65" s="78"/>
      <c r="M65" s="78"/>
    </row>
    <row r="66" spans="1:13" s="10" customFormat="1" x14ac:dyDescent="0.4">
      <c r="A66" s="126" t="s">
        <v>1161</v>
      </c>
      <c r="B66" s="12" t="s">
        <v>1162</v>
      </c>
      <c r="C66" s="78">
        <v>0</v>
      </c>
      <c r="D66" s="78"/>
      <c r="E66" s="78"/>
      <c r="F66" s="78"/>
      <c r="G66" s="79">
        <f t="shared" si="0"/>
        <v>0</v>
      </c>
      <c r="H66" s="78" t="s">
        <v>292</v>
      </c>
      <c r="I66" s="79">
        <f t="shared" si="1"/>
        <v>0</v>
      </c>
      <c r="J66" s="78"/>
      <c r="K66" s="78"/>
      <c r="L66" s="78"/>
      <c r="M66" s="78"/>
    </row>
    <row r="67" spans="1:13" s="10" customFormat="1" x14ac:dyDescent="0.4">
      <c r="A67" s="126" t="s">
        <v>1163</v>
      </c>
      <c r="B67" s="12" t="s">
        <v>250</v>
      </c>
      <c r="C67" s="78">
        <v>-2392</v>
      </c>
      <c r="D67" s="78"/>
      <c r="E67" s="78"/>
      <c r="F67" s="78"/>
      <c r="G67" s="79">
        <f t="shared" si="0"/>
        <v>-2392</v>
      </c>
      <c r="H67" s="78" t="s">
        <v>292</v>
      </c>
      <c r="I67" s="79">
        <f t="shared" si="1"/>
        <v>-2392</v>
      </c>
      <c r="J67" s="78"/>
      <c r="K67" s="78"/>
      <c r="L67" s="78"/>
      <c r="M67" s="78"/>
    </row>
    <row r="68" spans="1:13" s="10" customFormat="1" x14ac:dyDescent="0.4">
      <c r="A68" s="126" t="s">
        <v>1164</v>
      </c>
      <c r="B68" s="12" t="s">
        <v>1165</v>
      </c>
      <c r="C68" s="78">
        <v>-25</v>
      </c>
      <c r="D68" s="78"/>
      <c r="E68" s="78"/>
      <c r="F68" s="78"/>
      <c r="G68" s="79">
        <f t="shared" si="0"/>
        <v>-25</v>
      </c>
      <c r="H68" s="78" t="s">
        <v>292</v>
      </c>
      <c r="I68" s="79">
        <f t="shared" si="1"/>
        <v>-25</v>
      </c>
      <c r="J68" s="78"/>
      <c r="K68" s="78"/>
      <c r="L68" s="78"/>
      <c r="M68" s="78"/>
    </row>
    <row r="69" spans="1:13" s="10" customFormat="1" x14ac:dyDescent="0.4">
      <c r="A69" s="126" t="s">
        <v>1166</v>
      </c>
      <c r="B69" s="12" t="s">
        <v>1167</v>
      </c>
      <c r="C69" s="78">
        <v>-3185.23</v>
      </c>
      <c r="D69" s="78"/>
      <c r="E69" s="78"/>
      <c r="F69" s="78"/>
      <c r="G69" s="79">
        <f t="shared" si="0"/>
        <v>-3185.23</v>
      </c>
      <c r="H69" s="78" t="s">
        <v>292</v>
      </c>
      <c r="I69" s="79">
        <f t="shared" si="1"/>
        <v>-3185.23</v>
      </c>
      <c r="J69" s="78"/>
      <c r="K69" s="78"/>
      <c r="L69" s="78"/>
      <c r="M69" s="78"/>
    </row>
    <row r="70" spans="1:13" s="10" customFormat="1" x14ac:dyDescent="0.4">
      <c r="A70" s="126" t="s">
        <v>1168</v>
      </c>
      <c r="B70" s="12" t="s">
        <v>1169</v>
      </c>
      <c r="C70" s="78">
        <v>-809.61</v>
      </c>
      <c r="D70" s="78"/>
      <c r="E70" s="78"/>
      <c r="F70" s="78"/>
      <c r="G70" s="79">
        <f t="shared" si="0"/>
        <v>-809.61</v>
      </c>
      <c r="H70" s="78" t="s">
        <v>292</v>
      </c>
      <c r="I70" s="79">
        <f t="shared" si="1"/>
        <v>-809.61</v>
      </c>
      <c r="J70" s="78"/>
      <c r="K70" s="78"/>
      <c r="L70" s="78"/>
      <c r="M70" s="78"/>
    </row>
    <row r="71" spans="1:13" s="10" customFormat="1" x14ac:dyDescent="0.4">
      <c r="A71" s="126" t="s">
        <v>1170</v>
      </c>
      <c r="B71" s="12" t="s">
        <v>1171</v>
      </c>
      <c r="C71" s="78">
        <v>-53.5</v>
      </c>
      <c r="D71" s="78"/>
      <c r="E71" s="78"/>
      <c r="F71" s="78"/>
      <c r="G71" s="79">
        <f t="shared" ref="G71:G103" si="2">SUM(C71:F71)</f>
        <v>-53.5</v>
      </c>
      <c r="H71" s="78" t="s">
        <v>292</v>
      </c>
      <c r="I71" s="79">
        <f t="shared" si="1"/>
        <v>-53.5</v>
      </c>
      <c r="J71" s="78"/>
      <c r="K71" s="78"/>
      <c r="L71" s="78"/>
      <c r="M71" s="78"/>
    </row>
    <row r="72" spans="1:13" s="10" customFormat="1" x14ac:dyDescent="0.4">
      <c r="A72" s="126" t="s">
        <v>1172</v>
      </c>
      <c r="B72" s="12" t="s">
        <v>1173</v>
      </c>
      <c r="C72" s="78">
        <v>-3038.77</v>
      </c>
      <c r="D72" s="78"/>
      <c r="E72" s="78"/>
      <c r="F72" s="78"/>
      <c r="G72" s="79">
        <f t="shared" si="2"/>
        <v>-3038.77</v>
      </c>
      <c r="H72" s="78" t="s">
        <v>292</v>
      </c>
      <c r="I72" s="79">
        <f t="shared" ref="I72:I102" si="3">G72*1</f>
        <v>-3038.77</v>
      </c>
      <c r="J72" s="78"/>
      <c r="K72" s="78"/>
      <c r="L72" s="78"/>
      <c r="M72" s="78"/>
    </row>
    <row r="73" spans="1:13" s="10" customFormat="1" x14ac:dyDescent="0.4">
      <c r="A73" s="126" t="s">
        <v>1174</v>
      </c>
      <c r="B73" s="12" t="s">
        <v>1175</v>
      </c>
      <c r="C73" s="78">
        <v>0</v>
      </c>
      <c r="D73" s="78"/>
      <c r="E73" s="78"/>
      <c r="F73" s="78"/>
      <c r="G73" s="79">
        <f t="shared" si="2"/>
        <v>0</v>
      </c>
      <c r="H73" s="78" t="s">
        <v>292</v>
      </c>
      <c r="I73" s="79">
        <f t="shared" si="3"/>
        <v>0</v>
      </c>
      <c r="J73" s="78"/>
      <c r="K73" s="78"/>
      <c r="L73" s="78"/>
      <c r="M73" s="78"/>
    </row>
    <row r="74" spans="1:13" s="10" customFormat="1" x14ac:dyDescent="0.4">
      <c r="A74" s="126" t="s">
        <v>1176</v>
      </c>
      <c r="B74" s="12" t="s">
        <v>1177</v>
      </c>
      <c r="C74" s="78">
        <v>-57</v>
      </c>
      <c r="D74" s="78"/>
      <c r="E74" s="78"/>
      <c r="F74" s="78"/>
      <c r="G74" s="79">
        <f t="shared" si="2"/>
        <v>-57</v>
      </c>
      <c r="H74" s="78" t="s">
        <v>292</v>
      </c>
      <c r="I74" s="79">
        <f t="shared" si="3"/>
        <v>-57</v>
      </c>
      <c r="J74" s="78"/>
      <c r="K74" s="78"/>
      <c r="L74" s="78"/>
      <c r="M74" s="78"/>
    </row>
    <row r="75" spans="1:13" s="10" customFormat="1" x14ac:dyDescent="0.4">
      <c r="A75" s="126" t="s">
        <v>1178</v>
      </c>
      <c r="B75" s="12" t="s">
        <v>1179</v>
      </c>
      <c r="C75" s="78">
        <v>0</v>
      </c>
      <c r="D75" s="78"/>
      <c r="E75" s="78"/>
      <c r="F75" s="78"/>
      <c r="G75" s="79">
        <f t="shared" si="2"/>
        <v>0</v>
      </c>
      <c r="H75" s="78" t="s">
        <v>292</v>
      </c>
      <c r="I75" s="79">
        <f t="shared" si="3"/>
        <v>0</v>
      </c>
      <c r="J75" s="78"/>
      <c r="K75" s="78"/>
      <c r="L75" s="78"/>
      <c r="M75" s="78"/>
    </row>
    <row r="76" spans="1:13" s="10" customFormat="1" x14ac:dyDescent="0.4">
      <c r="A76" s="126" t="s">
        <v>1180</v>
      </c>
      <c r="B76" s="12" t="s">
        <v>1181</v>
      </c>
      <c r="C76" s="78">
        <v>0</v>
      </c>
      <c r="D76" s="78"/>
      <c r="E76" s="78"/>
      <c r="F76" s="78"/>
      <c r="G76" s="79">
        <f t="shared" si="2"/>
        <v>0</v>
      </c>
      <c r="H76" s="78" t="s">
        <v>292</v>
      </c>
      <c r="I76" s="79">
        <f t="shared" si="3"/>
        <v>0</v>
      </c>
      <c r="J76" s="78"/>
      <c r="K76" s="78"/>
      <c r="L76" s="78"/>
      <c r="M76" s="78"/>
    </row>
    <row r="77" spans="1:13" s="10" customFormat="1" x14ac:dyDescent="0.4">
      <c r="A77" s="125" t="s">
        <v>1182</v>
      </c>
      <c r="B77" s="125" t="s">
        <v>1183</v>
      </c>
      <c r="C77" s="78">
        <v>-9800</v>
      </c>
      <c r="D77" s="78"/>
      <c r="E77" s="78"/>
      <c r="F77" s="78"/>
      <c r="G77" s="79">
        <f t="shared" si="2"/>
        <v>-9800</v>
      </c>
      <c r="H77" s="78" t="s">
        <v>292</v>
      </c>
      <c r="I77" s="79">
        <f t="shared" si="3"/>
        <v>-9800</v>
      </c>
      <c r="J77" s="78"/>
      <c r="K77" s="78"/>
      <c r="L77" s="78"/>
      <c r="M77" s="78"/>
    </row>
    <row r="78" spans="1:13" s="10" customFormat="1" x14ac:dyDescent="0.4">
      <c r="A78" s="126" t="s">
        <v>1184</v>
      </c>
      <c r="B78" s="12" t="s">
        <v>1185</v>
      </c>
      <c r="C78" s="78">
        <v>0</v>
      </c>
      <c r="D78" s="78"/>
      <c r="E78" s="78"/>
      <c r="F78" s="78"/>
      <c r="G78" s="79">
        <f t="shared" si="2"/>
        <v>0</v>
      </c>
      <c r="H78" s="78" t="s">
        <v>299</v>
      </c>
      <c r="I78" s="79">
        <f t="shared" si="3"/>
        <v>0</v>
      </c>
      <c r="J78" s="78"/>
      <c r="K78" s="78"/>
      <c r="L78" s="78"/>
      <c r="M78" s="78"/>
    </row>
    <row r="79" spans="1:13" s="10" customFormat="1" x14ac:dyDescent="0.4">
      <c r="A79" s="126" t="s">
        <v>1186</v>
      </c>
      <c r="B79" s="12" t="s">
        <v>252</v>
      </c>
      <c r="C79" s="78">
        <v>-166.93</v>
      </c>
      <c r="D79" s="78"/>
      <c r="E79" s="78"/>
      <c r="F79" s="78"/>
      <c r="G79" s="79">
        <f t="shared" si="2"/>
        <v>-166.93</v>
      </c>
      <c r="H79" s="78" t="s">
        <v>292</v>
      </c>
      <c r="I79" s="79">
        <f t="shared" si="3"/>
        <v>-166.93</v>
      </c>
      <c r="J79" s="78"/>
      <c r="K79" s="78"/>
      <c r="L79" s="78"/>
      <c r="M79" s="78"/>
    </row>
    <row r="80" spans="1:13" s="10" customFormat="1" x14ac:dyDescent="0.4">
      <c r="A80" s="126" t="s">
        <v>1187</v>
      </c>
      <c r="B80" s="12" t="s">
        <v>1188</v>
      </c>
      <c r="C80" s="78">
        <v>-100</v>
      </c>
      <c r="D80" s="78"/>
      <c r="E80" s="78"/>
      <c r="F80" s="78"/>
      <c r="G80" s="79">
        <f t="shared" si="2"/>
        <v>-100</v>
      </c>
      <c r="H80" s="78" t="s">
        <v>292</v>
      </c>
      <c r="I80" s="79">
        <f t="shared" si="3"/>
        <v>-100</v>
      </c>
      <c r="J80" s="78"/>
      <c r="K80" s="78"/>
      <c r="L80" s="78"/>
      <c r="M80" s="78"/>
    </row>
    <row r="81" spans="1:13" s="10" customFormat="1" x14ac:dyDescent="0.4">
      <c r="A81" s="126" t="s">
        <v>1189</v>
      </c>
      <c r="B81" s="12" t="s">
        <v>220</v>
      </c>
      <c r="C81" s="78">
        <v>-114.32</v>
      </c>
      <c r="D81" s="78"/>
      <c r="E81" s="78"/>
      <c r="F81" s="78"/>
      <c r="G81" s="79">
        <f t="shared" si="2"/>
        <v>-114.32</v>
      </c>
      <c r="H81" s="78" t="s">
        <v>292</v>
      </c>
      <c r="I81" s="79">
        <f t="shared" si="3"/>
        <v>-114.32</v>
      </c>
      <c r="J81" s="78"/>
      <c r="K81" s="78"/>
      <c r="L81" s="78"/>
      <c r="M81" s="78"/>
    </row>
    <row r="82" spans="1:13" s="10" customFormat="1" x14ac:dyDescent="0.4">
      <c r="A82" s="126" t="s">
        <v>1190</v>
      </c>
      <c r="B82" s="12" t="s">
        <v>1191</v>
      </c>
      <c r="C82" s="78">
        <v>-51</v>
      </c>
      <c r="D82" s="78"/>
      <c r="E82" s="78"/>
      <c r="F82" s="78"/>
      <c r="G82" s="79">
        <f t="shared" si="2"/>
        <v>-51</v>
      </c>
      <c r="H82" s="78" t="s">
        <v>292</v>
      </c>
      <c r="I82" s="79">
        <f t="shared" si="3"/>
        <v>-51</v>
      </c>
      <c r="J82" s="78"/>
      <c r="K82" s="78"/>
      <c r="L82" s="78"/>
      <c r="M82" s="78"/>
    </row>
    <row r="83" spans="1:13" s="10" customFormat="1" x14ac:dyDescent="0.4">
      <c r="A83" s="126" t="s">
        <v>1192</v>
      </c>
      <c r="B83" s="12" t="s">
        <v>1193</v>
      </c>
      <c r="C83" s="78">
        <v>-487.91</v>
      </c>
      <c r="D83" s="78"/>
      <c r="E83" s="78"/>
      <c r="F83" s="78"/>
      <c r="G83" s="79">
        <f t="shared" si="2"/>
        <v>-487.91</v>
      </c>
      <c r="H83" s="78" t="s">
        <v>292</v>
      </c>
      <c r="I83" s="79">
        <f t="shared" si="3"/>
        <v>-487.91</v>
      </c>
      <c r="J83" s="78"/>
      <c r="K83" s="78"/>
      <c r="L83" s="78"/>
      <c r="M83" s="78"/>
    </row>
    <row r="84" spans="1:13" s="10" customFormat="1" x14ac:dyDescent="0.4">
      <c r="A84" s="126" t="s">
        <v>1194</v>
      </c>
      <c r="B84" s="12" t="s">
        <v>1195</v>
      </c>
      <c r="C84" s="78">
        <v>-15192.53</v>
      </c>
      <c r="D84" s="78"/>
      <c r="E84" s="78"/>
      <c r="F84" s="78"/>
      <c r="G84" s="79">
        <f t="shared" si="2"/>
        <v>-15192.53</v>
      </c>
      <c r="H84" s="78" t="s">
        <v>292</v>
      </c>
      <c r="I84" s="79">
        <f t="shared" si="3"/>
        <v>-15192.53</v>
      </c>
      <c r="J84" s="78"/>
      <c r="K84" s="78"/>
      <c r="L84" s="78"/>
      <c r="M84" s="78"/>
    </row>
    <row r="85" spans="1:13" s="10" customFormat="1" x14ac:dyDescent="0.4">
      <c r="A85" s="126" t="s">
        <v>1196</v>
      </c>
      <c r="B85" s="12" t="s">
        <v>1197</v>
      </c>
      <c r="C85" s="78">
        <v>-668.55</v>
      </c>
      <c r="D85" s="78"/>
      <c r="E85" s="78"/>
      <c r="F85" s="78"/>
      <c r="G85" s="79">
        <f t="shared" si="2"/>
        <v>-668.55</v>
      </c>
      <c r="H85" s="78" t="s">
        <v>292</v>
      </c>
      <c r="I85" s="79">
        <f t="shared" si="3"/>
        <v>-668.55</v>
      </c>
      <c r="J85" s="78"/>
      <c r="K85" s="78"/>
      <c r="L85" s="78"/>
      <c r="M85" s="78"/>
    </row>
    <row r="86" spans="1:13" s="10" customFormat="1" x14ac:dyDescent="0.4">
      <c r="A86" s="126" t="s">
        <v>1198</v>
      </c>
      <c r="B86" s="12" t="s">
        <v>1199</v>
      </c>
      <c r="C86" s="78">
        <v>-97.1</v>
      </c>
      <c r="D86" s="78"/>
      <c r="E86" s="78"/>
      <c r="F86" s="78"/>
      <c r="G86" s="79">
        <f t="shared" si="2"/>
        <v>-97.1</v>
      </c>
      <c r="H86" s="78" t="s">
        <v>292</v>
      </c>
      <c r="I86" s="79">
        <f t="shared" si="3"/>
        <v>-97.1</v>
      </c>
      <c r="J86" s="78"/>
      <c r="K86" s="78"/>
      <c r="L86" s="78"/>
      <c r="M86" s="78"/>
    </row>
    <row r="87" spans="1:13" s="10" customFormat="1" x14ac:dyDescent="0.4">
      <c r="A87" s="126" t="s">
        <v>1200</v>
      </c>
      <c r="B87" s="12" t="s">
        <v>1201</v>
      </c>
      <c r="C87" s="78">
        <v>-2249.64</v>
      </c>
      <c r="D87" s="78"/>
      <c r="E87" s="78"/>
      <c r="F87" s="78"/>
      <c r="G87" s="79">
        <f t="shared" si="2"/>
        <v>-2249.64</v>
      </c>
      <c r="H87" s="78" t="s">
        <v>292</v>
      </c>
      <c r="I87" s="79">
        <f t="shared" si="3"/>
        <v>-2249.64</v>
      </c>
      <c r="J87" s="78"/>
      <c r="K87" s="78"/>
      <c r="L87" s="78"/>
      <c r="M87" s="78"/>
    </row>
    <row r="88" spans="1:13" s="10" customFormat="1" x14ac:dyDescent="0.4">
      <c r="A88" s="126" t="s">
        <v>1202</v>
      </c>
      <c r="B88" s="12" t="s">
        <v>1203</v>
      </c>
      <c r="C88" s="78">
        <v>-3541.7</v>
      </c>
      <c r="D88" s="78"/>
      <c r="E88" s="78"/>
      <c r="F88" s="78"/>
      <c r="G88" s="79">
        <f t="shared" si="2"/>
        <v>-3541.7</v>
      </c>
      <c r="H88" s="78" t="s">
        <v>292</v>
      </c>
      <c r="I88" s="79">
        <f t="shared" si="3"/>
        <v>-3541.7</v>
      </c>
      <c r="J88" s="78"/>
      <c r="K88" s="78"/>
      <c r="L88" s="78"/>
      <c r="M88" s="78"/>
    </row>
    <row r="89" spans="1:13" s="10" customFormat="1" x14ac:dyDescent="0.4">
      <c r="A89" s="126" t="s">
        <v>1204</v>
      </c>
      <c r="B89" s="12" t="s">
        <v>1205</v>
      </c>
      <c r="C89" s="78">
        <v>302.7</v>
      </c>
      <c r="D89" s="78"/>
      <c r="E89" s="78"/>
      <c r="F89" s="78"/>
      <c r="G89" s="79">
        <f t="shared" si="2"/>
        <v>302.7</v>
      </c>
      <c r="H89" s="78" t="s">
        <v>292</v>
      </c>
      <c r="I89" s="79">
        <f t="shared" si="3"/>
        <v>302.7</v>
      </c>
      <c r="J89" s="78"/>
      <c r="K89" s="78"/>
      <c r="L89" s="78"/>
      <c r="M89" s="78"/>
    </row>
    <row r="90" spans="1:13" s="10" customFormat="1" x14ac:dyDescent="0.4">
      <c r="A90" s="126" t="s">
        <v>1206</v>
      </c>
      <c r="B90" s="12" t="s">
        <v>1207</v>
      </c>
      <c r="C90" s="78">
        <v>-1261.9100000000001</v>
      </c>
      <c r="D90" s="78"/>
      <c r="E90" s="78"/>
      <c r="F90" s="78"/>
      <c r="G90" s="79">
        <f t="shared" si="2"/>
        <v>-1261.9100000000001</v>
      </c>
      <c r="H90" s="78" t="s">
        <v>292</v>
      </c>
      <c r="I90" s="79">
        <f t="shared" si="3"/>
        <v>-1261.9100000000001</v>
      </c>
      <c r="J90" s="78"/>
      <c r="K90" s="78"/>
      <c r="L90" s="78"/>
      <c r="M90" s="78"/>
    </row>
    <row r="91" spans="1:13" s="10" customFormat="1" x14ac:dyDescent="0.4">
      <c r="A91" s="126" t="s">
        <v>1208</v>
      </c>
      <c r="B91" s="12" t="s">
        <v>1209</v>
      </c>
      <c r="C91" s="78">
        <v>-31136</v>
      </c>
      <c r="D91" s="78"/>
      <c r="E91" s="78"/>
      <c r="F91" s="78"/>
      <c r="G91" s="79">
        <f t="shared" si="2"/>
        <v>-31136</v>
      </c>
      <c r="H91" s="78" t="s">
        <v>292</v>
      </c>
      <c r="I91" s="79">
        <f t="shared" si="3"/>
        <v>-31136</v>
      </c>
      <c r="J91" s="78"/>
      <c r="K91" s="78"/>
      <c r="L91" s="78"/>
      <c r="M91" s="78"/>
    </row>
    <row r="92" spans="1:13" s="10" customFormat="1" x14ac:dyDescent="0.4">
      <c r="A92" s="126" t="s">
        <v>1210</v>
      </c>
      <c r="B92" s="12" t="s">
        <v>1211</v>
      </c>
      <c r="C92" s="82">
        <v>0</v>
      </c>
      <c r="D92" s="78"/>
      <c r="E92" s="78"/>
      <c r="F92" s="78"/>
      <c r="G92" s="79">
        <f t="shared" si="2"/>
        <v>0</v>
      </c>
      <c r="H92" s="78" t="s">
        <v>862</v>
      </c>
      <c r="I92" s="79">
        <f t="shared" si="3"/>
        <v>0</v>
      </c>
      <c r="J92" s="78"/>
      <c r="K92" s="78"/>
      <c r="L92" s="78"/>
      <c r="M92" s="78"/>
    </row>
    <row r="93" spans="1:13" s="10" customFormat="1" x14ac:dyDescent="0.4">
      <c r="A93" s="126" t="s">
        <v>1212</v>
      </c>
      <c r="B93" s="12" t="s">
        <v>161</v>
      </c>
      <c r="C93" s="82">
        <v>0</v>
      </c>
      <c r="D93" s="78"/>
      <c r="E93" s="78"/>
      <c r="F93" s="78"/>
      <c r="G93" s="79">
        <f t="shared" si="2"/>
        <v>0</v>
      </c>
      <c r="H93" s="78" t="s">
        <v>287</v>
      </c>
      <c r="I93" s="79">
        <f t="shared" si="3"/>
        <v>0</v>
      </c>
      <c r="J93" s="78"/>
      <c r="K93" s="78"/>
      <c r="L93" s="78"/>
      <c r="M93" s="78"/>
    </row>
    <row r="94" spans="1:13" s="10" customFormat="1" x14ac:dyDescent="0.4">
      <c r="A94" s="126" t="s">
        <v>1213</v>
      </c>
      <c r="B94" s="12" t="s">
        <v>900</v>
      </c>
      <c r="C94" s="82">
        <v>0</v>
      </c>
      <c r="D94" s="78"/>
      <c r="E94" s="78"/>
      <c r="F94" s="78"/>
      <c r="G94" s="79">
        <f t="shared" si="2"/>
        <v>0</v>
      </c>
      <c r="H94" s="78" t="s">
        <v>287</v>
      </c>
      <c r="I94" s="79">
        <f t="shared" si="3"/>
        <v>0</v>
      </c>
      <c r="J94" s="78"/>
      <c r="K94" s="78"/>
      <c r="L94" s="78"/>
      <c r="M94" s="78"/>
    </row>
    <row r="95" spans="1:13" s="10" customFormat="1" x14ac:dyDescent="0.4">
      <c r="A95" s="126" t="s">
        <v>1214</v>
      </c>
      <c r="B95" s="12" t="s">
        <v>1215</v>
      </c>
      <c r="C95" s="78">
        <v>0</v>
      </c>
      <c r="D95" s="78"/>
      <c r="E95" s="78"/>
      <c r="F95" s="78"/>
      <c r="G95" s="79">
        <f t="shared" si="2"/>
        <v>0</v>
      </c>
      <c r="H95" s="78" t="s">
        <v>862</v>
      </c>
      <c r="I95" s="79">
        <f t="shared" si="3"/>
        <v>0</v>
      </c>
      <c r="J95" s="78"/>
      <c r="K95" s="78"/>
      <c r="L95" s="78"/>
      <c r="M95" s="78"/>
    </row>
    <row r="96" spans="1:13" s="10" customFormat="1" x14ac:dyDescent="0.4">
      <c r="A96" s="126" t="s">
        <v>1216</v>
      </c>
      <c r="B96" s="12" t="s">
        <v>1217</v>
      </c>
      <c r="C96" s="78">
        <v>0</v>
      </c>
      <c r="D96" s="78"/>
      <c r="E96" s="78"/>
      <c r="F96" s="78"/>
      <c r="G96" s="79">
        <f t="shared" si="2"/>
        <v>0</v>
      </c>
      <c r="H96" s="78" t="s">
        <v>862</v>
      </c>
      <c r="I96" s="79">
        <f t="shared" si="3"/>
        <v>0</v>
      </c>
      <c r="J96" s="78"/>
      <c r="K96" s="78"/>
      <c r="L96" s="78"/>
      <c r="M96" s="78"/>
    </row>
    <row r="97" spans="1:15" s="10" customFormat="1" x14ac:dyDescent="0.4">
      <c r="A97" s="126" t="s">
        <v>1218</v>
      </c>
      <c r="B97" s="12" t="s">
        <v>1219</v>
      </c>
      <c r="C97" s="78">
        <v>-416.94</v>
      </c>
      <c r="D97" s="78"/>
      <c r="E97" s="78"/>
      <c r="F97" s="78"/>
      <c r="G97" s="79">
        <f t="shared" si="2"/>
        <v>-416.94</v>
      </c>
      <c r="H97" s="78" t="s">
        <v>292</v>
      </c>
      <c r="I97" s="79">
        <f t="shared" si="3"/>
        <v>-416.94</v>
      </c>
      <c r="J97" s="78"/>
      <c r="K97" s="78"/>
      <c r="L97" s="78"/>
      <c r="M97" s="78"/>
    </row>
    <row r="98" spans="1:15" s="10" customFormat="1" x14ac:dyDescent="0.4">
      <c r="A98" s="126" t="s">
        <v>1220</v>
      </c>
      <c r="B98" s="12" t="s">
        <v>1221</v>
      </c>
      <c r="C98" s="78">
        <v>0</v>
      </c>
      <c r="D98" s="78"/>
      <c r="E98" s="78"/>
      <c r="F98" s="78"/>
      <c r="G98" s="79">
        <f t="shared" si="2"/>
        <v>0</v>
      </c>
      <c r="H98" s="78" t="s">
        <v>292</v>
      </c>
      <c r="I98" s="79">
        <f t="shared" si="3"/>
        <v>0</v>
      </c>
      <c r="J98" s="78"/>
      <c r="K98" s="78"/>
      <c r="L98" s="78"/>
      <c r="M98" s="78"/>
      <c r="N98" s="78"/>
    </row>
    <row r="99" spans="1:15" s="10" customFormat="1" x14ac:dyDescent="0.4">
      <c r="A99" s="126" t="s">
        <v>1222</v>
      </c>
      <c r="B99" s="12" t="s">
        <v>1223</v>
      </c>
      <c r="C99" s="78">
        <v>-77388.39</v>
      </c>
      <c r="D99" s="78"/>
      <c r="E99" s="78"/>
      <c r="F99" s="78"/>
      <c r="G99" s="79">
        <f t="shared" si="2"/>
        <v>-77388.39</v>
      </c>
      <c r="H99" s="78" t="s">
        <v>289</v>
      </c>
      <c r="I99" s="79">
        <f t="shared" si="3"/>
        <v>-77388.39</v>
      </c>
      <c r="J99" s="78"/>
      <c r="K99" s="78"/>
      <c r="L99" s="78"/>
      <c r="M99" s="78"/>
      <c r="N99" s="78"/>
    </row>
    <row r="100" spans="1:15" s="10" customFormat="1" x14ac:dyDescent="0.4">
      <c r="A100" s="126" t="s">
        <v>1224</v>
      </c>
      <c r="B100" s="12" t="s">
        <v>1225</v>
      </c>
      <c r="C100" s="78">
        <v>0</v>
      </c>
      <c r="D100" s="78"/>
      <c r="E100" s="78"/>
      <c r="F100" s="78"/>
      <c r="G100" s="79">
        <f t="shared" si="2"/>
        <v>0</v>
      </c>
      <c r="H100" s="78" t="s">
        <v>292</v>
      </c>
      <c r="I100" s="79">
        <f t="shared" si="3"/>
        <v>0</v>
      </c>
      <c r="J100" s="78"/>
      <c r="K100" s="78"/>
      <c r="L100" s="78"/>
      <c r="M100" s="78"/>
    </row>
    <row r="101" spans="1:15" s="10" customFormat="1" x14ac:dyDescent="0.4">
      <c r="A101" s="126" t="s">
        <v>1226</v>
      </c>
      <c r="B101" s="12" t="s">
        <v>1227</v>
      </c>
      <c r="C101" s="78">
        <v>-7250</v>
      </c>
      <c r="D101" s="78"/>
      <c r="E101" s="78"/>
      <c r="F101" s="78"/>
      <c r="G101" s="79">
        <f t="shared" si="2"/>
        <v>-7250</v>
      </c>
      <c r="H101" s="78" t="s">
        <v>299</v>
      </c>
      <c r="I101" s="79">
        <f t="shared" si="3"/>
        <v>-7250</v>
      </c>
      <c r="J101" s="78"/>
      <c r="K101" s="78"/>
      <c r="L101" s="78"/>
      <c r="M101" s="78"/>
      <c r="N101" s="78"/>
    </row>
    <row r="102" spans="1:15" s="10" customFormat="1" x14ac:dyDescent="0.4">
      <c r="A102" s="126" t="s">
        <v>1228</v>
      </c>
      <c r="B102" s="12" t="s">
        <v>1229</v>
      </c>
      <c r="C102" s="78">
        <v>0</v>
      </c>
      <c r="D102" s="78"/>
      <c r="E102" s="78"/>
      <c r="F102" s="78"/>
      <c r="G102" s="79">
        <f t="shared" si="2"/>
        <v>0</v>
      </c>
      <c r="H102" s="78" t="s">
        <v>299</v>
      </c>
      <c r="I102" s="79">
        <f t="shared" si="3"/>
        <v>0</v>
      </c>
      <c r="J102" s="78"/>
      <c r="K102" s="78"/>
      <c r="L102" s="78"/>
      <c r="M102" s="78"/>
    </row>
    <row r="103" spans="1:15" s="10" customFormat="1" x14ac:dyDescent="0.4">
      <c r="A103" s="126" t="s">
        <v>1230</v>
      </c>
      <c r="B103" s="12" t="s">
        <v>1231</v>
      </c>
      <c r="C103" s="78">
        <v>0</v>
      </c>
      <c r="D103" s="78"/>
      <c r="E103" s="78"/>
      <c r="F103" s="78"/>
      <c r="G103" s="79">
        <f t="shared" si="2"/>
        <v>0</v>
      </c>
      <c r="H103" s="78" t="s">
        <v>299</v>
      </c>
      <c r="I103" s="79">
        <f>G103*1</f>
        <v>0</v>
      </c>
      <c r="J103" s="78"/>
      <c r="K103" s="78"/>
      <c r="L103" s="78"/>
      <c r="M103" s="78"/>
      <c r="O103" s="78"/>
    </row>
    <row r="104" spans="1:15" x14ac:dyDescent="0.4">
      <c r="C104" s="20">
        <f>SUM(C6:C103)</f>
        <v>-11449.6</v>
      </c>
      <c r="D104" s="20">
        <f>SUM(D6:D103)</f>
        <v>0</v>
      </c>
      <c r="E104" s="20">
        <f>SUM(E6:E103)</f>
        <v>0</v>
      </c>
      <c r="F104" s="20">
        <f>SUM(F6:F103)</f>
        <v>0</v>
      </c>
      <c r="G104" s="20">
        <f>SUM(G6:G103)</f>
        <v>-11449.6</v>
      </c>
      <c r="H104" s="84"/>
      <c r="I104" s="20">
        <f>SUM(I6:I103)</f>
        <v>-11449.6</v>
      </c>
      <c r="J104" s="78"/>
      <c r="K104" s="21"/>
      <c r="L104" s="21"/>
      <c r="M104" s="21"/>
    </row>
    <row r="105" spans="1:15" x14ac:dyDescent="0.4">
      <c r="C105" s="14"/>
      <c r="K105" s="21"/>
      <c r="L105" s="21"/>
      <c r="M105" s="21"/>
    </row>
    <row r="106" spans="1:15" x14ac:dyDescent="0.4">
      <c r="K106" s="21"/>
      <c r="L106" s="21"/>
      <c r="M106" s="21"/>
    </row>
    <row r="107" spans="1:15" x14ac:dyDescent="0.4">
      <c r="C107" s="14"/>
      <c r="K107" s="21"/>
      <c r="L107" s="21"/>
      <c r="M107" s="21"/>
    </row>
    <row r="108" spans="1:15" x14ac:dyDescent="0.4">
      <c r="C108" s="14"/>
      <c r="I108" s="67"/>
      <c r="K108" s="21"/>
      <c r="L108" s="21"/>
      <c r="M108" s="21"/>
    </row>
    <row r="109" spans="1:15" x14ac:dyDescent="0.4">
      <c r="B109" s="21"/>
      <c r="C109" s="14"/>
      <c r="K109" s="21"/>
      <c r="L109" s="21"/>
      <c r="M109" s="21"/>
    </row>
    <row r="110" spans="1:15" x14ac:dyDescent="0.4">
      <c r="B110" s="21"/>
      <c r="C110" s="14"/>
      <c r="K110" s="21"/>
      <c r="L110" s="21"/>
      <c r="M110" s="21"/>
    </row>
    <row r="111" spans="1:15" x14ac:dyDescent="0.4">
      <c r="B111" s="21"/>
      <c r="C111" s="14" t="s">
        <v>261</v>
      </c>
      <c r="K111" s="21"/>
      <c r="L111" s="21"/>
      <c r="M111" s="21"/>
    </row>
    <row r="112" spans="1:15" x14ac:dyDescent="0.4">
      <c r="B112" s="21"/>
      <c r="C112" s="14"/>
      <c r="K112" s="21"/>
      <c r="L112" s="21"/>
      <c r="M112" s="21"/>
    </row>
    <row r="113" spans="2:13" x14ac:dyDescent="0.4">
      <c r="B113" s="21"/>
      <c r="C113" s="14"/>
      <c r="K113" s="21"/>
      <c r="L113" s="21"/>
      <c r="M113" s="21"/>
    </row>
    <row r="114" spans="2:13" x14ac:dyDescent="0.4">
      <c r="B114" s="21"/>
      <c r="C114" s="14"/>
      <c r="K114" s="21"/>
      <c r="L114" s="21"/>
      <c r="M114" s="21"/>
    </row>
    <row r="115" spans="2:13" x14ac:dyDescent="0.4">
      <c r="B115" s="21"/>
      <c r="K115" s="21"/>
      <c r="L115" s="21"/>
      <c r="M115" s="21"/>
    </row>
    <row r="116" spans="2:13" x14ac:dyDescent="0.4">
      <c r="B116" s="21"/>
    </row>
    <row r="117" spans="2:13" x14ac:dyDescent="0.4">
      <c r="B117" s="21"/>
    </row>
    <row r="118" spans="2:13" x14ac:dyDescent="0.4">
      <c r="B118" s="21"/>
    </row>
  </sheetData>
  <pageMargins left="0.7" right="0.7" top="0.75" bottom="0.75" header="0.3" footer="0.3"/>
  <pageSetup orientation="portrait"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9"/>
  <dimension ref="A1:P357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1.05859375" style="76" customWidth="1"/>
    <col min="2" max="2" width="31" style="76" bestFit="1" customWidth="1"/>
    <col min="3" max="3" width="14.05859375" style="78" hidden="1" customWidth="1" outlineLevel="1"/>
    <col min="4" max="4" width="11" style="78" hidden="1" customWidth="1" outlineLevel="1"/>
    <col min="5" max="5" width="13.52734375" style="78" hidden="1" customWidth="1" outlineLevel="1"/>
    <col min="6" max="6" width="12" style="78" hidden="1" customWidth="1" outlineLevel="1"/>
    <col min="7" max="7" width="14.87890625" style="79" hidden="1" customWidth="1" outlineLevel="1"/>
    <col min="8" max="8" width="19" style="76" hidden="1" customWidth="1" outlineLevel="1"/>
    <col min="9" max="9" width="14.52734375" style="79" customWidth="1" collapsed="1"/>
    <col min="10" max="10" width="14.52734375" style="76" customWidth="1"/>
    <col min="11" max="11" width="13.87890625" style="76" customWidth="1"/>
    <col min="12" max="12" width="17.29296875" style="76" customWidth="1"/>
    <col min="13" max="13" width="14.17578125" style="76" customWidth="1"/>
    <col min="14" max="16384" width="9.05859375" style="76"/>
  </cols>
  <sheetData>
    <row r="1" spans="1:13" x14ac:dyDescent="0.4">
      <c r="A1" s="75" t="s">
        <v>901</v>
      </c>
    </row>
    <row r="2" spans="1:13" x14ac:dyDescent="0.4">
      <c r="A2" s="75" t="s">
        <v>482</v>
      </c>
    </row>
    <row r="3" spans="1:13" x14ac:dyDescent="0.4">
      <c r="A3" s="3">
        <v>43220</v>
      </c>
      <c r="D3" s="14" t="s">
        <v>261</v>
      </c>
      <c r="E3" s="14"/>
      <c r="F3" s="14"/>
      <c r="G3" s="19"/>
      <c r="H3" s="4"/>
    </row>
    <row r="5" spans="1:13" x14ac:dyDescent="0.4">
      <c r="A5" s="76" t="s">
        <v>484</v>
      </c>
      <c r="B5" s="68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L5" s="416" t="s">
        <v>282</v>
      </c>
      <c r="M5" s="416" t="s">
        <v>284</v>
      </c>
    </row>
    <row r="6" spans="1:13" x14ac:dyDescent="0.4">
      <c r="A6" s="68" t="s">
        <v>971</v>
      </c>
      <c r="B6" s="68" t="s">
        <v>903</v>
      </c>
      <c r="C6" s="82">
        <v>29330.45</v>
      </c>
      <c r="G6" s="79">
        <f t="shared" ref="G6:G69" si="0">SUM(C6:F6)</f>
        <v>29330.45</v>
      </c>
      <c r="H6" s="78" t="s">
        <v>264</v>
      </c>
      <c r="I6" s="79">
        <f>G6</f>
        <v>29330.45</v>
      </c>
      <c r="L6" s="417" t="s">
        <v>264</v>
      </c>
      <c r="M6" s="418">
        <v>47790.1</v>
      </c>
    </row>
    <row r="7" spans="1:13" x14ac:dyDescent="0.4">
      <c r="A7" s="68" t="s">
        <v>972</v>
      </c>
      <c r="B7" s="68" t="s">
        <v>904</v>
      </c>
      <c r="C7" s="82">
        <v>-2279.83</v>
      </c>
      <c r="G7" s="79">
        <f t="shared" si="0"/>
        <v>-2279.83</v>
      </c>
      <c r="H7" s="78" t="s">
        <v>264</v>
      </c>
      <c r="I7" s="79">
        <f t="shared" ref="I7:I70" si="1">G7</f>
        <v>-2279.83</v>
      </c>
      <c r="L7" s="417" t="s">
        <v>265</v>
      </c>
      <c r="M7" s="418">
        <v>413628.1</v>
      </c>
    </row>
    <row r="8" spans="1:13" x14ac:dyDescent="0.4">
      <c r="A8" s="68" t="s">
        <v>973</v>
      </c>
      <c r="B8" s="68" t="s">
        <v>905</v>
      </c>
      <c r="C8" s="82">
        <v>17286.240000000002</v>
      </c>
      <c r="G8" s="79">
        <f t="shared" si="0"/>
        <v>17286.240000000002</v>
      </c>
      <c r="H8" s="78" t="s">
        <v>264</v>
      </c>
      <c r="I8" s="79">
        <f t="shared" si="1"/>
        <v>17286.240000000002</v>
      </c>
      <c r="L8" s="417" t="s">
        <v>268</v>
      </c>
      <c r="M8" s="418">
        <v>17799.150000000001</v>
      </c>
    </row>
    <row r="9" spans="1:13" x14ac:dyDescent="0.4">
      <c r="A9" s="68" t="s">
        <v>974</v>
      </c>
      <c r="B9" s="68" t="s">
        <v>906</v>
      </c>
      <c r="C9" s="82">
        <v>2129.69</v>
      </c>
      <c r="G9" s="79">
        <f t="shared" si="0"/>
        <v>2129.69</v>
      </c>
      <c r="H9" s="78" t="s">
        <v>264</v>
      </c>
      <c r="I9" s="79">
        <f t="shared" si="1"/>
        <v>2129.69</v>
      </c>
      <c r="L9" s="417" t="s">
        <v>271</v>
      </c>
      <c r="M9" s="418">
        <v>307354.49</v>
      </c>
    </row>
    <row r="10" spans="1:13" x14ac:dyDescent="0.4">
      <c r="A10" s="68" t="s">
        <v>975</v>
      </c>
      <c r="B10" s="68" t="s">
        <v>907</v>
      </c>
      <c r="C10" s="82">
        <v>277.08</v>
      </c>
      <c r="G10" s="79">
        <f t="shared" si="0"/>
        <v>277.08</v>
      </c>
      <c r="H10" s="78" t="s">
        <v>264</v>
      </c>
      <c r="I10" s="79">
        <f t="shared" si="1"/>
        <v>277.08</v>
      </c>
      <c r="L10" s="417" t="s">
        <v>266</v>
      </c>
      <c r="M10" s="418">
        <v>5861924</v>
      </c>
    </row>
    <row r="11" spans="1:13" x14ac:dyDescent="0.4">
      <c r="A11" s="68" t="s">
        <v>976</v>
      </c>
      <c r="B11" s="125" t="s">
        <v>908</v>
      </c>
      <c r="C11" s="82">
        <v>-48.27</v>
      </c>
      <c r="G11" s="79">
        <f t="shared" si="0"/>
        <v>-48.27</v>
      </c>
      <c r="H11" s="78" t="s">
        <v>264</v>
      </c>
      <c r="I11" s="79">
        <f t="shared" si="1"/>
        <v>-48.27</v>
      </c>
      <c r="L11" s="417" t="s">
        <v>272</v>
      </c>
      <c r="M11" s="418">
        <v>-3149212.23</v>
      </c>
    </row>
    <row r="12" spans="1:13" x14ac:dyDescent="0.4">
      <c r="A12" s="68" t="s">
        <v>977</v>
      </c>
      <c r="B12" s="125" t="s">
        <v>909</v>
      </c>
      <c r="C12" s="82">
        <v>737.25</v>
      </c>
      <c r="G12" s="79">
        <f t="shared" si="0"/>
        <v>737.25</v>
      </c>
      <c r="H12" s="78" t="s">
        <v>264</v>
      </c>
      <c r="I12" s="79">
        <f t="shared" si="1"/>
        <v>737.25</v>
      </c>
      <c r="L12" s="417" t="s">
        <v>274</v>
      </c>
      <c r="M12" s="418">
        <v>-3945762.55</v>
      </c>
    </row>
    <row r="13" spans="1:13" x14ac:dyDescent="0.4">
      <c r="A13" s="68" t="s">
        <v>312</v>
      </c>
      <c r="B13" s="68" t="s">
        <v>910</v>
      </c>
      <c r="C13" s="82">
        <v>470353.1</v>
      </c>
      <c r="G13" s="79">
        <f t="shared" si="0"/>
        <v>470353.1</v>
      </c>
      <c r="H13" s="78" t="s">
        <v>265</v>
      </c>
      <c r="I13" s="79">
        <f t="shared" si="1"/>
        <v>470353.1</v>
      </c>
      <c r="L13" s="417" t="s">
        <v>650</v>
      </c>
      <c r="M13" s="418">
        <v>2791141.35</v>
      </c>
    </row>
    <row r="14" spans="1:13" x14ac:dyDescent="0.4">
      <c r="A14" s="68" t="s">
        <v>978</v>
      </c>
      <c r="B14" s="68" t="s">
        <v>14</v>
      </c>
      <c r="C14" s="82">
        <v>-56725</v>
      </c>
      <c r="G14" s="79">
        <f t="shared" si="0"/>
        <v>-56725</v>
      </c>
      <c r="H14" s="78" t="s">
        <v>265</v>
      </c>
      <c r="I14" s="79">
        <f t="shared" si="1"/>
        <v>-56725</v>
      </c>
      <c r="L14" s="417" t="s">
        <v>278</v>
      </c>
      <c r="M14" s="418">
        <v>20600485.379999999</v>
      </c>
    </row>
    <row r="15" spans="1:13" x14ac:dyDescent="0.4">
      <c r="A15" s="68" t="s">
        <v>1043</v>
      </c>
      <c r="B15" s="68" t="s">
        <v>1044</v>
      </c>
      <c r="C15" s="82">
        <v>4478.05</v>
      </c>
      <c r="G15" s="79">
        <f t="shared" si="0"/>
        <v>4478.05</v>
      </c>
      <c r="H15" s="78" t="s">
        <v>271</v>
      </c>
      <c r="I15" s="79">
        <f t="shared" si="1"/>
        <v>4478.05</v>
      </c>
      <c r="L15" s="417" t="s">
        <v>276</v>
      </c>
      <c r="M15" s="418">
        <v>-754016.84</v>
      </c>
    </row>
    <row r="16" spans="1:13" x14ac:dyDescent="0.4">
      <c r="A16" s="68" t="s">
        <v>979</v>
      </c>
      <c r="B16" s="68" t="s">
        <v>911</v>
      </c>
      <c r="C16" s="82">
        <v>5455.58</v>
      </c>
      <c r="G16" s="79">
        <f t="shared" si="0"/>
        <v>5455.58</v>
      </c>
      <c r="H16" s="78" t="s">
        <v>271</v>
      </c>
      <c r="I16" s="79">
        <f t="shared" si="1"/>
        <v>5455.58</v>
      </c>
      <c r="L16" s="417" t="s">
        <v>275</v>
      </c>
      <c r="M16" s="418">
        <v>5437.5</v>
      </c>
    </row>
    <row r="17" spans="1:13" x14ac:dyDescent="0.4">
      <c r="A17" s="68" t="s">
        <v>980</v>
      </c>
      <c r="B17" s="68" t="s">
        <v>912</v>
      </c>
      <c r="C17" s="82">
        <v>458324.5</v>
      </c>
      <c r="G17" s="79">
        <f t="shared" si="0"/>
        <v>458324.5</v>
      </c>
      <c r="H17" s="78" t="s">
        <v>650</v>
      </c>
      <c r="I17" s="79">
        <f t="shared" si="1"/>
        <v>458324.5</v>
      </c>
      <c r="J17" s="77"/>
      <c r="K17" s="77"/>
      <c r="L17" s="417" t="s">
        <v>277</v>
      </c>
      <c r="M17" s="418">
        <v>-20785924.02</v>
      </c>
    </row>
    <row r="18" spans="1:13" x14ac:dyDescent="0.4">
      <c r="A18" s="125" t="s">
        <v>981</v>
      </c>
      <c r="B18" s="125" t="s">
        <v>913</v>
      </c>
      <c r="C18" s="82">
        <v>2175970.66</v>
      </c>
      <c r="G18" s="79">
        <f t="shared" si="0"/>
        <v>2175970.66</v>
      </c>
      <c r="H18" s="78" t="s">
        <v>650</v>
      </c>
      <c r="I18" s="79">
        <f t="shared" si="1"/>
        <v>2175970.66</v>
      </c>
      <c r="J18" s="77"/>
      <c r="K18" s="77"/>
      <c r="L18" s="417" t="s">
        <v>859</v>
      </c>
      <c r="M18" s="418">
        <v>-1316872.53</v>
      </c>
    </row>
    <row r="19" spans="1:13" x14ac:dyDescent="0.4">
      <c r="A19" s="125" t="s">
        <v>982</v>
      </c>
      <c r="B19" s="125" t="s">
        <v>914</v>
      </c>
      <c r="C19" s="82">
        <v>557674</v>
      </c>
      <c r="G19" s="79">
        <f t="shared" si="0"/>
        <v>557674</v>
      </c>
      <c r="H19" s="78" t="s">
        <v>650</v>
      </c>
      <c r="I19" s="79">
        <f t="shared" si="1"/>
        <v>557674</v>
      </c>
      <c r="L19" s="417" t="s">
        <v>860</v>
      </c>
      <c r="M19" s="418">
        <v>-93771.9</v>
      </c>
    </row>
    <row r="20" spans="1:13" x14ac:dyDescent="0.4">
      <c r="A20" s="68" t="s">
        <v>983</v>
      </c>
      <c r="B20" s="68" t="s">
        <v>915</v>
      </c>
      <c r="C20" s="82">
        <v>51220.9</v>
      </c>
      <c r="G20" s="79">
        <f t="shared" si="0"/>
        <v>51220.9</v>
      </c>
      <c r="H20" s="78" t="s">
        <v>650</v>
      </c>
      <c r="I20" s="79">
        <f t="shared" si="1"/>
        <v>51220.9</v>
      </c>
      <c r="L20" s="417" t="s">
        <v>283</v>
      </c>
      <c r="M20" s="418">
        <v>0</v>
      </c>
    </row>
    <row r="21" spans="1:13" ht="14.35" x14ac:dyDescent="0.5">
      <c r="A21" s="68" t="s">
        <v>984</v>
      </c>
      <c r="B21" s="68" t="s">
        <v>916</v>
      </c>
      <c r="C21" s="82">
        <v>60000</v>
      </c>
      <c r="G21" s="79">
        <f t="shared" si="0"/>
        <v>60000</v>
      </c>
      <c r="H21" s="78" t="s">
        <v>271</v>
      </c>
      <c r="I21" s="79">
        <f t="shared" si="1"/>
        <v>60000</v>
      </c>
      <c r="L21"/>
      <c r="M21"/>
    </row>
    <row r="22" spans="1:13" ht="14.35" x14ac:dyDescent="0.5">
      <c r="A22" s="68" t="s">
        <v>985</v>
      </c>
      <c r="B22" s="68" t="s">
        <v>917</v>
      </c>
      <c r="C22" s="82">
        <v>-27854.86</v>
      </c>
      <c r="G22" s="79">
        <f t="shared" si="0"/>
        <v>-27854.86</v>
      </c>
      <c r="H22" s="78" t="s">
        <v>650</v>
      </c>
      <c r="I22" s="79">
        <f t="shared" si="1"/>
        <v>-27854.86</v>
      </c>
      <c r="L22"/>
      <c r="M22"/>
    </row>
    <row r="23" spans="1:13" ht="14.35" x14ac:dyDescent="0.5">
      <c r="A23" s="68" t="s">
        <v>986</v>
      </c>
      <c r="B23" s="68" t="s">
        <v>918</v>
      </c>
      <c r="C23" s="82">
        <v>-454729.95</v>
      </c>
      <c r="G23" s="79">
        <f t="shared" si="0"/>
        <v>-454729.95</v>
      </c>
      <c r="H23" s="78" t="s">
        <v>650</v>
      </c>
      <c r="I23" s="79">
        <f t="shared" si="1"/>
        <v>-454729.95</v>
      </c>
      <c r="L23"/>
      <c r="M23"/>
    </row>
    <row r="24" spans="1:13" ht="14.35" x14ac:dyDescent="0.5">
      <c r="A24" s="68" t="s">
        <v>987</v>
      </c>
      <c r="B24" s="68" t="s">
        <v>919</v>
      </c>
      <c r="C24" s="82">
        <v>30536.1</v>
      </c>
      <c r="G24" s="79">
        <f t="shared" si="0"/>
        <v>30536.1</v>
      </c>
      <c r="H24" s="78" t="s">
        <v>650</v>
      </c>
      <c r="I24" s="79">
        <f t="shared" si="1"/>
        <v>30536.1</v>
      </c>
      <c r="L24"/>
      <c r="M24"/>
    </row>
    <row r="25" spans="1:13" ht="14.35" x14ac:dyDescent="0.5">
      <c r="A25" s="68" t="s">
        <v>1240</v>
      </c>
      <c r="B25" s="68" t="s">
        <v>1241</v>
      </c>
      <c r="C25" s="82">
        <v>-1271.04</v>
      </c>
      <c r="G25" s="79">
        <f t="shared" si="0"/>
        <v>-1271.04</v>
      </c>
      <c r="H25" s="78" t="s">
        <v>271</v>
      </c>
      <c r="I25" s="79">
        <f t="shared" si="1"/>
        <v>-1271.04</v>
      </c>
      <c r="L25"/>
      <c r="M25"/>
    </row>
    <row r="26" spans="1:13" ht="14.35" x14ac:dyDescent="0.5">
      <c r="A26" s="68" t="s">
        <v>988</v>
      </c>
      <c r="B26" s="68" t="s">
        <v>55</v>
      </c>
      <c r="C26" s="82">
        <v>356104.48</v>
      </c>
      <c r="G26" s="79">
        <f t="shared" si="0"/>
        <v>356104.48</v>
      </c>
      <c r="H26" s="78" t="s">
        <v>266</v>
      </c>
      <c r="I26" s="79">
        <f t="shared" si="1"/>
        <v>356104.48</v>
      </c>
      <c r="L26"/>
      <c r="M26"/>
    </row>
    <row r="27" spans="1:13" ht="14.35" x14ac:dyDescent="0.5">
      <c r="A27" s="68" t="s">
        <v>989</v>
      </c>
      <c r="B27" s="68" t="s">
        <v>920</v>
      </c>
      <c r="C27" s="82">
        <v>-152078.56</v>
      </c>
      <c r="G27" s="79">
        <f t="shared" si="0"/>
        <v>-152078.56</v>
      </c>
      <c r="H27" s="78" t="s">
        <v>266</v>
      </c>
      <c r="I27" s="79">
        <f t="shared" si="1"/>
        <v>-152078.56</v>
      </c>
      <c r="L27" s="80"/>
      <c r="M27" s="80"/>
    </row>
    <row r="28" spans="1:13" ht="14.35" x14ac:dyDescent="0.5">
      <c r="A28" s="68" t="s">
        <v>990</v>
      </c>
      <c r="B28" s="68" t="s">
        <v>921</v>
      </c>
      <c r="C28" s="82">
        <v>22222.54</v>
      </c>
      <c r="G28" s="79">
        <f t="shared" si="0"/>
        <v>22222.54</v>
      </c>
      <c r="H28" s="78" t="s">
        <v>266</v>
      </c>
      <c r="I28" s="79">
        <f t="shared" si="1"/>
        <v>22222.54</v>
      </c>
      <c r="L28" s="80"/>
      <c r="M28" s="80"/>
    </row>
    <row r="29" spans="1:13" ht="14.35" x14ac:dyDescent="0.5">
      <c r="A29" s="68" t="s">
        <v>991</v>
      </c>
      <c r="B29" s="68" t="s">
        <v>922</v>
      </c>
      <c r="C29" s="82">
        <v>-20883.439999999999</v>
      </c>
      <c r="G29" s="79">
        <f t="shared" si="0"/>
        <v>-20883.439999999999</v>
      </c>
      <c r="H29" s="78" t="s">
        <v>266</v>
      </c>
      <c r="I29" s="79">
        <f t="shared" si="1"/>
        <v>-20883.439999999999</v>
      </c>
      <c r="L29" s="80"/>
      <c r="M29" s="80"/>
    </row>
    <row r="30" spans="1:13" x14ac:dyDescent="0.4">
      <c r="A30" s="68" t="s">
        <v>992</v>
      </c>
      <c r="B30" s="68" t="s">
        <v>923</v>
      </c>
      <c r="C30" s="82">
        <v>42000.76</v>
      </c>
      <c r="G30" s="79">
        <f t="shared" si="0"/>
        <v>42000.76</v>
      </c>
      <c r="H30" s="78" t="s">
        <v>266</v>
      </c>
      <c r="I30" s="79">
        <f t="shared" si="1"/>
        <v>42000.76</v>
      </c>
    </row>
    <row r="31" spans="1:13" x14ac:dyDescent="0.4">
      <c r="A31" s="68" t="s">
        <v>993</v>
      </c>
      <c r="B31" s="68" t="s">
        <v>924</v>
      </c>
      <c r="C31" s="82">
        <v>-29922.79</v>
      </c>
      <c r="G31" s="79">
        <f t="shared" si="0"/>
        <v>-29922.79</v>
      </c>
      <c r="H31" s="78" t="s">
        <v>266</v>
      </c>
      <c r="I31" s="79">
        <f t="shared" si="1"/>
        <v>-29922.79</v>
      </c>
    </row>
    <row r="32" spans="1:13" x14ac:dyDescent="0.4">
      <c r="A32" s="68" t="s">
        <v>994</v>
      </c>
      <c r="B32" s="68" t="s">
        <v>925</v>
      </c>
      <c r="C32" s="82">
        <v>1747984.96</v>
      </c>
      <c r="G32" s="79">
        <f t="shared" si="0"/>
        <v>1747984.96</v>
      </c>
      <c r="H32" s="78" t="s">
        <v>266</v>
      </c>
      <c r="I32" s="79">
        <f t="shared" si="1"/>
        <v>1747984.96</v>
      </c>
    </row>
    <row r="33" spans="1:11" x14ac:dyDescent="0.4">
      <c r="A33" s="125" t="s">
        <v>995</v>
      </c>
      <c r="B33" s="125" t="s">
        <v>926</v>
      </c>
      <c r="C33" s="82">
        <v>4705788.3499999996</v>
      </c>
      <c r="G33" s="79">
        <f t="shared" si="0"/>
        <v>4705788.3499999996</v>
      </c>
      <c r="H33" s="78" t="s">
        <v>266</v>
      </c>
      <c r="I33" s="79">
        <f t="shared" si="1"/>
        <v>4705788.3499999996</v>
      </c>
    </row>
    <row r="34" spans="1:11" x14ac:dyDescent="0.4">
      <c r="A34" s="125" t="s">
        <v>996</v>
      </c>
      <c r="B34" s="125" t="s">
        <v>45</v>
      </c>
      <c r="C34" s="82">
        <v>-1363800.95</v>
      </c>
      <c r="G34" s="79">
        <f t="shared" si="0"/>
        <v>-1363800.95</v>
      </c>
      <c r="H34" s="78" t="s">
        <v>266</v>
      </c>
      <c r="I34" s="79">
        <f t="shared" si="1"/>
        <v>-1363800.95</v>
      </c>
    </row>
    <row r="35" spans="1:11" x14ac:dyDescent="0.4">
      <c r="A35" s="68" t="s">
        <v>997</v>
      </c>
      <c r="B35" s="68" t="s">
        <v>927</v>
      </c>
      <c r="C35" s="82">
        <v>225185</v>
      </c>
      <c r="G35" s="79">
        <f t="shared" si="0"/>
        <v>225185</v>
      </c>
      <c r="H35" s="78" t="s">
        <v>266</v>
      </c>
      <c r="I35" s="79">
        <f t="shared" si="1"/>
        <v>225185</v>
      </c>
      <c r="K35" s="77"/>
    </row>
    <row r="36" spans="1:11" x14ac:dyDescent="0.4">
      <c r="A36" s="68" t="s">
        <v>998</v>
      </c>
      <c r="B36" s="68" t="s">
        <v>928</v>
      </c>
      <c r="C36" s="82">
        <v>-126800.48</v>
      </c>
      <c r="G36" s="79">
        <f t="shared" si="0"/>
        <v>-126800.48</v>
      </c>
      <c r="H36" s="78" t="s">
        <v>266</v>
      </c>
      <c r="I36" s="79">
        <f t="shared" si="1"/>
        <v>-126800.48</v>
      </c>
    </row>
    <row r="37" spans="1:11" x14ac:dyDescent="0.4">
      <c r="A37" s="68" t="s">
        <v>999</v>
      </c>
      <c r="B37" s="68" t="s">
        <v>929</v>
      </c>
      <c r="C37" s="82">
        <v>741401.39</v>
      </c>
      <c r="G37" s="79">
        <f t="shared" si="0"/>
        <v>741401.39</v>
      </c>
      <c r="H37" s="78" t="s">
        <v>266</v>
      </c>
      <c r="I37" s="79">
        <f t="shared" si="1"/>
        <v>741401.39</v>
      </c>
    </row>
    <row r="38" spans="1:11" x14ac:dyDescent="0.4">
      <c r="A38" s="68" t="s">
        <v>1000</v>
      </c>
      <c r="B38" s="68" t="s">
        <v>930</v>
      </c>
      <c r="C38" s="82">
        <v>-295803.32</v>
      </c>
      <c r="G38" s="79">
        <f t="shared" si="0"/>
        <v>-295803.32</v>
      </c>
      <c r="H38" s="78" t="s">
        <v>266</v>
      </c>
      <c r="I38" s="79">
        <f t="shared" si="1"/>
        <v>-295803.32</v>
      </c>
    </row>
    <row r="39" spans="1:11" x14ac:dyDescent="0.4">
      <c r="A39" s="68" t="s">
        <v>1001</v>
      </c>
      <c r="B39" s="68" t="s">
        <v>931</v>
      </c>
      <c r="C39" s="82">
        <v>19737.259999999998</v>
      </c>
      <c r="G39" s="79">
        <f t="shared" si="0"/>
        <v>19737.259999999998</v>
      </c>
      <c r="H39" s="78" t="s">
        <v>266</v>
      </c>
      <c r="I39" s="79">
        <f t="shared" si="1"/>
        <v>19737.259999999998</v>
      </c>
    </row>
    <row r="40" spans="1:11" x14ac:dyDescent="0.4">
      <c r="A40" s="125" t="s">
        <v>1002</v>
      </c>
      <c r="B40" s="125" t="s">
        <v>932</v>
      </c>
      <c r="C40" s="82">
        <v>-9211.2000000000007</v>
      </c>
      <c r="G40" s="79">
        <f t="shared" si="0"/>
        <v>-9211.2000000000007</v>
      </c>
      <c r="H40" s="78" t="s">
        <v>266</v>
      </c>
      <c r="I40" s="79">
        <f t="shared" si="1"/>
        <v>-9211.2000000000007</v>
      </c>
    </row>
    <row r="41" spans="1:11" x14ac:dyDescent="0.4">
      <c r="A41" s="68" t="s">
        <v>1003</v>
      </c>
      <c r="B41" s="68" t="s">
        <v>933</v>
      </c>
      <c r="C41" s="82">
        <v>17799.150000000001</v>
      </c>
      <c r="G41" s="79">
        <f t="shared" si="0"/>
        <v>17799.150000000001</v>
      </c>
      <c r="H41" s="78" t="s">
        <v>268</v>
      </c>
      <c r="I41" s="79">
        <f t="shared" si="1"/>
        <v>17799.150000000001</v>
      </c>
      <c r="K41" s="77">
        <f>SUM(C41:C48)</f>
        <v>256848.54</v>
      </c>
    </row>
    <row r="42" spans="1:11" x14ac:dyDescent="0.4">
      <c r="A42" s="68" t="s">
        <v>1004</v>
      </c>
      <c r="B42" s="68" t="s">
        <v>934</v>
      </c>
      <c r="C42" s="82">
        <f>1650+2967.44</f>
        <v>4617.4399999999996</v>
      </c>
      <c r="G42" s="79">
        <f t="shared" si="0"/>
        <v>4617.4399999999996</v>
      </c>
      <c r="H42" s="78" t="s">
        <v>271</v>
      </c>
      <c r="I42" s="79">
        <f t="shared" si="1"/>
        <v>4617.4399999999996</v>
      </c>
      <c r="K42" s="76">
        <v>255881.1</v>
      </c>
    </row>
    <row r="43" spans="1:11" x14ac:dyDescent="0.4">
      <c r="A43" s="68" t="s">
        <v>1005</v>
      </c>
      <c r="B43" s="68" t="s">
        <v>935</v>
      </c>
      <c r="C43" s="82">
        <v>49513.04</v>
      </c>
      <c r="G43" s="79">
        <f t="shared" si="0"/>
        <v>49513.04</v>
      </c>
      <c r="H43" s="78" t="s">
        <v>271</v>
      </c>
      <c r="I43" s="79">
        <f t="shared" si="1"/>
        <v>49513.04</v>
      </c>
      <c r="K43" s="77">
        <f>K41-K42</f>
        <v>967.44</v>
      </c>
    </row>
    <row r="44" spans="1:11" x14ac:dyDescent="0.4">
      <c r="A44" s="68" t="s">
        <v>1006</v>
      </c>
      <c r="B44" s="68" t="s">
        <v>936</v>
      </c>
      <c r="C44" s="82">
        <v>67820.13</v>
      </c>
      <c r="G44" s="79">
        <f t="shared" si="0"/>
        <v>67820.13</v>
      </c>
      <c r="H44" s="78" t="s">
        <v>271</v>
      </c>
      <c r="I44" s="79">
        <f t="shared" si="1"/>
        <v>67820.13</v>
      </c>
      <c r="K44" s="77">
        <f>SUM(C51:C53)</f>
        <v>-3242984.13</v>
      </c>
    </row>
    <row r="45" spans="1:11" x14ac:dyDescent="0.4">
      <c r="A45" s="68" t="s">
        <v>1007</v>
      </c>
      <c r="B45" s="68" t="s">
        <v>937</v>
      </c>
      <c r="C45" s="82">
        <v>62701.68</v>
      </c>
      <c r="G45" s="79">
        <f t="shared" si="0"/>
        <v>62701.68</v>
      </c>
      <c r="H45" s="78" t="s">
        <v>271</v>
      </c>
      <c r="I45" s="79">
        <f t="shared" si="1"/>
        <v>62701.68</v>
      </c>
      <c r="K45" s="77">
        <f>SUM(K43:K44)</f>
        <v>-3242016.69</v>
      </c>
    </row>
    <row r="46" spans="1:11" x14ac:dyDescent="0.4">
      <c r="A46" s="125" t="s">
        <v>1008</v>
      </c>
      <c r="B46" s="68" t="s">
        <v>938</v>
      </c>
      <c r="C46" s="82">
        <v>41444</v>
      </c>
      <c r="G46" s="79">
        <f t="shared" si="0"/>
        <v>41444</v>
      </c>
      <c r="H46" s="78" t="s">
        <v>271</v>
      </c>
      <c r="I46" s="79">
        <f t="shared" si="1"/>
        <v>41444</v>
      </c>
    </row>
    <row r="47" spans="1:11" x14ac:dyDescent="0.4">
      <c r="A47" s="68" t="s">
        <v>1009</v>
      </c>
      <c r="B47" s="68" t="s">
        <v>939</v>
      </c>
      <c r="C47" s="82">
        <v>12595.61</v>
      </c>
      <c r="G47" s="79">
        <f t="shared" si="0"/>
        <v>12595.61</v>
      </c>
      <c r="H47" s="78" t="s">
        <v>271</v>
      </c>
      <c r="I47" s="79">
        <f t="shared" si="1"/>
        <v>12595.61</v>
      </c>
    </row>
    <row r="48" spans="1:11" x14ac:dyDescent="0.4">
      <c r="A48" s="68" t="s">
        <v>1010</v>
      </c>
      <c r="B48" s="68" t="s">
        <v>940</v>
      </c>
      <c r="C48" s="82">
        <v>357.49</v>
      </c>
      <c r="G48" s="79">
        <f t="shared" si="0"/>
        <v>357.49</v>
      </c>
      <c r="H48" s="78" t="s">
        <v>264</v>
      </c>
      <c r="I48" s="79">
        <f t="shared" si="1"/>
        <v>357.49</v>
      </c>
    </row>
    <row r="49" spans="1:11" x14ac:dyDescent="0.4">
      <c r="A49" s="68" t="s">
        <v>363</v>
      </c>
      <c r="B49" s="68" t="s">
        <v>64</v>
      </c>
      <c r="C49" s="77">
        <v>-1261733.6399999999</v>
      </c>
      <c r="G49" s="79">
        <f t="shared" si="0"/>
        <v>-1261733.6399999999</v>
      </c>
      <c r="H49" s="78" t="s">
        <v>859</v>
      </c>
      <c r="I49" s="79">
        <f t="shared" si="1"/>
        <v>-1261733.6399999999</v>
      </c>
    </row>
    <row r="50" spans="1:11" x14ac:dyDescent="0.4">
      <c r="A50" s="68" t="s">
        <v>1011</v>
      </c>
      <c r="B50" s="68" t="s">
        <v>941</v>
      </c>
      <c r="C50" s="77">
        <v>-55138.89</v>
      </c>
      <c r="D50" s="76"/>
      <c r="G50" s="79">
        <f t="shared" si="0"/>
        <v>-55138.89</v>
      </c>
      <c r="H50" s="78" t="s">
        <v>859</v>
      </c>
      <c r="I50" s="79">
        <f t="shared" si="1"/>
        <v>-55138.89</v>
      </c>
    </row>
    <row r="51" spans="1:11" x14ac:dyDescent="0.4">
      <c r="A51" s="68" t="s">
        <v>1012</v>
      </c>
      <c r="B51" s="68" t="s">
        <v>125</v>
      </c>
      <c r="C51" s="77">
        <v>-3149212.23</v>
      </c>
      <c r="G51" s="79">
        <f t="shared" si="0"/>
        <v>-3149212.23</v>
      </c>
      <c r="H51" s="78" t="s">
        <v>272</v>
      </c>
      <c r="I51" s="79">
        <f t="shared" si="1"/>
        <v>-3149212.23</v>
      </c>
    </row>
    <row r="52" spans="1:11" x14ac:dyDescent="0.4">
      <c r="A52" s="125" t="s">
        <v>1013</v>
      </c>
      <c r="B52" s="125" t="s">
        <v>942</v>
      </c>
      <c r="C52" s="77">
        <v>12988.1</v>
      </c>
      <c r="G52" s="79">
        <f t="shared" si="0"/>
        <v>12988.1</v>
      </c>
      <c r="H52" s="78" t="s">
        <v>860</v>
      </c>
      <c r="I52" s="79">
        <f t="shared" si="1"/>
        <v>12988.1</v>
      </c>
    </row>
    <row r="53" spans="1:11" x14ac:dyDescent="0.4">
      <c r="A53" s="68" t="s">
        <v>1014</v>
      </c>
      <c r="B53" s="68" t="s">
        <v>943</v>
      </c>
      <c r="C53" s="77">
        <v>-106760</v>
      </c>
      <c r="G53" s="79">
        <f t="shared" si="0"/>
        <v>-106760</v>
      </c>
      <c r="H53" s="78" t="s">
        <v>860</v>
      </c>
      <c r="I53" s="79">
        <f t="shared" si="1"/>
        <v>-106760</v>
      </c>
    </row>
    <row r="54" spans="1:11" x14ac:dyDescent="0.4">
      <c r="A54" s="68" t="s">
        <v>1015</v>
      </c>
      <c r="B54" s="68" t="s">
        <v>944</v>
      </c>
      <c r="C54" s="77">
        <v>-112444.25</v>
      </c>
      <c r="G54" s="79">
        <f t="shared" si="0"/>
        <v>-112444.25</v>
      </c>
      <c r="H54" s="78" t="s">
        <v>274</v>
      </c>
      <c r="I54" s="79">
        <f t="shared" si="1"/>
        <v>-112444.25</v>
      </c>
      <c r="K54" s="77"/>
    </row>
    <row r="55" spans="1:11" x14ac:dyDescent="0.4">
      <c r="A55" s="68" t="s">
        <v>1016</v>
      </c>
      <c r="B55" s="68" t="s">
        <v>945</v>
      </c>
      <c r="C55" s="77">
        <v>-112588.96</v>
      </c>
      <c r="G55" s="79">
        <f t="shared" si="0"/>
        <v>-112588.96</v>
      </c>
      <c r="H55" s="78" t="s">
        <v>274</v>
      </c>
      <c r="I55" s="79">
        <f t="shared" si="1"/>
        <v>-112588.96</v>
      </c>
    </row>
    <row r="56" spans="1:11" x14ac:dyDescent="0.4">
      <c r="A56" s="68" t="s">
        <v>1017</v>
      </c>
      <c r="B56" s="68" t="s">
        <v>946</v>
      </c>
      <c r="C56" s="77">
        <v>-387915.68</v>
      </c>
      <c r="G56" s="79">
        <f t="shared" si="0"/>
        <v>-387915.68</v>
      </c>
      <c r="H56" s="78" t="s">
        <v>274</v>
      </c>
      <c r="I56" s="79">
        <f t="shared" si="1"/>
        <v>-387915.68</v>
      </c>
    </row>
    <row r="57" spans="1:11" x14ac:dyDescent="0.4">
      <c r="A57" s="68" t="s">
        <v>1018</v>
      </c>
      <c r="B57" s="68" t="s">
        <v>947</v>
      </c>
      <c r="C57" s="77">
        <v>-39316.980000000003</v>
      </c>
      <c r="G57" s="79">
        <f t="shared" si="0"/>
        <v>-39316.980000000003</v>
      </c>
      <c r="H57" s="78" t="s">
        <v>274</v>
      </c>
      <c r="I57" s="79">
        <f t="shared" si="1"/>
        <v>-39316.980000000003</v>
      </c>
    </row>
    <row r="58" spans="1:11" x14ac:dyDescent="0.4">
      <c r="A58" s="68" t="s">
        <v>1019</v>
      </c>
      <c r="B58" s="68" t="s">
        <v>948</v>
      </c>
      <c r="C58" s="77">
        <v>-12071.9</v>
      </c>
      <c r="G58" s="79">
        <f t="shared" si="0"/>
        <v>-12071.9</v>
      </c>
      <c r="H58" s="78" t="s">
        <v>274</v>
      </c>
      <c r="I58" s="79">
        <f t="shared" si="1"/>
        <v>-12071.9</v>
      </c>
    </row>
    <row r="59" spans="1:11" x14ac:dyDescent="0.4">
      <c r="A59" s="68" t="s">
        <v>1020</v>
      </c>
      <c r="B59" s="68" t="s">
        <v>949</v>
      </c>
      <c r="C59" s="77">
        <v>-38227.75</v>
      </c>
      <c r="G59" s="79">
        <f t="shared" si="0"/>
        <v>-38227.75</v>
      </c>
      <c r="H59" s="78" t="s">
        <v>274</v>
      </c>
      <c r="I59" s="79">
        <f t="shared" si="1"/>
        <v>-38227.75</v>
      </c>
      <c r="K59" s="77"/>
    </row>
    <row r="60" spans="1:11" x14ac:dyDescent="0.4">
      <c r="A60" s="68" t="s">
        <v>1021</v>
      </c>
      <c r="B60" s="68" t="s">
        <v>950</v>
      </c>
      <c r="C60" s="77">
        <v>-51704</v>
      </c>
      <c r="G60" s="79">
        <f t="shared" si="0"/>
        <v>-51704</v>
      </c>
      <c r="H60" s="78" t="s">
        <v>274</v>
      </c>
      <c r="I60" s="79">
        <f t="shared" si="1"/>
        <v>-51704</v>
      </c>
      <c r="K60" s="77"/>
    </row>
    <row r="61" spans="1:11" x14ac:dyDescent="0.4">
      <c r="A61" s="68" t="s">
        <v>1022</v>
      </c>
      <c r="B61" s="68" t="s">
        <v>951</v>
      </c>
      <c r="C61" s="77">
        <v>-3790.63</v>
      </c>
      <c r="G61" s="79">
        <f t="shared" si="0"/>
        <v>-3790.63</v>
      </c>
      <c r="H61" s="78" t="s">
        <v>274</v>
      </c>
      <c r="I61" s="79">
        <f t="shared" si="1"/>
        <v>-3790.63</v>
      </c>
      <c r="K61" s="77"/>
    </row>
    <row r="62" spans="1:11" x14ac:dyDescent="0.4">
      <c r="A62" s="68" t="s">
        <v>1023</v>
      </c>
      <c r="B62" s="68" t="s">
        <v>1248</v>
      </c>
      <c r="C62" s="77">
        <v>-28447.13</v>
      </c>
      <c r="G62" s="79">
        <f t="shared" si="0"/>
        <v>-28447.13</v>
      </c>
      <c r="H62" s="78" t="s">
        <v>274</v>
      </c>
      <c r="I62" s="79">
        <f t="shared" si="1"/>
        <v>-28447.13</v>
      </c>
      <c r="K62" s="77"/>
    </row>
    <row r="63" spans="1:11" x14ac:dyDescent="0.4">
      <c r="A63" s="68" t="s">
        <v>1024</v>
      </c>
      <c r="B63" s="68" t="s">
        <v>953</v>
      </c>
      <c r="C63" s="77">
        <v>-106476.56</v>
      </c>
      <c r="G63" s="79">
        <f t="shared" si="0"/>
        <v>-106476.56</v>
      </c>
      <c r="H63" s="78" t="s">
        <v>274</v>
      </c>
      <c r="I63" s="79">
        <f t="shared" si="1"/>
        <v>-106476.56</v>
      </c>
    </row>
    <row r="64" spans="1:11" x14ac:dyDescent="0.4">
      <c r="A64" s="68" t="s">
        <v>1026</v>
      </c>
      <c r="B64" s="68" t="s">
        <v>955</v>
      </c>
      <c r="C64" s="77">
        <v>-32484.66</v>
      </c>
      <c r="G64" s="79">
        <f t="shared" si="0"/>
        <v>-32484.66</v>
      </c>
      <c r="H64" s="78" t="s">
        <v>274</v>
      </c>
      <c r="I64" s="79">
        <f t="shared" si="1"/>
        <v>-32484.66</v>
      </c>
    </row>
    <row r="65" spans="1:11" x14ac:dyDescent="0.4">
      <c r="A65" s="68" t="s">
        <v>1027</v>
      </c>
      <c r="B65" s="68" t="s">
        <v>956</v>
      </c>
      <c r="C65" s="77">
        <v>-491500</v>
      </c>
      <c r="G65" s="79">
        <f t="shared" si="0"/>
        <v>-491500</v>
      </c>
      <c r="H65" s="78" t="s">
        <v>274</v>
      </c>
      <c r="I65" s="79">
        <f t="shared" si="1"/>
        <v>-491500</v>
      </c>
    </row>
    <row r="66" spans="1:11" x14ac:dyDescent="0.4">
      <c r="A66" s="68" t="s">
        <v>1028</v>
      </c>
      <c r="B66" s="68" t="s">
        <v>957</v>
      </c>
      <c r="C66" s="77">
        <v>-46573.93</v>
      </c>
      <c r="G66" s="79">
        <f t="shared" si="0"/>
        <v>-46573.93</v>
      </c>
      <c r="H66" s="78" t="s">
        <v>274</v>
      </c>
      <c r="I66" s="79">
        <f t="shared" si="1"/>
        <v>-46573.93</v>
      </c>
    </row>
    <row r="67" spans="1:11" x14ac:dyDescent="0.4">
      <c r="A67" s="68" t="s">
        <v>1029</v>
      </c>
      <c r="B67" s="68" t="s">
        <v>958</v>
      </c>
      <c r="C67" s="77">
        <v>-43217.35</v>
      </c>
      <c r="G67" s="79">
        <f t="shared" si="0"/>
        <v>-43217.35</v>
      </c>
      <c r="H67" s="78" t="s">
        <v>274</v>
      </c>
      <c r="I67" s="79">
        <f t="shared" si="1"/>
        <v>-43217.35</v>
      </c>
      <c r="K67" s="77"/>
    </row>
    <row r="68" spans="1:11" x14ac:dyDescent="0.4">
      <c r="A68" s="68" t="s">
        <v>1030</v>
      </c>
      <c r="B68" s="68" t="s">
        <v>959</v>
      </c>
      <c r="C68" s="77">
        <v>-261500</v>
      </c>
      <c r="G68" s="79">
        <f t="shared" si="0"/>
        <v>-261500</v>
      </c>
      <c r="H68" s="78" t="s">
        <v>274</v>
      </c>
      <c r="I68" s="79">
        <f t="shared" si="1"/>
        <v>-261500</v>
      </c>
      <c r="K68" s="77"/>
    </row>
    <row r="69" spans="1:11" x14ac:dyDescent="0.4">
      <c r="A69" s="68" t="s">
        <v>1031</v>
      </c>
      <c r="B69" s="68" t="s">
        <v>960</v>
      </c>
      <c r="C69" s="77">
        <v>-160585.46</v>
      </c>
      <c r="G69" s="79">
        <f t="shared" si="0"/>
        <v>-160585.46</v>
      </c>
      <c r="H69" s="78" t="s">
        <v>274</v>
      </c>
      <c r="I69" s="79">
        <f t="shared" si="1"/>
        <v>-160585.46</v>
      </c>
    </row>
    <row r="70" spans="1:11" x14ac:dyDescent="0.4">
      <c r="A70" s="68" t="s">
        <v>1032</v>
      </c>
      <c r="B70" s="68" t="s">
        <v>961</v>
      </c>
      <c r="C70" s="77">
        <v>-71563.08</v>
      </c>
      <c r="G70" s="79">
        <f t="shared" ref="G70:G85" si="2">SUM(C70:F70)</f>
        <v>-71563.08</v>
      </c>
      <c r="H70" s="78" t="s">
        <v>274</v>
      </c>
      <c r="I70" s="79">
        <f t="shared" si="1"/>
        <v>-71563.08</v>
      </c>
    </row>
    <row r="71" spans="1:11" x14ac:dyDescent="0.4">
      <c r="A71" s="68" t="s">
        <v>1033</v>
      </c>
      <c r="B71" s="68" t="s">
        <v>962</v>
      </c>
      <c r="C71" s="77">
        <v>-56760.160000000003</v>
      </c>
      <c r="G71" s="79">
        <f t="shared" si="2"/>
        <v>-56760.160000000003</v>
      </c>
      <c r="H71" s="78" t="s">
        <v>274</v>
      </c>
      <c r="I71" s="79">
        <f t="shared" ref="I71:I85" si="3">G71</f>
        <v>-56760.160000000003</v>
      </c>
    </row>
    <row r="72" spans="1:11" x14ac:dyDescent="0.4">
      <c r="A72" s="68" t="s">
        <v>1034</v>
      </c>
      <c r="B72" s="68" t="s">
        <v>963</v>
      </c>
      <c r="C72" s="77">
        <v>-60744.17</v>
      </c>
      <c r="G72" s="79">
        <f t="shared" si="2"/>
        <v>-60744.17</v>
      </c>
      <c r="H72" s="78" t="s">
        <v>274</v>
      </c>
      <c r="I72" s="79">
        <f t="shared" si="3"/>
        <v>-60744.17</v>
      </c>
    </row>
    <row r="73" spans="1:11" x14ac:dyDescent="0.4">
      <c r="A73" s="68" t="s">
        <v>1035</v>
      </c>
      <c r="B73" s="68" t="s">
        <v>964</v>
      </c>
      <c r="C73" s="77">
        <v>-68842.960000000006</v>
      </c>
      <c r="G73" s="79">
        <f t="shared" si="2"/>
        <v>-68842.960000000006</v>
      </c>
      <c r="H73" s="78" t="s">
        <v>274</v>
      </c>
      <c r="I73" s="79">
        <f t="shared" si="3"/>
        <v>-68842.960000000006</v>
      </c>
    </row>
    <row r="74" spans="1:11" x14ac:dyDescent="0.4">
      <c r="A74" s="68" t="s">
        <v>1036</v>
      </c>
      <c r="B74" s="68" t="s">
        <v>965</v>
      </c>
      <c r="C74" s="77">
        <v>-130000</v>
      </c>
      <c r="G74" s="79">
        <f t="shared" si="2"/>
        <v>-130000</v>
      </c>
      <c r="H74" s="78" t="s">
        <v>274</v>
      </c>
      <c r="I74" s="79">
        <f t="shared" si="3"/>
        <v>-130000</v>
      </c>
    </row>
    <row r="75" spans="1:11" x14ac:dyDescent="0.4">
      <c r="A75" s="68" t="s">
        <v>1045</v>
      </c>
      <c r="B75" s="68" t="s">
        <v>1046</v>
      </c>
      <c r="C75" s="77">
        <v>-43515.16</v>
      </c>
      <c r="G75" s="79">
        <f t="shared" si="2"/>
        <v>-43515.16</v>
      </c>
      <c r="H75" s="78" t="s">
        <v>274</v>
      </c>
      <c r="I75" s="79">
        <f t="shared" si="3"/>
        <v>-43515.16</v>
      </c>
    </row>
    <row r="76" spans="1:11" x14ac:dyDescent="0.4">
      <c r="A76" s="68" t="s">
        <v>1037</v>
      </c>
      <c r="B76" s="68" t="s">
        <v>966</v>
      </c>
      <c r="C76" s="77">
        <v>-107956.68</v>
      </c>
      <c r="G76" s="79">
        <f t="shared" si="2"/>
        <v>-107956.68</v>
      </c>
      <c r="H76" s="78" t="s">
        <v>274</v>
      </c>
      <c r="I76" s="79">
        <f t="shared" si="3"/>
        <v>-107956.68</v>
      </c>
    </row>
    <row r="77" spans="1:11" x14ac:dyDescent="0.4">
      <c r="A77" s="68" t="s">
        <v>1250</v>
      </c>
      <c r="B77" s="68" t="s">
        <v>926</v>
      </c>
      <c r="C77" s="77">
        <v>-945266</v>
      </c>
      <c r="G77" s="79">
        <f t="shared" si="2"/>
        <v>-945266</v>
      </c>
      <c r="H77" s="78" t="s">
        <v>274</v>
      </c>
      <c r="I77" s="79">
        <f t="shared" si="3"/>
        <v>-945266</v>
      </c>
    </row>
    <row r="78" spans="1:11" x14ac:dyDescent="0.4">
      <c r="A78" s="68" t="s">
        <v>1038</v>
      </c>
      <c r="B78" s="68" t="s">
        <v>967</v>
      </c>
      <c r="C78" s="77">
        <v>-300000</v>
      </c>
      <c r="G78" s="79">
        <f t="shared" si="2"/>
        <v>-300000</v>
      </c>
      <c r="H78" s="78" t="s">
        <v>274</v>
      </c>
      <c r="I78" s="79">
        <f t="shared" si="3"/>
        <v>-300000</v>
      </c>
    </row>
    <row r="79" spans="1:11" x14ac:dyDescent="0.4">
      <c r="A79" s="68" t="s">
        <v>1232</v>
      </c>
      <c r="B79" s="68" t="s">
        <v>1233</v>
      </c>
      <c r="C79" s="77">
        <v>-144978.04</v>
      </c>
      <c r="G79" s="79">
        <f t="shared" si="2"/>
        <v>-144978.04</v>
      </c>
      <c r="H79" s="78" t="s">
        <v>274</v>
      </c>
      <c r="I79" s="79">
        <f t="shared" si="3"/>
        <v>-144978.04</v>
      </c>
    </row>
    <row r="80" spans="1:11" x14ac:dyDescent="0.4">
      <c r="A80" s="68" t="s">
        <v>1236</v>
      </c>
      <c r="B80" s="68" t="s">
        <v>1237</v>
      </c>
      <c r="C80" s="77">
        <v>-87291.06</v>
      </c>
      <c r="G80" s="79">
        <f t="shared" si="2"/>
        <v>-87291.06</v>
      </c>
      <c r="H80" s="78" t="s">
        <v>274</v>
      </c>
      <c r="I80" s="79">
        <f t="shared" si="3"/>
        <v>-87291.06</v>
      </c>
      <c r="K80" s="77">
        <f>SUM(C54:C80)</f>
        <v>-3945762.55</v>
      </c>
    </row>
    <row r="81" spans="1:16" x14ac:dyDescent="0.4">
      <c r="A81" s="68" t="s">
        <v>1039</v>
      </c>
      <c r="B81" s="68" t="s">
        <v>138</v>
      </c>
      <c r="C81" s="77">
        <v>20808269.530000001</v>
      </c>
      <c r="G81" s="79">
        <f t="shared" si="2"/>
        <v>20808269.530000001</v>
      </c>
      <c r="H81" s="78" t="s">
        <v>278</v>
      </c>
      <c r="I81" s="79">
        <f t="shared" si="3"/>
        <v>20808269.530000001</v>
      </c>
      <c r="K81" s="77">
        <v>3945762.55</v>
      </c>
    </row>
    <row r="82" spans="1:16" x14ac:dyDescent="0.4">
      <c r="A82" s="68" t="s">
        <v>1040</v>
      </c>
      <c r="B82" s="68" t="s">
        <v>968</v>
      </c>
      <c r="C82" s="77">
        <v>-754016.84</v>
      </c>
      <c r="G82" s="79">
        <f t="shared" si="2"/>
        <v>-754016.84</v>
      </c>
      <c r="H82" s="78" t="s">
        <v>276</v>
      </c>
      <c r="I82" s="79">
        <f t="shared" si="3"/>
        <v>-754016.84</v>
      </c>
      <c r="K82" s="77">
        <f>SUM(K80:K81)</f>
        <v>0</v>
      </c>
    </row>
    <row r="83" spans="1:16" x14ac:dyDescent="0.4">
      <c r="A83" s="68" t="s">
        <v>1041</v>
      </c>
      <c r="B83" s="68" t="s">
        <v>969</v>
      </c>
      <c r="C83" s="77">
        <v>5437.5</v>
      </c>
      <c r="G83" s="79">
        <f t="shared" si="2"/>
        <v>5437.5</v>
      </c>
      <c r="H83" s="78" t="s">
        <v>275</v>
      </c>
      <c r="I83" s="79">
        <f t="shared" si="3"/>
        <v>5437.5</v>
      </c>
    </row>
    <row r="84" spans="1:16" x14ac:dyDescent="0.4">
      <c r="A84" s="68" t="s">
        <v>1042</v>
      </c>
      <c r="B84" s="68" t="s">
        <v>970</v>
      </c>
      <c r="C84" s="77">
        <v>-20785924.02</v>
      </c>
      <c r="G84" s="79">
        <f t="shared" si="2"/>
        <v>-20785924.02</v>
      </c>
      <c r="H84" s="78" t="s">
        <v>277</v>
      </c>
      <c r="I84" s="79">
        <f t="shared" si="3"/>
        <v>-20785924.02</v>
      </c>
    </row>
    <row r="85" spans="1:16" x14ac:dyDescent="0.4">
      <c r="A85" s="68" t="s">
        <v>304</v>
      </c>
      <c r="B85" s="68" t="s">
        <v>142</v>
      </c>
      <c r="C85" s="77">
        <v>-207784.15</v>
      </c>
      <c r="G85" s="79">
        <f t="shared" si="2"/>
        <v>-207784.15</v>
      </c>
      <c r="H85" s="78" t="s">
        <v>278</v>
      </c>
      <c r="I85" s="79">
        <f t="shared" si="3"/>
        <v>-207784.15</v>
      </c>
      <c r="L85" s="92"/>
      <c r="M85" s="92"/>
      <c r="N85" s="103"/>
    </row>
    <row r="86" spans="1:16" x14ac:dyDescent="0.4">
      <c r="A86" s="76" t="s">
        <v>483</v>
      </c>
      <c r="B86" s="8"/>
      <c r="C86" s="20">
        <f t="shared" ref="C86:I86" si="4">SUM(C6:C48)+SUM(C49:C85)</f>
        <v>0</v>
      </c>
      <c r="D86" s="20">
        <f t="shared" si="4"/>
        <v>0</v>
      </c>
      <c r="E86" s="20">
        <f t="shared" si="4"/>
        <v>0</v>
      </c>
      <c r="F86" s="20">
        <f t="shared" si="4"/>
        <v>0</v>
      </c>
      <c r="G86" s="20">
        <f t="shared" si="4"/>
        <v>0</v>
      </c>
      <c r="H86" s="20">
        <f t="shared" si="4"/>
        <v>0</v>
      </c>
      <c r="I86" s="20">
        <f t="shared" si="4"/>
        <v>0</v>
      </c>
      <c r="J86" s="92"/>
      <c r="K86" s="92"/>
      <c r="L86" s="103"/>
      <c r="M86" s="103"/>
      <c r="N86" s="79"/>
      <c r="O86" s="79"/>
    </row>
    <row r="87" spans="1:16" x14ac:dyDescent="0.4">
      <c r="B87" s="8"/>
      <c r="H87" s="78"/>
      <c r="L87" s="103"/>
      <c r="M87" s="103"/>
      <c r="N87" s="79"/>
      <c r="O87" s="79"/>
      <c r="P87" s="79"/>
    </row>
    <row r="88" spans="1:16" s="79" customFormat="1" x14ac:dyDescent="0.4">
      <c r="A88" s="76"/>
      <c r="B88" s="8" t="s">
        <v>261</v>
      </c>
      <c r="C88" s="78"/>
      <c r="D88" s="78"/>
      <c r="E88" s="78"/>
      <c r="F88" s="78"/>
      <c r="H88" s="78"/>
      <c r="J88" s="76"/>
      <c r="K88" s="76"/>
      <c r="L88" s="103"/>
      <c r="M88" s="103"/>
    </row>
    <row r="89" spans="1:16" s="79" customFormat="1" x14ac:dyDescent="0.4">
      <c r="A89" s="76"/>
      <c r="B89" s="76" t="s">
        <v>285</v>
      </c>
      <c r="C89" s="78">
        <f>SUM(C6:C48)</f>
        <v>9439637.1899999995</v>
      </c>
      <c r="D89" s="78">
        <f t="shared" ref="D89:I89" si="5">SUM(D6:D48)</f>
        <v>0</v>
      </c>
      <c r="E89" s="78">
        <f t="shared" si="5"/>
        <v>0</v>
      </c>
      <c r="F89" s="78">
        <f t="shared" si="5"/>
        <v>0</v>
      </c>
      <c r="G89" s="78">
        <f t="shared" si="5"/>
        <v>9439637.1899999995</v>
      </c>
      <c r="H89" s="78">
        <f t="shared" si="5"/>
        <v>0</v>
      </c>
      <c r="I89" s="78">
        <f t="shared" si="5"/>
        <v>9439637.1899999995</v>
      </c>
      <c r="J89" s="77"/>
      <c r="K89" s="76"/>
      <c r="L89" s="76"/>
      <c r="M89" s="76"/>
    </row>
    <row r="90" spans="1:16" s="79" customFormat="1" x14ac:dyDescent="0.4">
      <c r="A90" s="76"/>
      <c r="B90" s="76" t="s">
        <v>286</v>
      </c>
      <c r="C90" s="78">
        <f>SUM(C49:C80)</f>
        <v>-8505619.2100000009</v>
      </c>
      <c r="D90" s="78">
        <f t="shared" ref="D90:I90" si="6">SUM(D49:D80)</f>
        <v>0</v>
      </c>
      <c r="E90" s="78">
        <f t="shared" si="6"/>
        <v>0</v>
      </c>
      <c r="F90" s="78">
        <f t="shared" si="6"/>
        <v>0</v>
      </c>
      <c r="G90" s="78">
        <f t="shared" si="6"/>
        <v>-8505619.2100000009</v>
      </c>
      <c r="H90" s="78">
        <f t="shared" si="6"/>
        <v>0</v>
      </c>
      <c r="I90" s="78">
        <f t="shared" si="6"/>
        <v>-8505619.2100000009</v>
      </c>
      <c r="J90" s="77"/>
      <c r="K90" s="76"/>
      <c r="L90" s="76"/>
      <c r="M90" s="76"/>
    </row>
    <row r="91" spans="1:16" s="79" customFormat="1" x14ac:dyDescent="0.4">
      <c r="A91" s="76"/>
      <c r="B91" s="76" t="s">
        <v>607</v>
      </c>
      <c r="C91" s="78">
        <f>SUM(C81:C85)</f>
        <v>-934017.98</v>
      </c>
      <c r="D91" s="78">
        <f t="shared" ref="D91:I91" si="7">SUM(D81:D85)</f>
        <v>0</v>
      </c>
      <c r="E91" s="78">
        <f t="shared" si="7"/>
        <v>0</v>
      </c>
      <c r="F91" s="78">
        <f t="shared" si="7"/>
        <v>0</v>
      </c>
      <c r="G91" s="78">
        <f t="shared" si="7"/>
        <v>-934017.98</v>
      </c>
      <c r="H91" s="78">
        <f t="shared" si="7"/>
        <v>0</v>
      </c>
      <c r="I91" s="78">
        <f t="shared" si="7"/>
        <v>-934017.98</v>
      </c>
      <c r="J91" s="77"/>
      <c r="K91" s="76"/>
      <c r="L91" s="76"/>
      <c r="M91" s="76"/>
    </row>
    <row r="92" spans="1:16" s="79" customFormat="1" x14ac:dyDescent="0.4">
      <c r="A92" s="76"/>
      <c r="B92" s="76" t="s">
        <v>483</v>
      </c>
      <c r="C92" s="78">
        <f>SUM(C89:C91)</f>
        <v>0</v>
      </c>
      <c r="D92" s="78">
        <f t="shared" ref="D92:I92" si="8">SUM(D89:D91)</f>
        <v>0</v>
      </c>
      <c r="E92" s="78">
        <f t="shared" si="8"/>
        <v>0</v>
      </c>
      <c r="F92" s="78">
        <f t="shared" si="8"/>
        <v>0</v>
      </c>
      <c r="G92" s="78">
        <f t="shared" si="8"/>
        <v>0</v>
      </c>
      <c r="H92" s="78">
        <f t="shared" si="8"/>
        <v>0</v>
      </c>
      <c r="I92" s="78">
        <f t="shared" si="8"/>
        <v>0</v>
      </c>
      <c r="J92" s="77"/>
      <c r="K92" s="76"/>
      <c r="L92" s="76"/>
      <c r="M92" s="76"/>
    </row>
    <row r="93" spans="1:16" s="79" customFormat="1" x14ac:dyDescent="0.4">
      <c r="A93" s="76"/>
      <c r="B93" s="76"/>
      <c r="C93" s="78"/>
      <c r="D93" s="78"/>
      <c r="E93" s="77">
        <f>C86+F86</f>
        <v>0</v>
      </c>
      <c r="F93" s="76"/>
      <c r="G93" s="78"/>
      <c r="H93" s="78"/>
      <c r="J93" s="76"/>
      <c r="K93" s="76"/>
      <c r="L93" s="76"/>
      <c r="M93" s="76"/>
    </row>
    <row r="94" spans="1:16" s="79" customFormat="1" x14ac:dyDescent="0.4">
      <c r="A94" s="76"/>
      <c r="B94" s="76"/>
      <c r="C94" s="78"/>
      <c r="D94" s="76"/>
      <c r="E94" s="78"/>
      <c r="F94" s="78"/>
      <c r="H94" s="78"/>
      <c r="J94" s="76"/>
      <c r="K94" s="76"/>
      <c r="L94" s="76"/>
      <c r="M94" s="76"/>
    </row>
    <row r="95" spans="1:16" s="79" customFormat="1" x14ac:dyDescent="0.4">
      <c r="A95" s="76"/>
      <c r="B95" s="76"/>
      <c r="C95" s="78"/>
      <c r="D95" s="76"/>
      <c r="E95" s="78"/>
      <c r="F95" s="78"/>
      <c r="H95" s="78"/>
      <c r="J95" s="76"/>
      <c r="K95" s="76"/>
      <c r="L95" s="76"/>
      <c r="M95" s="76"/>
    </row>
    <row r="96" spans="1:16" s="79" customFormat="1" x14ac:dyDescent="0.4">
      <c r="A96" s="76"/>
      <c r="B96" s="76"/>
      <c r="C96" s="78"/>
      <c r="D96" s="76"/>
      <c r="E96" s="78"/>
      <c r="F96" s="78"/>
      <c r="H96" s="78"/>
      <c r="J96" s="76"/>
      <c r="K96" s="76"/>
      <c r="L96" s="76"/>
      <c r="M96" s="76"/>
    </row>
    <row r="97" spans="1:13" s="79" customFormat="1" x14ac:dyDescent="0.4">
      <c r="A97" s="76"/>
      <c r="B97" s="76"/>
      <c r="C97" s="78"/>
      <c r="D97" s="76"/>
      <c r="E97" s="78"/>
      <c r="F97" s="78"/>
      <c r="H97" s="78"/>
      <c r="J97" s="76"/>
      <c r="K97" s="76"/>
      <c r="L97" s="76"/>
      <c r="M97" s="76"/>
    </row>
    <row r="98" spans="1:13" s="79" customFormat="1" x14ac:dyDescent="0.4">
      <c r="A98" s="76"/>
      <c r="B98" s="76"/>
      <c r="C98" s="78"/>
      <c r="D98" s="77"/>
      <c r="E98" s="78"/>
      <c r="F98" s="78"/>
      <c r="H98" s="78"/>
      <c r="J98" s="76"/>
      <c r="K98" s="76"/>
      <c r="L98" s="76"/>
      <c r="M98" s="76"/>
    </row>
    <row r="99" spans="1:13" s="79" customFormat="1" x14ac:dyDescent="0.4">
      <c r="A99" s="76"/>
      <c r="B99" s="76"/>
      <c r="C99" s="78"/>
      <c r="D99" s="78"/>
      <c r="E99" s="78"/>
      <c r="F99" s="78"/>
      <c r="H99" s="78"/>
      <c r="J99" s="77" t="s">
        <v>261</v>
      </c>
      <c r="K99" s="76"/>
      <c r="L99" s="76"/>
      <c r="M99" s="76"/>
    </row>
    <row r="100" spans="1:13" s="79" customFormat="1" x14ac:dyDescent="0.4">
      <c r="A100" s="76"/>
      <c r="B100" s="76"/>
      <c r="C100" s="78"/>
      <c r="D100" s="78"/>
      <c r="E100" s="78"/>
      <c r="F100" s="78"/>
      <c r="H100" s="78"/>
      <c r="J100" s="76"/>
      <c r="K100" s="76"/>
      <c r="L100" s="76"/>
      <c r="M100" s="76"/>
    </row>
    <row r="101" spans="1:13" s="79" customFormat="1" x14ac:dyDescent="0.4">
      <c r="A101" s="76"/>
      <c r="B101" s="76"/>
      <c r="C101" s="78"/>
      <c r="D101" s="78"/>
      <c r="E101" s="78"/>
      <c r="F101" s="78"/>
      <c r="H101" s="78"/>
      <c r="J101" s="76"/>
      <c r="K101" s="76"/>
      <c r="L101" s="76"/>
      <c r="M101" s="76"/>
    </row>
    <row r="102" spans="1:13" s="79" customFormat="1" x14ac:dyDescent="0.4">
      <c r="A102" s="76"/>
      <c r="B102" s="76"/>
      <c r="C102" s="78"/>
      <c r="D102" s="78"/>
      <c r="E102" s="78"/>
      <c r="F102" s="78"/>
      <c r="H102" s="78"/>
      <c r="J102" s="76"/>
      <c r="K102" s="76"/>
      <c r="L102" s="76"/>
      <c r="M102" s="76"/>
    </row>
    <row r="103" spans="1:13" s="79" customFormat="1" x14ac:dyDescent="0.4">
      <c r="A103" s="76"/>
      <c r="B103" s="76"/>
      <c r="C103" s="78"/>
      <c r="D103" s="78"/>
      <c r="E103" s="78"/>
      <c r="F103" s="78"/>
      <c r="H103" s="78"/>
      <c r="J103" s="76"/>
      <c r="K103" s="76"/>
      <c r="L103" s="76"/>
      <c r="M103" s="76"/>
    </row>
    <row r="104" spans="1:13" s="79" customFormat="1" x14ac:dyDescent="0.4">
      <c r="A104" s="76"/>
      <c r="B104" s="76"/>
      <c r="C104" s="78"/>
      <c r="D104" s="78"/>
      <c r="E104" s="78"/>
      <c r="F104" s="78"/>
      <c r="H104" s="78"/>
      <c r="J104" s="76"/>
      <c r="K104" s="76"/>
      <c r="L104" s="76"/>
      <c r="M104" s="76"/>
    </row>
    <row r="105" spans="1:13" s="79" customFormat="1" x14ac:dyDescent="0.4">
      <c r="A105" s="76"/>
      <c r="B105" s="76"/>
      <c r="C105" s="78"/>
      <c r="D105" s="78"/>
      <c r="E105" s="78"/>
      <c r="F105" s="78"/>
      <c r="H105" s="78"/>
      <c r="J105" s="76"/>
      <c r="K105" s="76"/>
      <c r="L105" s="76"/>
      <c r="M105" s="76"/>
    </row>
    <row r="106" spans="1:13" s="79" customFormat="1" x14ac:dyDescent="0.4">
      <c r="A106" s="76"/>
      <c r="B106" s="76"/>
      <c r="C106" s="78"/>
      <c r="D106" s="78"/>
      <c r="E106" s="78"/>
      <c r="F106" s="78"/>
      <c r="H106" s="78"/>
      <c r="J106" s="76"/>
      <c r="K106" s="76"/>
      <c r="L106" s="76"/>
      <c r="M106" s="76"/>
    </row>
    <row r="107" spans="1:13" s="79" customFormat="1" x14ac:dyDescent="0.4">
      <c r="A107" s="76"/>
      <c r="B107" s="76"/>
      <c r="C107" s="78"/>
      <c r="D107" s="78"/>
      <c r="E107" s="78"/>
      <c r="F107" s="78"/>
      <c r="H107" s="78"/>
      <c r="J107" s="76"/>
      <c r="K107" s="76"/>
      <c r="L107" s="76"/>
      <c r="M107" s="76"/>
    </row>
    <row r="108" spans="1:13" s="79" customFormat="1" x14ac:dyDescent="0.4">
      <c r="A108" s="76"/>
      <c r="B108" s="76"/>
      <c r="C108" s="78"/>
      <c r="D108" s="78"/>
      <c r="E108" s="78"/>
      <c r="F108" s="78"/>
      <c r="H108" s="78"/>
      <c r="J108" s="76"/>
      <c r="K108" s="76"/>
      <c r="L108" s="76"/>
      <c r="M108" s="76"/>
    </row>
    <row r="109" spans="1:13" s="79" customFormat="1" x14ac:dyDescent="0.4">
      <c r="A109" s="76"/>
      <c r="B109" s="76"/>
      <c r="C109" s="78"/>
      <c r="D109" s="78"/>
      <c r="E109" s="78"/>
      <c r="F109" s="78"/>
      <c r="H109" s="78"/>
      <c r="J109" s="76"/>
      <c r="K109" s="76"/>
      <c r="L109" s="76"/>
      <c r="M109" s="76"/>
    </row>
    <row r="110" spans="1:13" s="79" customFormat="1" x14ac:dyDescent="0.4">
      <c r="A110" s="76"/>
      <c r="B110" s="76"/>
      <c r="C110" s="78"/>
      <c r="D110" s="78"/>
      <c r="E110" s="78"/>
      <c r="F110" s="78"/>
      <c r="H110" s="78"/>
      <c r="J110" s="76"/>
      <c r="K110" s="76"/>
      <c r="L110" s="76"/>
      <c r="M110" s="76"/>
    </row>
    <row r="111" spans="1:13" s="79" customFormat="1" x14ac:dyDescent="0.4">
      <c r="A111" s="76"/>
      <c r="B111" s="76"/>
      <c r="C111" s="78"/>
      <c r="D111" s="78"/>
      <c r="E111" s="78"/>
      <c r="F111" s="78"/>
      <c r="H111" s="78"/>
      <c r="J111" s="76"/>
      <c r="K111" s="76"/>
      <c r="L111" s="76"/>
      <c r="M111" s="76"/>
    </row>
    <row r="112" spans="1:13" s="79" customFormat="1" x14ac:dyDescent="0.4">
      <c r="A112" s="76"/>
      <c r="B112" s="76"/>
      <c r="C112" s="78"/>
      <c r="D112" s="78"/>
      <c r="E112" s="78"/>
      <c r="F112" s="78"/>
      <c r="H112" s="78"/>
      <c r="J112" s="76"/>
      <c r="K112" s="76"/>
      <c r="L112" s="76"/>
      <c r="M112" s="76"/>
    </row>
    <row r="113" spans="1:13" s="79" customFormat="1" x14ac:dyDescent="0.4">
      <c r="A113" s="76"/>
      <c r="B113" s="76"/>
      <c r="C113" s="78"/>
      <c r="D113" s="78"/>
      <c r="E113" s="78"/>
      <c r="F113" s="78"/>
      <c r="H113" s="78"/>
      <c r="J113" s="76"/>
      <c r="K113" s="76"/>
      <c r="L113" s="76"/>
      <c r="M113" s="76"/>
    </row>
    <row r="114" spans="1:13" s="79" customFormat="1" x14ac:dyDescent="0.4">
      <c r="A114" s="76"/>
      <c r="B114" s="76"/>
      <c r="C114" s="78"/>
      <c r="D114" s="78"/>
      <c r="E114" s="78"/>
      <c r="F114" s="78"/>
      <c r="H114" s="78"/>
      <c r="J114" s="76"/>
      <c r="K114" s="76"/>
      <c r="L114" s="76"/>
      <c r="M114" s="76"/>
    </row>
    <row r="115" spans="1:13" s="79" customFormat="1" x14ac:dyDescent="0.4">
      <c r="A115" s="76"/>
      <c r="B115" s="76"/>
      <c r="C115" s="78"/>
      <c r="D115" s="78"/>
      <c r="E115" s="78"/>
      <c r="F115" s="78"/>
      <c r="H115" s="78"/>
      <c r="J115" s="76"/>
      <c r="K115" s="76"/>
      <c r="L115" s="76"/>
      <c r="M115" s="76"/>
    </row>
    <row r="116" spans="1:13" s="79" customFormat="1" x14ac:dyDescent="0.4">
      <c r="A116" s="76"/>
      <c r="B116" s="76"/>
      <c r="C116" s="78"/>
      <c r="D116" s="78"/>
      <c r="E116" s="78"/>
      <c r="F116" s="78"/>
      <c r="H116" s="78"/>
      <c r="J116" s="76"/>
      <c r="K116" s="76"/>
      <c r="L116" s="76"/>
      <c r="M116" s="76"/>
    </row>
    <row r="117" spans="1:13" s="79" customFormat="1" x14ac:dyDescent="0.4">
      <c r="A117" s="76"/>
      <c r="B117" s="76"/>
      <c r="C117" s="78"/>
      <c r="D117" s="78"/>
      <c r="E117" s="78"/>
      <c r="F117" s="78"/>
      <c r="H117" s="78"/>
      <c r="J117" s="76"/>
      <c r="K117" s="76"/>
      <c r="L117" s="76"/>
      <c r="M117" s="76"/>
    </row>
    <row r="118" spans="1:13" s="79" customFormat="1" x14ac:dyDescent="0.4">
      <c r="A118" s="76"/>
      <c r="B118" s="76"/>
      <c r="C118" s="78"/>
      <c r="D118" s="78"/>
      <c r="E118" s="78"/>
      <c r="F118" s="78"/>
      <c r="H118" s="78"/>
      <c r="J118" s="76"/>
      <c r="K118" s="76"/>
      <c r="L118" s="76"/>
      <c r="M118" s="76"/>
    </row>
    <row r="119" spans="1:13" s="79" customFormat="1" x14ac:dyDescent="0.4">
      <c r="A119" s="76"/>
      <c r="B119" s="76"/>
      <c r="C119" s="78"/>
      <c r="D119" s="78"/>
      <c r="E119" s="78"/>
      <c r="F119" s="78"/>
      <c r="H119" s="78"/>
      <c r="J119" s="76"/>
      <c r="K119" s="76"/>
      <c r="L119" s="76"/>
      <c r="M119" s="76"/>
    </row>
    <row r="120" spans="1:13" s="79" customFormat="1" x14ac:dyDescent="0.4">
      <c r="A120" s="76"/>
      <c r="B120" s="76"/>
      <c r="C120" s="78"/>
      <c r="D120" s="78"/>
      <c r="E120" s="78"/>
      <c r="F120" s="78"/>
      <c r="H120" s="78"/>
      <c r="J120" s="76"/>
      <c r="K120" s="76"/>
      <c r="L120" s="76"/>
      <c r="M120" s="76"/>
    </row>
    <row r="121" spans="1:13" s="79" customFormat="1" x14ac:dyDescent="0.4">
      <c r="A121" s="76"/>
      <c r="B121" s="76"/>
      <c r="C121" s="78"/>
      <c r="D121" s="78"/>
      <c r="E121" s="78"/>
      <c r="F121" s="78"/>
      <c r="H121" s="78"/>
      <c r="J121" s="76"/>
      <c r="K121" s="76"/>
      <c r="L121" s="76"/>
      <c r="M121" s="76"/>
    </row>
    <row r="122" spans="1:13" s="79" customFormat="1" x14ac:dyDescent="0.4">
      <c r="A122" s="76"/>
      <c r="B122" s="76"/>
      <c r="C122" s="78"/>
      <c r="D122" s="78"/>
      <c r="E122" s="78"/>
      <c r="F122" s="78"/>
      <c r="H122" s="78"/>
      <c r="J122" s="76"/>
      <c r="K122" s="76"/>
      <c r="L122" s="76"/>
      <c r="M122" s="76"/>
    </row>
    <row r="123" spans="1:13" s="79" customFormat="1" x14ac:dyDescent="0.4">
      <c r="A123" s="76"/>
      <c r="B123" s="76"/>
      <c r="C123" s="78"/>
      <c r="D123" s="78"/>
      <c r="E123" s="78"/>
      <c r="F123" s="78"/>
      <c r="H123" s="78"/>
      <c r="J123" s="76"/>
      <c r="K123" s="76"/>
      <c r="L123" s="76"/>
      <c r="M123" s="76"/>
    </row>
    <row r="124" spans="1:13" s="79" customFormat="1" x14ac:dyDescent="0.4">
      <c r="A124" s="76"/>
      <c r="B124" s="76"/>
      <c r="C124" s="78"/>
      <c r="D124" s="78"/>
      <c r="E124" s="78"/>
      <c r="F124" s="78"/>
      <c r="H124" s="78"/>
      <c r="J124" s="76"/>
      <c r="K124" s="76"/>
      <c r="L124" s="76"/>
      <c r="M124" s="76"/>
    </row>
    <row r="125" spans="1:13" s="79" customFormat="1" x14ac:dyDescent="0.4">
      <c r="A125" s="76"/>
      <c r="B125" s="76"/>
      <c r="C125" s="78"/>
      <c r="D125" s="78"/>
      <c r="E125" s="78"/>
      <c r="F125" s="78"/>
      <c r="H125" s="78"/>
      <c r="J125" s="76"/>
      <c r="K125" s="76"/>
      <c r="L125" s="76"/>
      <c r="M125" s="76"/>
    </row>
    <row r="126" spans="1:13" s="79" customFormat="1" x14ac:dyDescent="0.4">
      <c r="A126" s="76"/>
      <c r="B126" s="76"/>
      <c r="C126" s="78"/>
      <c r="D126" s="78"/>
      <c r="E126" s="78"/>
      <c r="F126" s="78"/>
      <c r="H126" s="78"/>
      <c r="J126" s="76"/>
      <c r="K126" s="76"/>
      <c r="L126" s="76"/>
      <c r="M126" s="76"/>
    </row>
    <row r="127" spans="1:13" s="79" customFormat="1" x14ac:dyDescent="0.4">
      <c r="A127" s="76"/>
      <c r="B127" s="76"/>
      <c r="C127" s="78"/>
      <c r="D127" s="78"/>
      <c r="E127" s="78"/>
      <c r="F127" s="78"/>
      <c r="H127" s="78"/>
      <c r="J127" s="76"/>
      <c r="K127" s="76"/>
      <c r="L127" s="76"/>
      <c r="M127" s="76"/>
    </row>
    <row r="128" spans="1:13" s="79" customFormat="1" x14ac:dyDescent="0.4">
      <c r="A128" s="76"/>
      <c r="B128" s="76"/>
      <c r="C128" s="78"/>
      <c r="D128" s="78"/>
      <c r="E128" s="78"/>
      <c r="F128" s="78"/>
      <c r="H128" s="78"/>
      <c r="J128" s="76"/>
      <c r="K128" s="76"/>
      <c r="L128" s="76"/>
      <c r="M128" s="76"/>
    </row>
    <row r="129" spans="1:13" s="79" customFormat="1" x14ac:dyDescent="0.4">
      <c r="A129" s="76"/>
      <c r="B129" s="76"/>
      <c r="C129" s="78"/>
      <c r="D129" s="78"/>
      <c r="E129" s="78"/>
      <c r="F129" s="78"/>
      <c r="H129" s="78"/>
      <c r="J129" s="76"/>
      <c r="K129" s="76"/>
      <c r="L129" s="76"/>
      <c r="M129" s="76"/>
    </row>
    <row r="130" spans="1:13" s="79" customFormat="1" x14ac:dyDescent="0.4">
      <c r="A130" s="76"/>
      <c r="B130" s="76"/>
      <c r="C130" s="78"/>
      <c r="D130" s="78"/>
      <c r="E130" s="78"/>
      <c r="F130" s="78"/>
      <c r="H130" s="78"/>
      <c r="J130" s="76"/>
      <c r="K130" s="76"/>
      <c r="L130" s="76"/>
      <c r="M130" s="76"/>
    </row>
    <row r="131" spans="1:13" s="79" customFormat="1" x14ac:dyDescent="0.4">
      <c r="A131" s="76"/>
      <c r="B131" s="76"/>
      <c r="C131" s="78"/>
      <c r="D131" s="78"/>
      <c r="E131" s="78"/>
      <c r="F131" s="78"/>
      <c r="H131" s="78"/>
      <c r="J131" s="76"/>
      <c r="K131" s="76"/>
      <c r="L131" s="76"/>
      <c r="M131" s="76"/>
    </row>
    <row r="132" spans="1:13" s="79" customFormat="1" x14ac:dyDescent="0.4">
      <c r="A132" s="76"/>
      <c r="B132" s="76"/>
      <c r="C132" s="78"/>
      <c r="D132" s="78"/>
      <c r="E132" s="78"/>
      <c r="F132" s="78"/>
      <c r="H132" s="78"/>
      <c r="J132" s="76"/>
      <c r="K132" s="76"/>
      <c r="L132" s="76"/>
      <c r="M132" s="76"/>
    </row>
    <row r="133" spans="1:13" s="79" customFormat="1" x14ac:dyDescent="0.4">
      <c r="A133" s="76"/>
      <c r="B133" s="76"/>
      <c r="C133" s="78"/>
      <c r="D133" s="78"/>
      <c r="E133" s="78"/>
      <c r="F133" s="78"/>
      <c r="H133" s="78"/>
      <c r="J133" s="76"/>
      <c r="K133" s="76"/>
      <c r="L133" s="76"/>
      <c r="M133" s="76"/>
    </row>
    <row r="134" spans="1:13" s="79" customFormat="1" x14ac:dyDescent="0.4">
      <c r="A134" s="76"/>
      <c r="B134" s="76"/>
      <c r="C134" s="78"/>
      <c r="D134" s="78"/>
      <c r="E134" s="78"/>
      <c r="F134" s="78"/>
      <c r="H134" s="78"/>
      <c r="J134" s="76"/>
      <c r="K134" s="76"/>
      <c r="L134" s="76"/>
      <c r="M134" s="76"/>
    </row>
    <row r="135" spans="1:13" s="79" customFormat="1" x14ac:dyDescent="0.4">
      <c r="A135" s="76"/>
      <c r="B135" s="76"/>
      <c r="C135" s="78"/>
      <c r="D135" s="78"/>
      <c r="E135" s="78"/>
      <c r="F135" s="78"/>
      <c r="H135" s="78"/>
      <c r="J135" s="76"/>
      <c r="K135" s="76"/>
      <c r="L135" s="76"/>
      <c r="M135" s="76"/>
    </row>
    <row r="136" spans="1:13" s="79" customFormat="1" x14ac:dyDescent="0.4">
      <c r="A136" s="76"/>
      <c r="B136" s="76"/>
      <c r="C136" s="78"/>
      <c r="D136" s="78"/>
      <c r="E136" s="78"/>
      <c r="F136" s="78"/>
      <c r="H136" s="78"/>
      <c r="J136" s="76"/>
      <c r="K136" s="76"/>
      <c r="L136" s="76"/>
      <c r="M136" s="76"/>
    </row>
    <row r="137" spans="1:13" s="79" customFormat="1" x14ac:dyDescent="0.4">
      <c r="A137" s="76"/>
      <c r="B137" s="76"/>
      <c r="C137" s="78"/>
      <c r="D137" s="78"/>
      <c r="E137" s="78"/>
      <c r="F137" s="78"/>
      <c r="H137" s="78"/>
      <c r="J137" s="76"/>
      <c r="K137" s="76"/>
      <c r="L137" s="76"/>
      <c r="M137" s="76"/>
    </row>
    <row r="138" spans="1:13" s="79" customFormat="1" x14ac:dyDescent="0.4">
      <c r="A138" s="76"/>
      <c r="B138" s="76"/>
      <c r="C138" s="78"/>
      <c r="D138" s="78"/>
      <c r="E138" s="78"/>
      <c r="F138" s="78"/>
      <c r="H138" s="78"/>
      <c r="J138" s="76"/>
      <c r="K138" s="76"/>
      <c r="L138" s="76"/>
      <c r="M138" s="76"/>
    </row>
    <row r="139" spans="1:13" s="79" customFormat="1" x14ac:dyDescent="0.4">
      <c r="A139" s="76"/>
      <c r="B139" s="76"/>
      <c r="C139" s="78"/>
      <c r="D139" s="78"/>
      <c r="E139" s="78"/>
      <c r="F139" s="78"/>
      <c r="H139" s="78"/>
      <c r="J139" s="76"/>
      <c r="K139" s="76"/>
      <c r="L139" s="76"/>
      <c r="M139" s="76"/>
    </row>
    <row r="140" spans="1:13" s="79" customFormat="1" x14ac:dyDescent="0.4">
      <c r="A140" s="76"/>
      <c r="B140" s="76"/>
      <c r="C140" s="78"/>
      <c r="D140" s="78"/>
      <c r="E140" s="78"/>
      <c r="F140" s="78"/>
      <c r="H140" s="78"/>
      <c r="J140" s="76"/>
      <c r="K140" s="76"/>
      <c r="L140" s="76"/>
      <c r="M140" s="76"/>
    </row>
    <row r="141" spans="1:13" s="79" customFormat="1" x14ac:dyDescent="0.4">
      <c r="A141" s="76"/>
      <c r="B141" s="76"/>
      <c r="C141" s="78"/>
      <c r="D141" s="78"/>
      <c r="E141" s="78"/>
      <c r="F141" s="78"/>
      <c r="H141" s="78"/>
      <c r="J141" s="76"/>
      <c r="K141" s="76"/>
      <c r="L141" s="76"/>
      <c r="M141" s="76"/>
    </row>
    <row r="142" spans="1:13" s="79" customFormat="1" x14ac:dyDescent="0.4">
      <c r="A142" s="76"/>
      <c r="B142" s="76"/>
      <c r="C142" s="78"/>
      <c r="D142" s="78"/>
      <c r="E142" s="78"/>
      <c r="F142" s="78"/>
      <c r="H142" s="78"/>
      <c r="J142" s="76"/>
      <c r="K142" s="76"/>
      <c r="L142" s="76"/>
      <c r="M142" s="76"/>
    </row>
    <row r="143" spans="1:13" s="79" customFormat="1" x14ac:dyDescent="0.4">
      <c r="A143" s="76"/>
      <c r="B143" s="76"/>
      <c r="C143" s="78"/>
      <c r="D143" s="78"/>
      <c r="E143" s="78"/>
      <c r="F143" s="78"/>
      <c r="H143" s="78"/>
      <c r="J143" s="76"/>
      <c r="K143" s="76"/>
      <c r="L143" s="76"/>
      <c r="M143" s="76"/>
    </row>
    <row r="144" spans="1:13" s="79" customFormat="1" x14ac:dyDescent="0.4">
      <c r="A144" s="76"/>
      <c r="B144" s="76"/>
      <c r="C144" s="78"/>
      <c r="D144" s="78"/>
      <c r="E144" s="78"/>
      <c r="F144" s="78"/>
      <c r="H144" s="78"/>
      <c r="J144" s="76"/>
      <c r="K144" s="76"/>
      <c r="L144" s="76"/>
      <c r="M144" s="76"/>
    </row>
    <row r="145" spans="1:16" s="79" customFormat="1" x14ac:dyDescent="0.4">
      <c r="A145" s="76"/>
      <c r="B145" s="76"/>
      <c r="C145" s="78"/>
      <c r="D145" s="78"/>
      <c r="E145" s="78"/>
      <c r="F145" s="78"/>
      <c r="H145" s="78"/>
      <c r="J145" s="76"/>
      <c r="K145" s="76"/>
      <c r="L145" s="76"/>
      <c r="M145" s="76"/>
    </row>
    <row r="146" spans="1:16" s="79" customFormat="1" x14ac:dyDescent="0.4">
      <c r="A146" s="76"/>
      <c r="B146" s="76"/>
      <c r="C146" s="78"/>
      <c r="D146" s="78"/>
      <c r="E146" s="78"/>
      <c r="F146" s="78"/>
      <c r="H146" s="78"/>
      <c r="J146" s="76"/>
      <c r="K146" s="76"/>
      <c r="L146" s="76"/>
      <c r="M146" s="76"/>
    </row>
    <row r="147" spans="1:16" s="79" customFormat="1" x14ac:dyDescent="0.4">
      <c r="A147" s="76"/>
      <c r="B147" s="76"/>
      <c r="C147" s="78"/>
      <c r="D147" s="78"/>
      <c r="E147" s="78"/>
      <c r="F147" s="78"/>
      <c r="H147" s="78"/>
      <c r="J147" s="76"/>
      <c r="K147" s="76"/>
      <c r="L147" s="76"/>
      <c r="M147" s="76"/>
    </row>
    <row r="148" spans="1:16" s="79" customFormat="1" x14ac:dyDescent="0.4">
      <c r="A148" s="76"/>
      <c r="B148" s="76"/>
      <c r="C148" s="78"/>
      <c r="D148" s="78"/>
      <c r="E148" s="78"/>
      <c r="F148" s="78"/>
      <c r="H148" s="78"/>
      <c r="J148" s="76"/>
      <c r="K148" s="76"/>
      <c r="L148" s="76"/>
      <c r="M148" s="76"/>
    </row>
    <row r="149" spans="1:16" s="79" customFormat="1" x14ac:dyDescent="0.4">
      <c r="A149" s="76"/>
      <c r="B149" s="76"/>
      <c r="C149" s="78"/>
      <c r="D149" s="78"/>
      <c r="E149" s="78"/>
      <c r="F149" s="78"/>
      <c r="H149" s="78"/>
      <c r="J149" s="76"/>
      <c r="K149" s="76"/>
      <c r="L149" s="76"/>
      <c r="M149" s="76"/>
    </row>
    <row r="150" spans="1:16" s="79" customFormat="1" x14ac:dyDescent="0.4">
      <c r="A150" s="76"/>
      <c r="B150" s="76"/>
      <c r="C150" s="78"/>
      <c r="D150" s="78"/>
      <c r="E150" s="78"/>
      <c r="F150" s="78"/>
      <c r="H150" s="78"/>
      <c r="J150" s="76"/>
      <c r="K150" s="76"/>
      <c r="L150" s="76"/>
      <c r="M150" s="76"/>
    </row>
    <row r="151" spans="1:16" s="79" customFormat="1" x14ac:dyDescent="0.4">
      <c r="A151" s="76"/>
      <c r="B151" s="76"/>
      <c r="C151" s="78"/>
      <c r="D151" s="78"/>
      <c r="E151" s="78"/>
      <c r="F151" s="78"/>
      <c r="H151" s="78"/>
      <c r="J151" s="76"/>
      <c r="K151" s="76"/>
      <c r="L151" s="76"/>
      <c r="M151" s="76"/>
    </row>
    <row r="152" spans="1:16" s="79" customFormat="1" x14ac:dyDescent="0.4">
      <c r="A152" s="76"/>
      <c r="B152" s="76"/>
      <c r="C152" s="78"/>
      <c r="D152" s="78"/>
      <c r="E152" s="78"/>
      <c r="F152" s="78"/>
      <c r="H152" s="78"/>
      <c r="J152" s="76"/>
      <c r="K152" s="76"/>
      <c r="L152" s="76"/>
      <c r="M152" s="76"/>
    </row>
    <row r="153" spans="1:16" s="79" customFormat="1" x14ac:dyDescent="0.4">
      <c r="A153" s="76"/>
      <c r="B153" s="76"/>
      <c r="C153" s="78"/>
      <c r="D153" s="78"/>
      <c r="E153" s="78"/>
      <c r="F153" s="78"/>
      <c r="H153" s="78"/>
      <c r="J153" s="76"/>
      <c r="K153" s="76"/>
      <c r="L153" s="76"/>
      <c r="M153" s="76"/>
    </row>
    <row r="154" spans="1:16" s="79" customFormat="1" x14ac:dyDescent="0.4">
      <c r="A154" s="76"/>
      <c r="B154" s="76"/>
      <c r="C154" s="78"/>
      <c r="D154" s="78"/>
      <c r="E154" s="78"/>
      <c r="F154" s="78"/>
      <c r="H154" s="78"/>
      <c r="J154" s="76"/>
      <c r="K154" s="76"/>
      <c r="L154" s="76"/>
      <c r="M154" s="76"/>
    </row>
    <row r="155" spans="1:16" s="79" customFormat="1" x14ac:dyDescent="0.4">
      <c r="A155" s="76"/>
      <c r="B155" s="76"/>
      <c r="C155" s="78"/>
      <c r="D155" s="78"/>
      <c r="E155" s="78"/>
      <c r="F155" s="78"/>
      <c r="H155" s="78"/>
      <c r="J155" s="76"/>
      <c r="K155" s="76"/>
      <c r="L155" s="76"/>
      <c r="M155" s="76"/>
    </row>
    <row r="156" spans="1:16" s="79" customFormat="1" x14ac:dyDescent="0.4">
      <c r="A156" s="76"/>
      <c r="B156" s="76"/>
      <c r="C156" s="78"/>
      <c r="D156" s="78"/>
      <c r="E156" s="78"/>
      <c r="F156" s="78"/>
      <c r="H156" s="78"/>
      <c r="J156" s="76"/>
      <c r="K156" s="76"/>
      <c r="L156" s="76"/>
      <c r="M156" s="76"/>
    </row>
    <row r="157" spans="1:16" s="79" customFormat="1" x14ac:dyDescent="0.4">
      <c r="A157" s="76"/>
      <c r="B157" s="76"/>
      <c r="C157" s="78"/>
      <c r="D157" s="78"/>
      <c r="E157" s="78"/>
      <c r="F157" s="78"/>
      <c r="H157" s="78"/>
      <c r="J157" s="76"/>
      <c r="K157" s="76"/>
      <c r="L157" s="76"/>
      <c r="M157" s="76"/>
    </row>
    <row r="158" spans="1:16" s="79" customFormat="1" x14ac:dyDescent="0.4">
      <c r="A158" s="76"/>
      <c r="B158" s="76"/>
      <c r="C158" s="78"/>
      <c r="D158" s="78"/>
      <c r="E158" s="78"/>
      <c r="F158" s="78"/>
      <c r="H158" s="78"/>
      <c r="J158" s="76"/>
      <c r="K158" s="76"/>
      <c r="L158" s="76"/>
      <c r="M158" s="76"/>
      <c r="N158" s="76"/>
      <c r="O158" s="76"/>
    </row>
    <row r="159" spans="1:16" s="79" customFormat="1" x14ac:dyDescent="0.4">
      <c r="A159" s="76"/>
      <c r="B159" s="76"/>
      <c r="C159" s="78"/>
      <c r="D159" s="78"/>
      <c r="E159" s="78"/>
      <c r="F159" s="78"/>
      <c r="H159" s="78"/>
      <c r="J159" s="76"/>
      <c r="K159" s="76"/>
      <c r="L159" s="76"/>
      <c r="M159" s="76"/>
      <c r="N159" s="76"/>
      <c r="O159" s="76"/>
      <c r="P159" s="76"/>
    </row>
    <row r="160" spans="1:16" x14ac:dyDescent="0.4">
      <c r="H160" s="78"/>
      <c r="N160" s="79"/>
      <c r="O160" s="79"/>
    </row>
    <row r="161" spans="1:16" x14ac:dyDescent="0.4">
      <c r="H161" s="78"/>
      <c r="P161" s="79"/>
    </row>
    <row r="162" spans="1:16" s="79" customFormat="1" x14ac:dyDescent="0.4">
      <c r="A162" s="76"/>
      <c r="B162" s="76"/>
      <c r="C162" s="78"/>
      <c r="D162" s="78"/>
      <c r="E162" s="78"/>
      <c r="F162" s="78"/>
      <c r="H162" s="78"/>
      <c r="J162" s="76"/>
      <c r="K162" s="76"/>
      <c r="L162" s="76"/>
      <c r="M162" s="76"/>
      <c r="N162" s="76"/>
      <c r="O162" s="76"/>
      <c r="P162" s="76"/>
    </row>
    <row r="163" spans="1:16" x14ac:dyDescent="0.4">
      <c r="H163" s="78"/>
    </row>
    <row r="164" spans="1:16" x14ac:dyDescent="0.4">
      <c r="H164" s="78"/>
    </row>
    <row r="165" spans="1:16" x14ac:dyDescent="0.4">
      <c r="H165" s="78"/>
    </row>
    <row r="166" spans="1:16" x14ac:dyDescent="0.4">
      <c r="H166" s="78"/>
    </row>
    <row r="167" spans="1:16" x14ac:dyDescent="0.4">
      <c r="H167" s="78"/>
    </row>
    <row r="168" spans="1:16" x14ac:dyDescent="0.4">
      <c r="H168" s="78"/>
    </row>
    <row r="169" spans="1:16" x14ac:dyDescent="0.4">
      <c r="H169" s="78"/>
    </row>
    <row r="170" spans="1:16" x14ac:dyDescent="0.4">
      <c r="H170" s="78"/>
    </row>
    <row r="171" spans="1:16" x14ac:dyDescent="0.4">
      <c r="H171" s="78"/>
    </row>
    <row r="172" spans="1:16" x14ac:dyDescent="0.4">
      <c r="H172" s="78"/>
    </row>
    <row r="173" spans="1:16" x14ac:dyDescent="0.4">
      <c r="H173" s="78"/>
    </row>
    <row r="174" spans="1:16" x14ac:dyDescent="0.4">
      <c r="H174" s="78"/>
    </row>
    <row r="175" spans="1:16" x14ac:dyDescent="0.4">
      <c r="H175" s="78"/>
    </row>
    <row r="176" spans="1:16" x14ac:dyDescent="0.4">
      <c r="A176" s="79"/>
      <c r="B176" s="79"/>
      <c r="H176" s="78"/>
    </row>
    <row r="183" spans="3:13" x14ac:dyDescent="0.4">
      <c r="L183" s="79"/>
      <c r="M183" s="79"/>
    </row>
    <row r="184" spans="3:13" x14ac:dyDescent="0.4">
      <c r="C184" s="76"/>
      <c r="D184" s="76"/>
      <c r="E184" s="76"/>
      <c r="F184" s="76"/>
      <c r="G184" s="76"/>
      <c r="I184" s="76"/>
      <c r="J184" s="79"/>
      <c r="K184" s="79"/>
    </row>
    <row r="187" spans="3:13" x14ac:dyDescent="0.4">
      <c r="C187" s="76"/>
      <c r="D187" s="76"/>
      <c r="E187" s="76"/>
      <c r="F187" s="76"/>
      <c r="G187" s="76"/>
      <c r="I187" s="76"/>
    </row>
    <row r="188" spans="3:13" x14ac:dyDescent="0.4">
      <c r="C188" s="76"/>
      <c r="D188" s="76"/>
      <c r="E188" s="76"/>
      <c r="F188" s="76"/>
      <c r="G188" s="76"/>
      <c r="I188" s="76"/>
    </row>
    <row r="189" spans="3:13" x14ac:dyDescent="0.4">
      <c r="C189" s="76"/>
      <c r="D189" s="76"/>
      <c r="E189" s="76"/>
      <c r="F189" s="76"/>
      <c r="G189" s="76"/>
      <c r="I189" s="76"/>
    </row>
    <row r="190" spans="3:13" x14ac:dyDescent="0.4">
      <c r="C190" s="76"/>
      <c r="D190" s="76"/>
      <c r="E190" s="76"/>
      <c r="F190" s="76"/>
      <c r="G190" s="76"/>
      <c r="I190" s="76"/>
    </row>
    <row r="191" spans="3:13" x14ac:dyDescent="0.4">
      <c r="C191" s="76"/>
      <c r="D191" s="76"/>
      <c r="E191" s="76"/>
      <c r="F191" s="76"/>
      <c r="G191" s="76"/>
      <c r="I191" s="76"/>
    </row>
    <row r="192" spans="3:13" x14ac:dyDescent="0.4">
      <c r="C192" s="76"/>
      <c r="D192" s="76"/>
      <c r="E192" s="76"/>
      <c r="F192" s="76"/>
      <c r="G192" s="76"/>
      <c r="I192" s="76"/>
    </row>
    <row r="193" s="76" customFormat="1" x14ac:dyDescent="0.4"/>
    <row r="194" s="76" customFormat="1" x14ac:dyDescent="0.4"/>
    <row r="195" s="76" customFormat="1" x14ac:dyDescent="0.4"/>
    <row r="196" s="76" customFormat="1" x14ac:dyDescent="0.4"/>
    <row r="197" s="76" customFormat="1" x14ac:dyDescent="0.4"/>
    <row r="198" s="76" customFormat="1" x14ac:dyDescent="0.4"/>
    <row r="199" s="76" customFormat="1" x14ac:dyDescent="0.4"/>
    <row r="200" s="76" customFormat="1" x14ac:dyDescent="0.4"/>
    <row r="201" s="76" customFormat="1" x14ac:dyDescent="0.4"/>
    <row r="202" s="76" customFormat="1" x14ac:dyDescent="0.4"/>
    <row r="203" s="76" customFormat="1" x14ac:dyDescent="0.4"/>
    <row r="204" s="76" customFormat="1" x14ac:dyDescent="0.4"/>
    <row r="205" s="76" customFormat="1" x14ac:dyDescent="0.4"/>
    <row r="206" s="76" customFormat="1" x14ac:dyDescent="0.4"/>
    <row r="207" s="76" customFormat="1" x14ac:dyDescent="0.4"/>
    <row r="208" s="76" customFormat="1" x14ac:dyDescent="0.4"/>
    <row r="209" s="76" customFormat="1" x14ac:dyDescent="0.4"/>
    <row r="210" s="76" customFormat="1" x14ac:dyDescent="0.4"/>
    <row r="211" s="76" customFormat="1" x14ac:dyDescent="0.4"/>
    <row r="212" s="76" customFormat="1" x14ac:dyDescent="0.4"/>
    <row r="213" s="76" customFormat="1" x14ac:dyDescent="0.4"/>
    <row r="214" s="76" customFormat="1" x14ac:dyDescent="0.4"/>
    <row r="215" s="76" customFormat="1" x14ac:dyDescent="0.4"/>
    <row r="216" s="76" customFormat="1" x14ac:dyDescent="0.4"/>
    <row r="217" s="76" customFormat="1" x14ac:dyDescent="0.4"/>
    <row r="218" s="76" customFormat="1" x14ac:dyDescent="0.4"/>
    <row r="219" s="76" customFormat="1" x14ac:dyDescent="0.4"/>
    <row r="220" s="76" customFormat="1" x14ac:dyDescent="0.4"/>
    <row r="221" s="76" customFormat="1" x14ac:dyDescent="0.4"/>
    <row r="222" s="76" customFormat="1" x14ac:dyDescent="0.4"/>
    <row r="223" s="76" customFormat="1" x14ac:dyDescent="0.4"/>
    <row r="224" s="76" customFormat="1" x14ac:dyDescent="0.4"/>
    <row r="225" s="76" customFormat="1" x14ac:dyDescent="0.4"/>
    <row r="226" s="76" customFormat="1" x14ac:dyDescent="0.4"/>
    <row r="227" s="76" customFormat="1" x14ac:dyDescent="0.4"/>
    <row r="228" s="76" customFormat="1" x14ac:dyDescent="0.4"/>
    <row r="229" s="76" customFormat="1" x14ac:dyDescent="0.4"/>
    <row r="230" s="76" customFormat="1" x14ac:dyDescent="0.4"/>
    <row r="231" s="76" customFormat="1" x14ac:dyDescent="0.4"/>
    <row r="232" s="76" customFormat="1" x14ac:dyDescent="0.4"/>
    <row r="233" s="76" customFormat="1" x14ac:dyDescent="0.4"/>
    <row r="234" s="76" customFormat="1" x14ac:dyDescent="0.4"/>
    <row r="235" s="76" customFormat="1" x14ac:dyDescent="0.4"/>
    <row r="236" s="76" customFormat="1" x14ac:dyDescent="0.4"/>
    <row r="237" s="76" customFormat="1" x14ac:dyDescent="0.4"/>
    <row r="238" s="76" customFormat="1" x14ac:dyDescent="0.4"/>
    <row r="239" s="76" customFormat="1" x14ac:dyDescent="0.4"/>
    <row r="240" s="76" customFormat="1" x14ac:dyDescent="0.4"/>
    <row r="241" s="76" customFormat="1" x14ac:dyDescent="0.4"/>
    <row r="242" s="76" customFormat="1" x14ac:dyDescent="0.4"/>
    <row r="243" s="76" customFormat="1" x14ac:dyDescent="0.4"/>
    <row r="244" s="76" customFormat="1" x14ac:dyDescent="0.4"/>
    <row r="245" s="76" customFormat="1" x14ac:dyDescent="0.4"/>
    <row r="246" s="76" customFormat="1" x14ac:dyDescent="0.4"/>
    <row r="247" s="76" customFormat="1" x14ac:dyDescent="0.4"/>
    <row r="248" s="76" customFormat="1" x14ac:dyDescent="0.4"/>
    <row r="249" s="76" customFormat="1" x14ac:dyDescent="0.4"/>
    <row r="250" s="76" customFormat="1" x14ac:dyDescent="0.4"/>
    <row r="251" s="76" customFormat="1" x14ac:dyDescent="0.4"/>
    <row r="252" s="76" customFormat="1" x14ac:dyDescent="0.4"/>
    <row r="253" s="76" customFormat="1" x14ac:dyDescent="0.4"/>
    <row r="254" s="76" customFormat="1" x14ac:dyDescent="0.4"/>
    <row r="255" s="76" customFormat="1" x14ac:dyDescent="0.4"/>
    <row r="256" s="76" customFormat="1" x14ac:dyDescent="0.4"/>
    <row r="257" s="76" customFormat="1" x14ac:dyDescent="0.4"/>
    <row r="258" s="76" customFormat="1" x14ac:dyDescent="0.4"/>
    <row r="259" s="76" customFormat="1" x14ac:dyDescent="0.4"/>
    <row r="260" s="76" customFormat="1" x14ac:dyDescent="0.4"/>
    <row r="261" s="76" customFormat="1" x14ac:dyDescent="0.4"/>
    <row r="262" s="76" customFormat="1" x14ac:dyDescent="0.4"/>
    <row r="263" s="76" customFormat="1" x14ac:dyDescent="0.4"/>
    <row r="264" s="76" customFormat="1" x14ac:dyDescent="0.4"/>
    <row r="265" s="76" customFormat="1" x14ac:dyDescent="0.4"/>
    <row r="266" s="76" customFormat="1" x14ac:dyDescent="0.4"/>
    <row r="267" s="76" customFormat="1" x14ac:dyDescent="0.4"/>
    <row r="268" s="76" customFormat="1" x14ac:dyDescent="0.4"/>
    <row r="269" s="76" customFormat="1" x14ac:dyDescent="0.4"/>
    <row r="270" s="76" customFormat="1" x14ac:dyDescent="0.4"/>
    <row r="271" s="76" customFormat="1" x14ac:dyDescent="0.4"/>
    <row r="272" s="76" customFormat="1" x14ac:dyDescent="0.4"/>
    <row r="273" spans="1:16" x14ac:dyDescent="0.4">
      <c r="C273" s="76"/>
      <c r="D273" s="76"/>
      <c r="E273" s="76"/>
      <c r="F273" s="76"/>
      <c r="G273" s="76"/>
      <c r="I273" s="76"/>
    </row>
    <row r="274" spans="1:16" x14ac:dyDescent="0.4">
      <c r="C274" s="76"/>
      <c r="D274" s="76"/>
      <c r="E274" s="76"/>
      <c r="F274" s="76"/>
      <c r="G274" s="76"/>
      <c r="I274" s="76"/>
    </row>
    <row r="275" spans="1:16" x14ac:dyDescent="0.4">
      <c r="C275" s="76"/>
      <c r="D275" s="76"/>
      <c r="E275" s="76"/>
      <c r="F275" s="76"/>
      <c r="G275" s="76"/>
      <c r="I275" s="76"/>
    </row>
    <row r="276" spans="1:16" x14ac:dyDescent="0.4">
      <c r="C276" s="76"/>
      <c r="D276" s="76"/>
      <c r="E276" s="76"/>
      <c r="F276" s="76"/>
      <c r="G276" s="76"/>
      <c r="I276" s="76"/>
    </row>
    <row r="277" spans="1:16" x14ac:dyDescent="0.4">
      <c r="C277" s="76"/>
      <c r="D277" s="76"/>
      <c r="E277" s="76"/>
      <c r="F277" s="76"/>
      <c r="G277" s="76"/>
      <c r="I277" s="76"/>
    </row>
    <row r="278" spans="1:16" x14ac:dyDescent="0.4">
      <c r="C278" s="76"/>
      <c r="D278" s="76"/>
      <c r="E278" s="76"/>
      <c r="F278" s="76"/>
      <c r="G278" s="76"/>
      <c r="I278" s="76"/>
      <c r="N278" s="78"/>
      <c r="O278" s="78"/>
    </row>
    <row r="279" spans="1:16" x14ac:dyDescent="0.4">
      <c r="C279" s="76"/>
      <c r="D279" s="76"/>
      <c r="E279" s="76"/>
      <c r="F279" s="76"/>
      <c r="G279" s="76"/>
      <c r="I279" s="76"/>
      <c r="N279" s="78"/>
      <c r="O279" s="78"/>
      <c r="P279" s="78"/>
    </row>
    <row r="280" spans="1:16" s="78" customFormat="1" x14ac:dyDescent="0.4">
      <c r="A280" s="76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</row>
    <row r="281" spans="1:16" s="78" customFormat="1" x14ac:dyDescent="0.4">
      <c r="A281" s="76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</row>
    <row r="282" spans="1:16" s="78" customFormat="1" x14ac:dyDescent="0.4">
      <c r="A282" s="76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</row>
    <row r="283" spans="1:16" s="78" customFormat="1" x14ac:dyDescent="0.4">
      <c r="A283" s="76"/>
      <c r="B283" s="76"/>
      <c r="G283" s="79"/>
      <c r="H283" s="76"/>
      <c r="I283" s="79"/>
      <c r="J283" s="76"/>
      <c r="K283" s="76"/>
      <c r="L283" s="76"/>
      <c r="M283" s="76"/>
    </row>
    <row r="284" spans="1:16" s="78" customFormat="1" x14ac:dyDescent="0.4">
      <c r="A284" s="76"/>
      <c r="B284" s="76"/>
      <c r="G284" s="79"/>
      <c r="H284" s="76"/>
      <c r="I284" s="79"/>
      <c r="J284" s="76"/>
      <c r="K284" s="76"/>
      <c r="L284" s="76"/>
      <c r="M284" s="76"/>
    </row>
    <row r="285" spans="1:16" s="78" customFormat="1" x14ac:dyDescent="0.4">
      <c r="A285" s="76"/>
      <c r="B285" s="76"/>
      <c r="G285" s="79"/>
      <c r="H285" s="76"/>
      <c r="I285" s="79"/>
      <c r="J285" s="76"/>
      <c r="K285" s="76"/>
      <c r="L285" s="76"/>
      <c r="M285" s="76"/>
    </row>
    <row r="286" spans="1:16" s="78" customFormat="1" x14ac:dyDescent="0.4">
      <c r="A286" s="76"/>
      <c r="B286" s="76"/>
      <c r="G286" s="79"/>
      <c r="H286" s="76"/>
      <c r="I286" s="79"/>
      <c r="J286" s="76"/>
      <c r="K286" s="76"/>
      <c r="L286" s="76"/>
      <c r="M286" s="76"/>
    </row>
    <row r="287" spans="1:16" s="78" customFormat="1" x14ac:dyDescent="0.4">
      <c r="A287" s="76"/>
      <c r="B287" s="76"/>
      <c r="G287" s="79"/>
      <c r="H287" s="76"/>
      <c r="I287" s="79"/>
      <c r="J287" s="76"/>
      <c r="K287" s="76"/>
      <c r="L287" s="76"/>
      <c r="M287" s="76"/>
    </row>
    <row r="288" spans="1:16" s="78" customFormat="1" x14ac:dyDescent="0.4">
      <c r="A288" s="76"/>
      <c r="B288" s="76"/>
      <c r="G288" s="79"/>
      <c r="H288" s="76"/>
      <c r="I288" s="79"/>
      <c r="J288" s="76"/>
      <c r="K288" s="76"/>
      <c r="L288" s="76"/>
      <c r="M288" s="76"/>
    </row>
    <row r="289" spans="1:13" s="78" customFormat="1" x14ac:dyDescent="0.4">
      <c r="A289" s="76"/>
      <c r="B289" s="76"/>
      <c r="G289" s="79"/>
      <c r="H289" s="76"/>
      <c r="I289" s="79"/>
      <c r="J289" s="76"/>
      <c r="K289" s="76"/>
      <c r="L289" s="76"/>
      <c r="M289" s="76"/>
    </row>
    <row r="290" spans="1:13" s="78" customFormat="1" x14ac:dyDescent="0.4">
      <c r="A290" s="76"/>
      <c r="B290" s="76"/>
      <c r="G290" s="79"/>
      <c r="H290" s="76"/>
      <c r="I290" s="79"/>
      <c r="J290" s="76"/>
      <c r="K290" s="76"/>
      <c r="L290" s="76"/>
      <c r="M290" s="76"/>
    </row>
    <row r="291" spans="1:13" s="78" customFormat="1" x14ac:dyDescent="0.4">
      <c r="A291" s="76"/>
      <c r="B291" s="76"/>
      <c r="G291" s="79"/>
      <c r="H291" s="76"/>
      <c r="I291" s="79"/>
      <c r="J291" s="76"/>
      <c r="K291" s="76"/>
      <c r="L291" s="76"/>
      <c r="M291" s="76"/>
    </row>
    <row r="292" spans="1:13" s="78" customFormat="1" x14ac:dyDescent="0.4">
      <c r="A292" s="76"/>
      <c r="B292" s="76"/>
      <c r="G292" s="79"/>
      <c r="H292" s="76"/>
      <c r="I292" s="79"/>
      <c r="J292" s="76"/>
      <c r="K292" s="76"/>
      <c r="L292" s="76"/>
      <c r="M292" s="76"/>
    </row>
    <row r="293" spans="1:13" s="78" customFormat="1" x14ac:dyDescent="0.4">
      <c r="A293" s="76"/>
      <c r="B293" s="76"/>
      <c r="G293" s="79"/>
      <c r="H293" s="76"/>
      <c r="I293" s="79"/>
      <c r="J293" s="76"/>
      <c r="K293" s="76"/>
      <c r="L293" s="76"/>
      <c r="M293" s="76"/>
    </row>
    <row r="294" spans="1:13" s="78" customFormat="1" x14ac:dyDescent="0.4">
      <c r="A294" s="76"/>
      <c r="B294" s="76"/>
      <c r="G294" s="79"/>
      <c r="H294" s="76"/>
      <c r="I294" s="79"/>
      <c r="J294" s="76"/>
      <c r="K294" s="76"/>
      <c r="L294" s="76"/>
      <c r="M294" s="76"/>
    </row>
    <row r="295" spans="1:13" s="78" customFormat="1" x14ac:dyDescent="0.4">
      <c r="A295" s="76"/>
      <c r="B295" s="76"/>
      <c r="G295" s="79"/>
      <c r="H295" s="76"/>
      <c r="I295" s="79"/>
      <c r="J295" s="76"/>
      <c r="K295" s="76"/>
      <c r="L295" s="76"/>
      <c r="M295" s="76"/>
    </row>
    <row r="296" spans="1:13" s="78" customFormat="1" x14ac:dyDescent="0.4">
      <c r="A296" s="76"/>
      <c r="B296" s="76"/>
      <c r="G296" s="79"/>
      <c r="H296" s="76"/>
      <c r="I296" s="79"/>
      <c r="J296" s="76"/>
      <c r="K296" s="76"/>
      <c r="L296" s="76"/>
      <c r="M296" s="76"/>
    </row>
    <row r="297" spans="1:13" s="78" customFormat="1" x14ac:dyDescent="0.4">
      <c r="A297" s="76"/>
      <c r="B297" s="76"/>
      <c r="C297" s="14"/>
      <c r="G297" s="79"/>
      <c r="H297" s="76"/>
      <c r="I297" s="79"/>
      <c r="J297" s="76"/>
      <c r="K297" s="76"/>
      <c r="L297" s="76"/>
      <c r="M297" s="76"/>
    </row>
    <row r="298" spans="1:13" s="78" customFormat="1" x14ac:dyDescent="0.4">
      <c r="A298" s="76"/>
      <c r="B298" s="76"/>
      <c r="C298" s="14"/>
      <c r="G298" s="79"/>
      <c r="H298" s="76"/>
      <c r="I298" s="79"/>
      <c r="J298" s="76"/>
      <c r="K298" s="76"/>
      <c r="L298" s="76"/>
      <c r="M298" s="76"/>
    </row>
    <row r="299" spans="1:13" s="78" customFormat="1" x14ac:dyDescent="0.4">
      <c r="A299" s="76"/>
      <c r="B299" s="76"/>
      <c r="C299" s="14"/>
      <c r="G299" s="79"/>
      <c r="H299" s="76"/>
      <c r="I299" s="79"/>
      <c r="J299" s="76"/>
      <c r="K299" s="76"/>
      <c r="L299" s="76"/>
      <c r="M299" s="76"/>
    </row>
    <row r="300" spans="1:13" s="78" customFormat="1" x14ac:dyDescent="0.4">
      <c r="A300" s="76"/>
      <c r="B300" s="76"/>
      <c r="C300" s="14"/>
      <c r="G300" s="79"/>
      <c r="H300" s="76"/>
      <c r="I300" s="79"/>
      <c r="J300" s="76"/>
      <c r="K300" s="76"/>
      <c r="L300" s="76"/>
      <c r="M300" s="76"/>
    </row>
    <row r="301" spans="1:13" s="78" customFormat="1" x14ac:dyDescent="0.4">
      <c r="A301" s="76"/>
      <c r="B301" s="76"/>
      <c r="C301" s="14"/>
      <c r="G301" s="79"/>
      <c r="H301" s="76"/>
      <c r="I301" s="79"/>
      <c r="J301" s="76"/>
      <c r="K301" s="76"/>
      <c r="L301" s="76"/>
      <c r="M301" s="76"/>
    </row>
    <row r="302" spans="1:13" s="78" customFormat="1" x14ac:dyDescent="0.4">
      <c r="A302" s="76"/>
      <c r="B302" s="76"/>
      <c r="C302" s="14"/>
      <c r="G302" s="79"/>
      <c r="H302" s="76"/>
      <c r="I302" s="79"/>
      <c r="J302" s="76"/>
      <c r="K302" s="76"/>
      <c r="L302" s="76"/>
      <c r="M302" s="76"/>
    </row>
    <row r="303" spans="1:13" s="78" customFormat="1" x14ac:dyDescent="0.4">
      <c r="A303" s="76"/>
      <c r="B303" s="76"/>
      <c r="C303" s="14"/>
      <c r="G303" s="79"/>
      <c r="H303" s="76"/>
      <c r="I303" s="79"/>
      <c r="J303" s="76"/>
      <c r="K303" s="76"/>
      <c r="L303" s="76"/>
      <c r="M303" s="76"/>
    </row>
    <row r="304" spans="1:13" s="78" customFormat="1" x14ac:dyDescent="0.4">
      <c r="A304" s="76"/>
      <c r="B304" s="76"/>
      <c r="C304" s="14"/>
      <c r="G304" s="79"/>
      <c r="H304" s="76"/>
      <c r="I304" s="79"/>
      <c r="J304" s="76"/>
      <c r="K304" s="76"/>
      <c r="L304" s="76"/>
      <c r="M304" s="76"/>
    </row>
    <row r="305" spans="1:16" s="78" customFormat="1" x14ac:dyDescent="0.4">
      <c r="A305" s="76"/>
      <c r="B305" s="76"/>
      <c r="C305" s="14"/>
      <c r="G305" s="79"/>
      <c r="H305" s="76"/>
      <c r="I305" s="79"/>
      <c r="J305" s="76"/>
      <c r="K305" s="76"/>
      <c r="L305" s="76"/>
      <c r="M305" s="76"/>
    </row>
    <row r="306" spans="1:16" s="78" customFormat="1" x14ac:dyDescent="0.4">
      <c r="A306" s="76"/>
      <c r="B306" s="76"/>
      <c r="C306" s="14"/>
      <c r="G306" s="79"/>
      <c r="H306" s="76"/>
      <c r="I306" s="79"/>
      <c r="J306" s="76"/>
      <c r="K306" s="76"/>
      <c r="L306" s="76"/>
      <c r="M306" s="76"/>
    </row>
    <row r="307" spans="1:16" s="78" customFormat="1" x14ac:dyDescent="0.4">
      <c r="A307" s="76"/>
      <c r="B307" s="76"/>
      <c r="C307" s="14"/>
      <c r="G307" s="79"/>
      <c r="H307" s="76"/>
      <c r="I307" s="79"/>
      <c r="J307" s="76"/>
      <c r="K307" s="76"/>
      <c r="L307" s="76"/>
      <c r="M307" s="76"/>
    </row>
    <row r="308" spans="1:16" s="78" customFormat="1" x14ac:dyDescent="0.4">
      <c r="A308" s="76"/>
      <c r="B308" s="76"/>
      <c r="C308" s="14"/>
      <c r="G308" s="79"/>
      <c r="H308" s="76"/>
      <c r="I308" s="79"/>
      <c r="J308" s="76"/>
      <c r="K308" s="76"/>
      <c r="L308" s="76"/>
      <c r="M308" s="76"/>
    </row>
    <row r="309" spans="1:16" s="78" customFormat="1" x14ac:dyDescent="0.4">
      <c r="A309" s="76"/>
      <c r="B309" s="76"/>
      <c r="C309" s="14"/>
      <c r="G309" s="79"/>
      <c r="H309" s="76"/>
      <c r="I309" s="79"/>
      <c r="J309" s="76"/>
      <c r="K309" s="76"/>
      <c r="L309" s="76"/>
      <c r="M309" s="76"/>
    </row>
    <row r="310" spans="1:16" s="78" customFormat="1" x14ac:dyDescent="0.4">
      <c r="A310" s="76"/>
      <c r="B310" s="76"/>
      <c r="C310" s="14"/>
      <c r="G310" s="79"/>
      <c r="H310" s="76"/>
      <c r="I310" s="79"/>
      <c r="J310" s="76"/>
      <c r="K310" s="76"/>
      <c r="L310" s="76"/>
      <c r="M310" s="76"/>
    </row>
    <row r="311" spans="1:16" s="78" customFormat="1" x14ac:dyDescent="0.4">
      <c r="A311" s="76"/>
      <c r="B311" s="76"/>
      <c r="C311" s="14"/>
      <c r="G311" s="79"/>
      <c r="H311" s="76"/>
      <c r="I311" s="79"/>
      <c r="J311" s="76"/>
      <c r="K311" s="76"/>
      <c r="L311" s="76"/>
      <c r="M311" s="76"/>
    </row>
    <row r="312" spans="1:16" s="78" customFormat="1" x14ac:dyDescent="0.4">
      <c r="A312" s="76"/>
      <c r="B312" s="76"/>
      <c r="C312" s="14"/>
      <c r="G312" s="79"/>
      <c r="H312" s="76"/>
      <c r="I312" s="79"/>
      <c r="J312" s="76"/>
      <c r="K312" s="76"/>
      <c r="L312" s="76"/>
      <c r="M312" s="76"/>
      <c r="N312" s="76"/>
      <c r="O312" s="76"/>
    </row>
    <row r="313" spans="1:16" s="78" customFormat="1" x14ac:dyDescent="0.4">
      <c r="A313" s="76"/>
      <c r="B313" s="76"/>
      <c r="C313" s="14"/>
      <c r="G313" s="79"/>
      <c r="H313" s="76"/>
      <c r="I313" s="79"/>
      <c r="J313" s="76"/>
      <c r="K313" s="76"/>
      <c r="L313" s="76"/>
      <c r="M313" s="76"/>
      <c r="N313" s="76"/>
      <c r="O313" s="76"/>
      <c r="P313" s="76"/>
    </row>
    <row r="314" spans="1:16" x14ac:dyDescent="0.4">
      <c r="C314" s="14"/>
    </row>
    <row r="315" spans="1:16" x14ac:dyDescent="0.4">
      <c r="C315" s="14"/>
    </row>
    <row r="316" spans="1:16" x14ac:dyDescent="0.4">
      <c r="C316" s="14"/>
    </row>
    <row r="317" spans="1:16" x14ac:dyDescent="0.4">
      <c r="C317" s="14"/>
    </row>
    <row r="318" spans="1:16" x14ac:dyDescent="0.4">
      <c r="C318" s="14"/>
    </row>
    <row r="319" spans="1:16" x14ac:dyDescent="0.4">
      <c r="C319" s="14"/>
    </row>
    <row r="320" spans="1:16" x14ac:dyDescent="0.4">
      <c r="C320" s="14"/>
    </row>
    <row r="321" spans="3:9" x14ac:dyDescent="0.4">
      <c r="C321" s="14"/>
    </row>
    <row r="322" spans="3:9" x14ac:dyDescent="0.4">
      <c r="C322" s="14"/>
    </row>
    <row r="323" spans="3:9" x14ac:dyDescent="0.4">
      <c r="C323" s="14"/>
    </row>
    <row r="324" spans="3:9" x14ac:dyDescent="0.4">
      <c r="C324" s="14"/>
    </row>
    <row r="325" spans="3:9" x14ac:dyDescent="0.4">
      <c r="C325" s="14"/>
    </row>
    <row r="326" spans="3:9" x14ac:dyDescent="0.4">
      <c r="C326" s="14"/>
    </row>
    <row r="327" spans="3:9" x14ac:dyDescent="0.4">
      <c r="C327" s="14"/>
    </row>
    <row r="328" spans="3:9" x14ac:dyDescent="0.4">
      <c r="C328" s="14"/>
      <c r="D328" s="76"/>
      <c r="E328" s="76"/>
      <c r="F328" s="76"/>
      <c r="G328" s="76"/>
      <c r="I328" s="76"/>
    </row>
    <row r="331" spans="3:9" x14ac:dyDescent="0.4">
      <c r="C331" s="76"/>
      <c r="D331" s="76"/>
      <c r="E331" s="76"/>
      <c r="F331" s="76"/>
      <c r="G331" s="76"/>
      <c r="I331" s="76"/>
    </row>
    <row r="332" spans="3:9" x14ac:dyDescent="0.4">
      <c r="C332" s="76"/>
      <c r="D332" s="76"/>
      <c r="E332" s="76"/>
      <c r="F332" s="76"/>
      <c r="G332" s="76"/>
      <c r="I332" s="76"/>
    </row>
    <row r="333" spans="3:9" x14ac:dyDescent="0.4">
      <c r="C333" s="76"/>
      <c r="D333" s="76"/>
      <c r="E333" s="76"/>
      <c r="F333" s="76"/>
      <c r="G333" s="76"/>
      <c r="I333" s="76"/>
    </row>
    <row r="334" spans="3:9" x14ac:dyDescent="0.4">
      <c r="C334" s="76"/>
      <c r="D334" s="76"/>
      <c r="E334" s="76"/>
      <c r="F334" s="76"/>
      <c r="G334" s="76"/>
      <c r="I334" s="76"/>
    </row>
    <row r="335" spans="3:9" x14ac:dyDescent="0.4">
      <c r="C335" s="76"/>
      <c r="D335" s="76"/>
      <c r="E335" s="76"/>
      <c r="F335" s="76"/>
      <c r="G335" s="76"/>
      <c r="I335" s="76"/>
    </row>
    <row r="336" spans="3:9" x14ac:dyDescent="0.4">
      <c r="C336" s="76"/>
      <c r="D336" s="76"/>
      <c r="E336" s="76"/>
      <c r="F336" s="76"/>
      <c r="G336" s="76"/>
      <c r="I336" s="76"/>
    </row>
    <row r="337" s="76" customFormat="1" x14ac:dyDescent="0.4"/>
    <row r="338" s="76" customFormat="1" x14ac:dyDescent="0.4"/>
    <row r="339" s="76" customFormat="1" x14ac:dyDescent="0.4"/>
    <row r="340" s="76" customFormat="1" x14ac:dyDescent="0.4"/>
    <row r="341" s="76" customFormat="1" x14ac:dyDescent="0.4"/>
    <row r="342" s="76" customFormat="1" x14ac:dyDescent="0.4"/>
    <row r="343" s="76" customFormat="1" x14ac:dyDescent="0.4"/>
    <row r="344" s="76" customFormat="1" x14ac:dyDescent="0.4"/>
    <row r="345" s="76" customFormat="1" x14ac:dyDescent="0.4"/>
    <row r="346" s="76" customFormat="1" x14ac:dyDescent="0.4"/>
    <row r="347" s="76" customFormat="1" x14ac:dyDescent="0.4"/>
    <row r="348" s="76" customFormat="1" x14ac:dyDescent="0.4"/>
    <row r="349" s="76" customFormat="1" x14ac:dyDescent="0.4"/>
    <row r="350" s="76" customFormat="1" x14ac:dyDescent="0.4"/>
    <row r="351" s="76" customFormat="1" x14ac:dyDescent="0.4"/>
    <row r="352" s="76" customFormat="1" x14ac:dyDescent="0.4"/>
    <row r="353" s="76" customFormat="1" x14ac:dyDescent="0.4"/>
    <row r="354" s="76" customFormat="1" x14ac:dyDescent="0.4"/>
    <row r="355" s="76" customFormat="1" x14ac:dyDescent="0.4"/>
    <row r="356" s="76" customFormat="1" x14ac:dyDescent="0.4"/>
    <row r="357" s="76" customFormat="1" x14ac:dyDescent="0.4"/>
  </sheetData>
  <pageMargins left="0.7" right="0.7" top="0.75" bottom="0.75" header="0.3" footer="0.3"/>
  <pageSetup orientation="portrait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0"/>
  <dimension ref="A1:Q119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3.52734375" style="21" bestFit="1" customWidth="1"/>
    <col min="2" max="2" width="43.64453125" style="9" bestFit="1" customWidth="1"/>
    <col min="3" max="3" width="13.64453125" style="78" hidden="1" customWidth="1" outlineLevel="1"/>
    <col min="4" max="5" width="11" style="78" hidden="1" customWidth="1" outlineLevel="1"/>
    <col min="6" max="6" width="12.3515625" style="78" hidden="1" customWidth="1" outlineLevel="1"/>
    <col min="7" max="7" width="15.64453125" style="79" hidden="1" customWidth="1" outlineLevel="1"/>
    <col min="8" max="8" width="15.46875" style="76" hidden="1" customWidth="1" outlineLevel="1"/>
    <col min="9" max="9" width="12" style="79" customWidth="1" collapsed="1"/>
    <col min="10" max="10" width="13.46875" style="76" customWidth="1"/>
    <col min="11" max="11" width="11.64453125" style="76" customWidth="1"/>
    <col min="12" max="12" width="13.17578125" style="76" customWidth="1"/>
    <col min="13" max="13" width="12.64453125" style="76" customWidth="1"/>
    <col min="14" max="16384" width="9.05859375" style="21"/>
  </cols>
  <sheetData>
    <row r="1" spans="1:13" x14ac:dyDescent="0.4">
      <c r="A1" s="22" t="s">
        <v>901</v>
      </c>
      <c r="B1" s="75"/>
    </row>
    <row r="2" spans="1:13" x14ac:dyDescent="0.4">
      <c r="A2" s="22" t="s">
        <v>603</v>
      </c>
      <c r="B2" s="75"/>
    </row>
    <row r="3" spans="1:13" x14ac:dyDescent="0.4">
      <c r="A3" s="3">
        <v>43190</v>
      </c>
      <c r="B3" s="3"/>
      <c r="F3" s="78" t="s">
        <v>261</v>
      </c>
      <c r="G3" s="79" t="s">
        <v>261</v>
      </c>
      <c r="H3" s="4"/>
    </row>
    <row r="5" spans="1:13" s="10" customFormat="1" x14ac:dyDescent="0.4">
      <c r="A5" s="21" t="s">
        <v>484</v>
      </c>
      <c r="B5" s="9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J5" s="78"/>
      <c r="K5" s="78"/>
      <c r="L5" s="416" t="s">
        <v>282</v>
      </c>
      <c r="M5" s="416" t="s">
        <v>284</v>
      </c>
    </row>
    <row r="6" spans="1:13" s="10" customFormat="1" x14ac:dyDescent="0.4">
      <c r="A6" s="126" t="s">
        <v>1047</v>
      </c>
      <c r="B6" s="12" t="s">
        <v>1048</v>
      </c>
      <c r="C6" s="78">
        <v>140410</v>
      </c>
      <c r="D6" s="78"/>
      <c r="E6" s="78"/>
      <c r="F6" s="78"/>
      <c r="G6" s="79">
        <f t="shared" ref="G6:G71" si="0">SUM(C6:F6)</f>
        <v>140410</v>
      </c>
      <c r="H6" s="78" t="s">
        <v>287</v>
      </c>
      <c r="I6" s="79">
        <f>G6*1</f>
        <v>140410</v>
      </c>
      <c r="J6" s="78"/>
      <c r="K6" s="78"/>
      <c r="L6" s="417" t="s">
        <v>287</v>
      </c>
      <c r="M6" s="418">
        <v>314428.55</v>
      </c>
    </row>
    <row r="7" spans="1:13" s="10" customFormat="1" x14ac:dyDescent="0.4">
      <c r="A7" s="126" t="s">
        <v>1049</v>
      </c>
      <c r="B7" s="12" t="s">
        <v>1050</v>
      </c>
      <c r="C7" s="78">
        <v>20520.509999999998</v>
      </c>
      <c r="D7" s="78"/>
      <c r="E7" s="78"/>
      <c r="F7" s="78"/>
      <c r="G7" s="79">
        <f t="shared" si="0"/>
        <v>20520.509999999998</v>
      </c>
      <c r="H7" s="78" t="s">
        <v>287</v>
      </c>
      <c r="I7" s="79">
        <f t="shared" ref="I7:I72" si="1">G7*1</f>
        <v>20520.509999999998</v>
      </c>
      <c r="J7" s="78"/>
      <c r="K7" s="78"/>
      <c r="L7" s="417" t="s">
        <v>288</v>
      </c>
      <c r="M7" s="418">
        <v>-137483.59</v>
      </c>
    </row>
    <row r="8" spans="1:13" s="10" customFormat="1" x14ac:dyDescent="0.4">
      <c r="A8" s="126" t="s">
        <v>1051</v>
      </c>
      <c r="B8" s="12" t="s">
        <v>1052</v>
      </c>
      <c r="C8" s="78">
        <v>0</v>
      </c>
      <c r="D8" s="78"/>
      <c r="E8" s="78"/>
      <c r="F8" s="78"/>
      <c r="G8" s="79">
        <f t="shared" si="0"/>
        <v>0</v>
      </c>
      <c r="H8" s="78" t="s">
        <v>287</v>
      </c>
      <c r="I8" s="79">
        <f t="shared" si="1"/>
        <v>0</v>
      </c>
      <c r="J8" s="78"/>
      <c r="K8" s="78"/>
      <c r="L8" s="417" t="s">
        <v>292</v>
      </c>
      <c r="M8" s="418">
        <v>-316674.48</v>
      </c>
    </row>
    <row r="9" spans="1:13" s="10" customFormat="1" x14ac:dyDescent="0.4">
      <c r="A9" s="126" t="s">
        <v>1053</v>
      </c>
      <c r="B9" s="12" t="s">
        <v>1054</v>
      </c>
      <c r="C9" s="78">
        <v>39400</v>
      </c>
      <c r="D9" s="78"/>
      <c r="E9" s="78"/>
      <c r="F9" s="78"/>
      <c r="G9" s="79">
        <f t="shared" si="0"/>
        <v>39400</v>
      </c>
      <c r="H9" s="78" t="s">
        <v>287</v>
      </c>
      <c r="I9" s="79">
        <f t="shared" si="1"/>
        <v>39400</v>
      </c>
      <c r="J9" s="78"/>
      <c r="K9" s="78"/>
      <c r="L9" s="417" t="s">
        <v>291</v>
      </c>
      <c r="M9" s="418">
        <v>-6951.27</v>
      </c>
    </row>
    <row r="10" spans="1:13" s="10" customFormat="1" x14ac:dyDescent="0.4">
      <c r="A10" s="68" t="s">
        <v>1055</v>
      </c>
      <c r="B10" s="12" t="s">
        <v>1056</v>
      </c>
      <c r="C10" s="78">
        <v>7800</v>
      </c>
      <c r="D10" s="78"/>
      <c r="E10" s="78"/>
      <c r="F10" s="78">
        <v>0</v>
      </c>
      <c r="G10" s="79">
        <f t="shared" si="0"/>
        <v>7800</v>
      </c>
      <c r="H10" s="78" t="s">
        <v>287</v>
      </c>
      <c r="I10" s="79">
        <f t="shared" si="1"/>
        <v>7800</v>
      </c>
      <c r="J10" s="78"/>
      <c r="K10" s="78"/>
      <c r="L10" s="417" t="s">
        <v>289</v>
      </c>
      <c r="M10" s="418">
        <v>-77139.570000000007</v>
      </c>
    </row>
    <row r="11" spans="1:13" s="10" customFormat="1" x14ac:dyDescent="0.4">
      <c r="A11" s="125" t="s">
        <v>1057</v>
      </c>
      <c r="B11" s="125" t="s">
        <v>1058</v>
      </c>
      <c r="C11" s="78">
        <v>39927.49</v>
      </c>
      <c r="D11" s="78"/>
      <c r="E11" s="78"/>
      <c r="F11" s="78"/>
      <c r="G11" s="79">
        <f t="shared" si="0"/>
        <v>39927.49</v>
      </c>
      <c r="H11" s="78" t="s">
        <v>287</v>
      </c>
      <c r="I11" s="79">
        <f t="shared" si="1"/>
        <v>39927.49</v>
      </c>
      <c r="J11" s="78"/>
      <c r="K11" s="78"/>
      <c r="L11" s="417" t="s">
        <v>290</v>
      </c>
      <c r="M11" s="418">
        <v>-21679.05</v>
      </c>
    </row>
    <row r="12" spans="1:13" s="78" customFormat="1" x14ac:dyDescent="0.4">
      <c r="A12" s="126" t="s">
        <v>1059</v>
      </c>
      <c r="B12" s="12" t="s">
        <v>1060</v>
      </c>
      <c r="C12" s="78">
        <v>0</v>
      </c>
      <c r="G12" s="79">
        <f t="shared" si="0"/>
        <v>0</v>
      </c>
      <c r="H12" s="78" t="s">
        <v>287</v>
      </c>
      <c r="I12" s="79">
        <f t="shared" si="1"/>
        <v>0</v>
      </c>
      <c r="L12" s="417" t="s">
        <v>299</v>
      </c>
      <c r="M12" s="418">
        <v>-7713.1</v>
      </c>
    </row>
    <row r="13" spans="1:13" s="78" customFormat="1" x14ac:dyDescent="0.4">
      <c r="A13" s="126" t="s">
        <v>1061</v>
      </c>
      <c r="B13" s="12" t="s">
        <v>1062</v>
      </c>
      <c r="C13" s="78">
        <v>0</v>
      </c>
      <c r="G13" s="79">
        <f t="shared" si="0"/>
        <v>0</v>
      </c>
      <c r="H13" s="78" t="s">
        <v>287</v>
      </c>
      <c r="I13" s="79">
        <f t="shared" si="1"/>
        <v>0</v>
      </c>
      <c r="L13" s="417" t="s">
        <v>862</v>
      </c>
      <c r="M13" s="418">
        <v>0</v>
      </c>
    </row>
    <row r="14" spans="1:13" s="78" customFormat="1" x14ac:dyDescent="0.4">
      <c r="A14" s="126" t="s">
        <v>1063</v>
      </c>
      <c r="B14" s="12" t="s">
        <v>1064</v>
      </c>
      <c r="C14" s="78">
        <v>58913.16</v>
      </c>
      <c r="G14" s="79">
        <f t="shared" si="0"/>
        <v>58913.16</v>
      </c>
      <c r="H14" s="78" t="s">
        <v>287</v>
      </c>
      <c r="I14" s="79">
        <f t="shared" si="1"/>
        <v>58913.16</v>
      </c>
      <c r="L14" s="417" t="s">
        <v>283</v>
      </c>
      <c r="M14" s="418">
        <v>-253212.51</v>
      </c>
    </row>
    <row r="15" spans="1:13" s="10" customFormat="1" ht="14.35" x14ac:dyDescent="0.5">
      <c r="A15" s="126" t="s">
        <v>1065</v>
      </c>
      <c r="B15" s="12" t="s">
        <v>1066</v>
      </c>
      <c r="C15" s="78">
        <v>-105.76</v>
      </c>
      <c r="D15" s="78"/>
      <c r="E15" s="78"/>
      <c r="F15" s="78"/>
      <c r="G15" s="79">
        <f t="shared" si="0"/>
        <v>-105.76</v>
      </c>
      <c r="H15" s="78" t="s">
        <v>287</v>
      </c>
      <c r="I15" s="79">
        <f t="shared" si="1"/>
        <v>-105.76</v>
      </c>
      <c r="J15" s="78"/>
      <c r="K15" s="78"/>
      <c r="L15"/>
      <c r="M15"/>
    </row>
    <row r="16" spans="1:13" s="10" customFormat="1" x14ac:dyDescent="0.4">
      <c r="A16" s="126" t="s">
        <v>1067</v>
      </c>
      <c r="B16" s="12" t="s">
        <v>1068</v>
      </c>
      <c r="C16" s="78">
        <v>5653.23</v>
      </c>
      <c r="D16" s="78"/>
      <c r="E16" s="78"/>
      <c r="F16" s="78"/>
      <c r="G16" s="79">
        <f t="shared" si="0"/>
        <v>5653.23</v>
      </c>
      <c r="H16" s="78" t="s">
        <v>287</v>
      </c>
      <c r="I16" s="79">
        <f t="shared" si="1"/>
        <v>5653.23</v>
      </c>
      <c r="J16" s="78"/>
      <c r="K16" s="78"/>
      <c r="L16" s="76"/>
      <c r="M16" s="76"/>
    </row>
    <row r="17" spans="1:13" s="10" customFormat="1" x14ac:dyDescent="0.4">
      <c r="A17" s="126" t="s">
        <v>1069</v>
      </c>
      <c r="B17" s="12" t="s">
        <v>1070</v>
      </c>
      <c r="C17" s="78">
        <v>-3.8</v>
      </c>
      <c r="D17" s="78"/>
      <c r="E17" s="78"/>
      <c r="F17" s="78"/>
      <c r="G17" s="79">
        <f t="shared" si="0"/>
        <v>-3.8</v>
      </c>
      <c r="H17" s="78" t="s">
        <v>287</v>
      </c>
      <c r="I17" s="79">
        <f t="shared" si="1"/>
        <v>-3.8</v>
      </c>
      <c r="J17" s="78"/>
      <c r="K17" s="78"/>
      <c r="L17" s="76"/>
      <c r="M17" s="76"/>
    </row>
    <row r="18" spans="1:13" s="10" customFormat="1" x14ac:dyDescent="0.4">
      <c r="A18" s="126" t="s">
        <v>1071</v>
      </c>
      <c r="B18" s="12" t="s">
        <v>1072</v>
      </c>
      <c r="C18" s="78">
        <v>1913.72</v>
      </c>
      <c r="D18" s="78"/>
      <c r="E18" s="78"/>
      <c r="F18" s="78"/>
      <c r="G18" s="79">
        <f t="shared" si="0"/>
        <v>1913.72</v>
      </c>
      <c r="H18" s="78" t="s">
        <v>287</v>
      </c>
      <c r="I18" s="79">
        <f t="shared" si="1"/>
        <v>1913.72</v>
      </c>
      <c r="J18" s="78"/>
      <c r="K18" s="78"/>
      <c r="L18" s="76"/>
      <c r="M18" s="76"/>
    </row>
    <row r="19" spans="1:13" s="10" customFormat="1" x14ac:dyDescent="0.4">
      <c r="A19" s="27" t="s">
        <v>1073</v>
      </c>
      <c r="B19" s="125" t="s">
        <v>1074</v>
      </c>
      <c r="C19" s="78">
        <v>0</v>
      </c>
      <c r="D19" s="78"/>
      <c r="E19" s="78"/>
      <c r="F19" s="78"/>
      <c r="G19" s="79">
        <f t="shared" si="0"/>
        <v>0</v>
      </c>
      <c r="H19" s="78" t="s">
        <v>287</v>
      </c>
      <c r="I19" s="79">
        <f t="shared" si="1"/>
        <v>0</v>
      </c>
      <c r="J19" s="78"/>
      <c r="K19" s="78"/>
      <c r="L19" s="76"/>
      <c r="M19" s="77"/>
    </row>
    <row r="20" spans="1:13" s="10" customFormat="1" x14ac:dyDescent="0.4">
      <c r="A20" s="126" t="s">
        <v>1075</v>
      </c>
      <c r="B20" s="12" t="s">
        <v>1076</v>
      </c>
      <c r="C20" s="78">
        <v>-36112.480000000003</v>
      </c>
      <c r="D20" s="78"/>
      <c r="E20" s="78"/>
      <c r="F20" s="78"/>
      <c r="G20" s="79">
        <f t="shared" si="0"/>
        <v>-36112.480000000003</v>
      </c>
      <c r="H20" s="78" t="s">
        <v>288</v>
      </c>
      <c r="I20" s="79">
        <f t="shared" si="1"/>
        <v>-36112.480000000003</v>
      </c>
      <c r="J20" s="78"/>
      <c r="K20" s="78"/>
      <c r="L20" s="76"/>
      <c r="M20" s="76"/>
    </row>
    <row r="21" spans="1:13" s="10" customFormat="1" x14ac:dyDescent="0.4">
      <c r="A21" s="126" t="s">
        <v>509</v>
      </c>
      <c r="B21" s="12" t="s">
        <v>1077</v>
      </c>
      <c r="C21" s="78"/>
      <c r="D21" s="78"/>
      <c r="E21" s="78"/>
      <c r="F21" s="78"/>
      <c r="G21" s="79">
        <f t="shared" si="0"/>
        <v>0</v>
      </c>
      <c r="H21" s="78" t="s">
        <v>288</v>
      </c>
      <c r="I21" s="79">
        <f t="shared" si="1"/>
        <v>0</v>
      </c>
      <c r="J21" s="78"/>
      <c r="K21" s="78"/>
      <c r="L21" s="76"/>
      <c r="M21" s="77"/>
    </row>
    <row r="22" spans="1:13" s="10" customFormat="1" x14ac:dyDescent="0.4">
      <c r="A22" s="126" t="s">
        <v>1078</v>
      </c>
      <c r="B22" s="27" t="s">
        <v>1079</v>
      </c>
      <c r="C22" s="78">
        <v>0</v>
      </c>
      <c r="D22" s="78"/>
      <c r="E22" s="78"/>
      <c r="F22" s="78"/>
      <c r="G22" s="79">
        <f t="shared" si="0"/>
        <v>0</v>
      </c>
      <c r="H22" s="78" t="s">
        <v>288</v>
      </c>
      <c r="I22" s="79">
        <f t="shared" si="1"/>
        <v>0</v>
      </c>
      <c r="J22" s="78"/>
      <c r="K22" s="78"/>
      <c r="L22" s="76"/>
      <c r="M22" s="77"/>
    </row>
    <row r="23" spans="1:13" s="10" customFormat="1" x14ac:dyDescent="0.4">
      <c r="A23" s="126" t="s">
        <v>1080</v>
      </c>
      <c r="B23" s="12" t="s">
        <v>1081</v>
      </c>
      <c r="C23" s="78">
        <v>-46897.43</v>
      </c>
      <c r="D23" s="78"/>
      <c r="E23" s="78"/>
      <c r="F23" s="78"/>
      <c r="G23" s="79">
        <f t="shared" si="0"/>
        <v>-46897.43</v>
      </c>
      <c r="H23" s="78" t="s">
        <v>288</v>
      </c>
      <c r="I23" s="79">
        <f t="shared" si="1"/>
        <v>-46897.43</v>
      </c>
      <c r="J23" s="78"/>
      <c r="K23" s="78"/>
      <c r="L23" s="78"/>
      <c r="M23" s="78"/>
    </row>
    <row r="24" spans="1:13" s="10" customFormat="1" x14ac:dyDescent="0.4">
      <c r="A24" s="126" t="s">
        <v>1082</v>
      </c>
      <c r="B24" s="12" t="s">
        <v>1083</v>
      </c>
      <c r="C24" s="78">
        <v>-6600</v>
      </c>
      <c r="D24" s="78"/>
      <c r="E24" s="78"/>
      <c r="F24" s="78"/>
      <c r="G24" s="79">
        <f t="shared" si="0"/>
        <v>-6600</v>
      </c>
      <c r="H24" s="78" t="s">
        <v>288</v>
      </c>
      <c r="I24" s="79">
        <f t="shared" si="1"/>
        <v>-6600</v>
      </c>
      <c r="J24" s="78"/>
      <c r="K24" s="78"/>
      <c r="L24" s="78"/>
      <c r="M24" s="78"/>
    </row>
    <row r="25" spans="1:13" s="10" customFormat="1" x14ac:dyDescent="0.4">
      <c r="A25" s="125" t="s">
        <v>1084</v>
      </c>
      <c r="B25" s="125" t="s">
        <v>1085</v>
      </c>
      <c r="C25" s="78">
        <v>-90</v>
      </c>
      <c r="D25" s="78"/>
      <c r="E25" s="78"/>
      <c r="F25" s="78"/>
      <c r="G25" s="79">
        <f t="shared" si="0"/>
        <v>-90</v>
      </c>
      <c r="H25" s="78" t="s">
        <v>288</v>
      </c>
      <c r="I25" s="79">
        <f t="shared" si="1"/>
        <v>-90</v>
      </c>
      <c r="J25" s="78"/>
      <c r="K25" s="78"/>
      <c r="L25" s="78"/>
      <c r="M25" s="78"/>
    </row>
    <row r="26" spans="1:13" s="10" customFormat="1" x14ac:dyDescent="0.4">
      <c r="A26" s="126" t="s">
        <v>1086</v>
      </c>
      <c r="B26" s="12" t="s">
        <v>1087</v>
      </c>
      <c r="C26" s="78">
        <v>-20305</v>
      </c>
      <c r="D26" s="78"/>
      <c r="E26" s="78"/>
      <c r="F26" s="78"/>
      <c r="G26" s="79">
        <f t="shared" si="0"/>
        <v>-20305</v>
      </c>
      <c r="H26" s="78" t="s">
        <v>288</v>
      </c>
      <c r="I26" s="79">
        <f t="shared" si="1"/>
        <v>-20305</v>
      </c>
      <c r="J26" s="78"/>
      <c r="L26" s="78"/>
      <c r="M26" s="78"/>
    </row>
    <row r="27" spans="1:13" s="10" customFormat="1" x14ac:dyDescent="0.4">
      <c r="A27" s="126" t="s">
        <v>1088</v>
      </c>
      <c r="B27" s="12" t="s">
        <v>1089</v>
      </c>
      <c r="C27" s="78">
        <v>-7887.61</v>
      </c>
      <c r="D27" s="78"/>
      <c r="E27" s="78"/>
      <c r="F27" s="78"/>
      <c r="G27" s="79">
        <f t="shared" si="0"/>
        <v>-7887.61</v>
      </c>
      <c r="H27" s="78" t="s">
        <v>288</v>
      </c>
      <c r="I27" s="79">
        <f t="shared" si="1"/>
        <v>-7887.61</v>
      </c>
      <c r="J27" s="78"/>
      <c r="K27" s="78"/>
      <c r="L27" s="78"/>
      <c r="M27" s="78"/>
    </row>
    <row r="28" spans="1:13" s="10" customFormat="1" x14ac:dyDescent="0.4">
      <c r="A28" s="126" t="s">
        <v>1090</v>
      </c>
      <c r="B28" s="12" t="s">
        <v>1091</v>
      </c>
      <c r="C28" s="78">
        <v>-526.57000000000005</v>
      </c>
      <c r="D28" s="78"/>
      <c r="E28" s="78"/>
      <c r="F28" s="78"/>
      <c r="G28" s="79">
        <f t="shared" si="0"/>
        <v>-526.57000000000005</v>
      </c>
      <c r="H28" s="79" t="s">
        <v>288</v>
      </c>
      <c r="I28" s="79">
        <f t="shared" si="1"/>
        <v>-526.57000000000005</v>
      </c>
      <c r="J28" s="78"/>
      <c r="K28" s="78"/>
      <c r="L28" s="78"/>
      <c r="M28" s="78"/>
    </row>
    <row r="29" spans="1:13" s="10" customFormat="1" x14ac:dyDescent="0.4">
      <c r="A29" s="126" t="s">
        <v>1092</v>
      </c>
      <c r="B29" s="12" t="s">
        <v>1093</v>
      </c>
      <c r="C29" s="78">
        <v>-1276.5</v>
      </c>
      <c r="D29" s="78"/>
      <c r="E29" s="78"/>
      <c r="F29" s="78"/>
      <c r="G29" s="79">
        <f t="shared" si="0"/>
        <v>-1276.5</v>
      </c>
      <c r="H29" s="78" t="s">
        <v>288</v>
      </c>
      <c r="I29" s="79">
        <f t="shared" si="1"/>
        <v>-1276.5</v>
      </c>
      <c r="J29" s="78"/>
      <c r="K29" s="78"/>
      <c r="L29" s="78"/>
      <c r="M29" s="78"/>
    </row>
    <row r="30" spans="1:13" s="10" customFormat="1" x14ac:dyDescent="0.4">
      <c r="A30" s="126" t="s">
        <v>1094</v>
      </c>
      <c r="B30" s="12" t="s">
        <v>1095</v>
      </c>
      <c r="C30" s="78">
        <v>-1000</v>
      </c>
      <c r="D30" s="78"/>
      <c r="E30" s="78"/>
      <c r="F30" s="78"/>
      <c r="G30" s="79">
        <f t="shared" si="0"/>
        <v>-1000</v>
      </c>
      <c r="H30" s="78" t="s">
        <v>288</v>
      </c>
      <c r="I30" s="79">
        <f t="shared" si="1"/>
        <v>-1000</v>
      </c>
      <c r="J30" s="78"/>
      <c r="K30" s="78"/>
      <c r="L30" s="78"/>
      <c r="M30" s="78"/>
    </row>
    <row r="31" spans="1:13" s="10" customFormat="1" x14ac:dyDescent="0.4">
      <c r="A31" s="126" t="s">
        <v>1096</v>
      </c>
      <c r="B31" s="12" t="s">
        <v>1097</v>
      </c>
      <c r="C31" s="78">
        <v>-16788</v>
      </c>
      <c r="D31" s="78"/>
      <c r="E31" s="78"/>
      <c r="F31" s="78"/>
      <c r="G31" s="79">
        <f t="shared" si="0"/>
        <v>-16788</v>
      </c>
      <c r="H31" s="78" t="s">
        <v>288</v>
      </c>
      <c r="I31" s="79">
        <f t="shared" si="1"/>
        <v>-16788</v>
      </c>
      <c r="J31" s="78"/>
      <c r="K31" s="78"/>
      <c r="L31" s="78"/>
      <c r="M31" s="78"/>
    </row>
    <row r="32" spans="1:13" s="10" customFormat="1" x14ac:dyDescent="0.4">
      <c r="A32" s="126" t="s">
        <v>1098</v>
      </c>
      <c r="B32" s="12" t="s">
        <v>1099</v>
      </c>
      <c r="C32" s="78">
        <v>0</v>
      </c>
      <c r="D32" s="78"/>
      <c r="E32" s="78"/>
      <c r="F32" s="78"/>
      <c r="G32" s="79">
        <f t="shared" si="0"/>
        <v>0</v>
      </c>
      <c r="H32" s="78" t="s">
        <v>288</v>
      </c>
      <c r="I32" s="79">
        <f t="shared" si="1"/>
        <v>0</v>
      </c>
      <c r="J32" s="78"/>
      <c r="K32" s="78"/>
      <c r="L32" s="78"/>
      <c r="M32" s="78"/>
    </row>
    <row r="33" spans="1:17" s="10" customFormat="1" x14ac:dyDescent="0.4">
      <c r="A33" s="126" t="s">
        <v>1100</v>
      </c>
      <c r="B33" s="12" t="s">
        <v>1101</v>
      </c>
      <c r="C33" s="78">
        <v>-9155.01</v>
      </c>
      <c r="D33" s="78"/>
      <c r="E33" s="78"/>
      <c r="F33" s="78"/>
      <c r="G33" s="79">
        <f t="shared" si="0"/>
        <v>-9155.01</v>
      </c>
      <c r="H33" s="78" t="s">
        <v>292</v>
      </c>
      <c r="I33" s="79">
        <f t="shared" si="1"/>
        <v>-9155.01</v>
      </c>
      <c r="J33" s="78"/>
      <c r="K33" s="78"/>
      <c r="L33" s="78"/>
      <c r="M33" s="78"/>
    </row>
    <row r="34" spans="1:17" s="10" customFormat="1" x14ac:dyDescent="0.4">
      <c r="A34" s="126" t="s">
        <v>1102</v>
      </c>
      <c r="B34" s="12" t="s">
        <v>1103</v>
      </c>
      <c r="C34" s="78">
        <v>-16504.84</v>
      </c>
      <c r="D34" s="78"/>
      <c r="E34" s="78"/>
      <c r="F34" s="78"/>
      <c r="G34" s="79">
        <f t="shared" si="0"/>
        <v>-16504.84</v>
      </c>
      <c r="H34" s="78" t="s">
        <v>292</v>
      </c>
      <c r="I34" s="79">
        <f t="shared" si="1"/>
        <v>-16504.84</v>
      </c>
      <c r="J34" s="78"/>
      <c r="K34" s="78"/>
      <c r="L34" s="78"/>
      <c r="M34" s="78"/>
    </row>
    <row r="35" spans="1:17" s="10" customFormat="1" x14ac:dyDescent="0.4">
      <c r="A35" s="126" t="s">
        <v>1104</v>
      </c>
      <c r="B35" s="12" t="s">
        <v>1105</v>
      </c>
      <c r="C35" s="78">
        <v>-5410</v>
      </c>
      <c r="D35" s="78"/>
      <c r="E35" s="78"/>
      <c r="F35" s="78"/>
      <c r="G35" s="79">
        <f t="shared" si="0"/>
        <v>-5410</v>
      </c>
      <c r="H35" s="78" t="s">
        <v>292</v>
      </c>
      <c r="I35" s="79">
        <f t="shared" si="1"/>
        <v>-5410</v>
      </c>
      <c r="J35" s="78"/>
      <c r="K35" s="78"/>
      <c r="L35" s="78"/>
      <c r="M35" s="78"/>
    </row>
    <row r="36" spans="1:17" s="78" customFormat="1" x14ac:dyDescent="0.4">
      <c r="A36" s="126" t="s">
        <v>1106</v>
      </c>
      <c r="B36" s="12" t="s">
        <v>1107</v>
      </c>
      <c r="C36" s="78">
        <v>-7234.32</v>
      </c>
      <c r="G36" s="79">
        <f t="shared" si="0"/>
        <v>-7234.32</v>
      </c>
      <c r="H36" s="78" t="s">
        <v>292</v>
      </c>
      <c r="I36" s="79">
        <f t="shared" si="1"/>
        <v>-7234.32</v>
      </c>
      <c r="J36" s="78">
        <f>SUM(I6:I19)</f>
        <v>314428.55</v>
      </c>
      <c r="N36" s="10"/>
      <c r="O36" s="10"/>
      <c r="P36" s="10"/>
      <c r="Q36" s="10"/>
    </row>
    <row r="37" spans="1:17" s="78" customFormat="1" x14ac:dyDescent="0.4">
      <c r="A37" s="126" t="s">
        <v>1108</v>
      </c>
      <c r="B37" s="12" t="s">
        <v>1109</v>
      </c>
      <c r="C37" s="78">
        <v>-34619.51</v>
      </c>
      <c r="G37" s="79">
        <f t="shared" si="0"/>
        <v>-34619.51</v>
      </c>
      <c r="H37" s="78" t="s">
        <v>292</v>
      </c>
      <c r="I37" s="79">
        <f t="shared" si="1"/>
        <v>-34619.51</v>
      </c>
      <c r="N37" s="10"/>
      <c r="O37" s="10"/>
    </row>
    <row r="38" spans="1:17" s="10" customFormat="1" x14ac:dyDescent="0.4">
      <c r="A38" s="126" t="s">
        <v>1110</v>
      </c>
      <c r="B38" s="12" t="s">
        <v>1111</v>
      </c>
      <c r="C38" s="78">
        <v>0</v>
      </c>
      <c r="D38" s="78"/>
      <c r="E38" s="78"/>
      <c r="F38" s="78"/>
      <c r="G38" s="79">
        <f t="shared" si="0"/>
        <v>0</v>
      </c>
      <c r="H38" s="78" t="s">
        <v>292</v>
      </c>
      <c r="I38" s="79">
        <f t="shared" si="1"/>
        <v>0</v>
      </c>
      <c r="J38" s="78"/>
      <c r="K38" s="78"/>
      <c r="L38" s="78"/>
      <c r="M38" s="78"/>
      <c r="O38" s="78"/>
      <c r="P38" s="78"/>
      <c r="Q38" s="78"/>
    </row>
    <row r="39" spans="1:17" s="10" customFormat="1" x14ac:dyDescent="0.4">
      <c r="A39" s="126" t="s">
        <v>1112</v>
      </c>
      <c r="B39" s="12" t="s">
        <v>1113</v>
      </c>
      <c r="C39" s="78">
        <v>0</v>
      </c>
      <c r="D39" s="78"/>
      <c r="E39" s="78"/>
      <c r="F39" s="78"/>
      <c r="G39" s="79">
        <f t="shared" si="0"/>
        <v>0</v>
      </c>
      <c r="H39" s="78" t="s">
        <v>292</v>
      </c>
      <c r="I39" s="79">
        <f t="shared" si="1"/>
        <v>0</v>
      </c>
      <c r="J39" s="78"/>
      <c r="K39" s="78"/>
      <c r="L39" s="78"/>
      <c r="M39" s="78"/>
      <c r="O39" s="78"/>
    </row>
    <row r="40" spans="1:17" s="10" customFormat="1" x14ac:dyDescent="0.4">
      <c r="A40" s="126" t="s">
        <v>1114</v>
      </c>
      <c r="B40" s="12" t="s">
        <v>1115</v>
      </c>
      <c r="C40" s="78">
        <v>0</v>
      </c>
      <c r="D40" s="78"/>
      <c r="E40" s="78"/>
      <c r="F40" s="78"/>
      <c r="G40" s="79">
        <f t="shared" si="0"/>
        <v>0</v>
      </c>
      <c r="H40" s="78" t="s">
        <v>292</v>
      </c>
      <c r="I40" s="79">
        <f t="shared" si="1"/>
        <v>0</v>
      </c>
      <c r="J40" s="78"/>
      <c r="K40" s="78"/>
      <c r="L40" s="78"/>
      <c r="M40" s="78"/>
    </row>
    <row r="41" spans="1:17" s="10" customFormat="1" x14ac:dyDescent="0.4">
      <c r="A41" s="126" t="s">
        <v>1116</v>
      </c>
      <c r="B41" s="12" t="s">
        <v>1117</v>
      </c>
      <c r="C41" s="78">
        <v>-2224</v>
      </c>
      <c r="D41" s="78"/>
      <c r="E41" s="78"/>
      <c r="F41" s="78"/>
      <c r="G41" s="79">
        <f t="shared" si="0"/>
        <v>-2224</v>
      </c>
      <c r="H41" s="78" t="s">
        <v>291</v>
      </c>
      <c r="I41" s="79">
        <f t="shared" si="1"/>
        <v>-2224</v>
      </c>
      <c r="J41" s="78"/>
      <c r="K41" s="78"/>
      <c r="L41" s="78"/>
      <c r="M41" s="78"/>
    </row>
    <row r="42" spans="1:17" s="10" customFormat="1" x14ac:dyDescent="0.4">
      <c r="A42" s="126" t="s">
        <v>1118</v>
      </c>
      <c r="B42" s="12" t="s">
        <v>1119</v>
      </c>
      <c r="C42" s="78">
        <v>-4727.2700000000004</v>
      </c>
      <c r="D42" s="78"/>
      <c r="E42" s="78"/>
      <c r="F42" s="78"/>
      <c r="G42" s="79">
        <f t="shared" si="0"/>
        <v>-4727.2700000000004</v>
      </c>
      <c r="H42" s="78" t="s">
        <v>291</v>
      </c>
      <c r="I42" s="79">
        <f t="shared" si="1"/>
        <v>-4727.2700000000004</v>
      </c>
      <c r="J42" s="78"/>
      <c r="K42" s="78"/>
      <c r="L42" s="78"/>
      <c r="M42" s="78"/>
    </row>
    <row r="43" spans="1:17" s="10" customFormat="1" x14ac:dyDescent="0.4">
      <c r="A43" s="126" t="s">
        <v>1120</v>
      </c>
      <c r="B43" s="12" t="s">
        <v>1121</v>
      </c>
      <c r="C43" s="78">
        <v>0</v>
      </c>
      <c r="D43" s="78"/>
      <c r="E43" s="78"/>
      <c r="F43" s="78"/>
      <c r="G43" s="79">
        <f t="shared" si="0"/>
        <v>0</v>
      </c>
      <c r="H43" s="78" t="s">
        <v>292</v>
      </c>
      <c r="I43" s="79">
        <f t="shared" si="1"/>
        <v>0</v>
      </c>
      <c r="J43" s="78"/>
      <c r="K43" s="78"/>
      <c r="L43" s="78"/>
      <c r="M43" s="78"/>
    </row>
    <row r="44" spans="1:17" s="10" customFormat="1" x14ac:dyDescent="0.4">
      <c r="A44" s="126" t="s">
        <v>1122</v>
      </c>
      <c r="B44" s="12" t="s">
        <v>1123</v>
      </c>
      <c r="C44" s="78">
        <v>-4218.54</v>
      </c>
      <c r="D44" s="78"/>
      <c r="E44" s="78"/>
      <c r="F44" s="78"/>
      <c r="G44" s="79">
        <f t="shared" si="0"/>
        <v>-4218.54</v>
      </c>
      <c r="H44" s="78" t="s">
        <v>292</v>
      </c>
      <c r="I44" s="79">
        <f t="shared" si="1"/>
        <v>-4218.54</v>
      </c>
      <c r="J44" s="79"/>
      <c r="K44" s="79"/>
      <c r="L44" s="79"/>
      <c r="M44" s="79"/>
    </row>
    <row r="45" spans="1:17" s="10" customFormat="1" x14ac:dyDescent="0.4">
      <c r="A45" s="126" t="s">
        <v>1124</v>
      </c>
      <c r="B45" s="12" t="s">
        <v>1125</v>
      </c>
      <c r="C45" s="78">
        <v>0</v>
      </c>
      <c r="D45" s="78"/>
      <c r="E45" s="78"/>
      <c r="F45" s="78"/>
      <c r="G45" s="79">
        <f t="shared" si="0"/>
        <v>0</v>
      </c>
      <c r="H45" s="78" t="s">
        <v>292</v>
      </c>
      <c r="I45" s="79">
        <f t="shared" si="1"/>
        <v>0</v>
      </c>
      <c r="J45" s="78"/>
      <c r="K45" s="78"/>
      <c r="L45" s="78"/>
      <c r="M45" s="78"/>
    </row>
    <row r="46" spans="1:17" s="10" customFormat="1" x14ac:dyDescent="0.4">
      <c r="A46" s="126" t="s">
        <v>1126</v>
      </c>
      <c r="B46" s="12" t="s">
        <v>1127</v>
      </c>
      <c r="C46" s="78">
        <v>-6166.82</v>
      </c>
      <c r="D46" s="78"/>
      <c r="E46" s="78"/>
      <c r="F46" s="78"/>
      <c r="G46" s="79">
        <f t="shared" si="0"/>
        <v>-6166.82</v>
      </c>
      <c r="H46" s="78" t="s">
        <v>292</v>
      </c>
      <c r="I46" s="79">
        <f t="shared" si="1"/>
        <v>-6166.82</v>
      </c>
      <c r="J46" s="78"/>
      <c r="K46" s="78"/>
      <c r="L46" s="78"/>
      <c r="M46" s="78"/>
    </row>
    <row r="47" spans="1:17" s="10" customFormat="1" x14ac:dyDescent="0.4">
      <c r="A47" s="126" t="s">
        <v>1128</v>
      </c>
      <c r="B47" s="12" t="s">
        <v>1129</v>
      </c>
      <c r="C47" s="78">
        <v>-3280.2</v>
      </c>
      <c r="D47" s="78"/>
      <c r="E47" s="78"/>
      <c r="F47" s="78"/>
      <c r="G47" s="79">
        <f t="shared" si="0"/>
        <v>-3280.2</v>
      </c>
      <c r="H47" s="78" t="s">
        <v>292</v>
      </c>
      <c r="I47" s="79">
        <f t="shared" si="1"/>
        <v>-3280.2</v>
      </c>
      <c r="J47" s="78"/>
      <c r="K47" s="78"/>
      <c r="L47" s="78"/>
      <c r="M47" s="78"/>
    </row>
    <row r="48" spans="1:17" s="10" customFormat="1" x14ac:dyDescent="0.4">
      <c r="A48" s="126" t="s">
        <v>1130</v>
      </c>
      <c r="B48" s="12" t="s">
        <v>1131</v>
      </c>
      <c r="C48" s="78">
        <v>-1046.67</v>
      </c>
      <c r="D48" s="78"/>
      <c r="E48" s="78"/>
      <c r="F48" s="78"/>
      <c r="G48" s="79">
        <f t="shared" si="0"/>
        <v>-1046.67</v>
      </c>
      <c r="H48" s="78" t="s">
        <v>292</v>
      </c>
      <c r="I48" s="79">
        <f t="shared" si="1"/>
        <v>-1046.67</v>
      </c>
      <c r="J48" s="78"/>
      <c r="K48" s="78"/>
      <c r="L48" s="78"/>
      <c r="M48" s="78"/>
    </row>
    <row r="49" spans="1:13" s="10" customFormat="1" x14ac:dyDescent="0.4">
      <c r="A49" s="126" t="s">
        <v>1132</v>
      </c>
      <c r="B49" s="12" t="s">
        <v>186</v>
      </c>
      <c r="C49" s="78">
        <v>216.92</v>
      </c>
      <c r="D49" s="78"/>
      <c r="E49" s="78"/>
      <c r="F49" s="78"/>
      <c r="G49" s="79">
        <f t="shared" si="0"/>
        <v>216.92</v>
      </c>
      <c r="H49" s="78" t="s">
        <v>292</v>
      </c>
      <c r="I49" s="79">
        <f t="shared" si="1"/>
        <v>216.92</v>
      </c>
      <c r="J49" s="78"/>
      <c r="K49" s="78"/>
      <c r="L49" s="78"/>
      <c r="M49" s="78"/>
    </row>
    <row r="50" spans="1:13" s="10" customFormat="1" x14ac:dyDescent="0.4">
      <c r="A50" s="126" t="s">
        <v>1133</v>
      </c>
      <c r="B50" s="12" t="s">
        <v>1134</v>
      </c>
      <c r="C50" s="78">
        <v>-1332.22</v>
      </c>
      <c r="D50" s="78"/>
      <c r="E50" s="78"/>
      <c r="F50" s="78"/>
      <c r="G50" s="79">
        <f t="shared" si="0"/>
        <v>-1332.22</v>
      </c>
      <c r="H50" s="78" t="s">
        <v>292</v>
      </c>
      <c r="I50" s="79">
        <f t="shared" si="1"/>
        <v>-1332.22</v>
      </c>
      <c r="J50" s="78"/>
      <c r="K50" s="78"/>
      <c r="L50" s="78"/>
      <c r="M50" s="78"/>
    </row>
    <row r="51" spans="1:13" s="10" customFormat="1" x14ac:dyDescent="0.4">
      <c r="A51" s="126" t="s">
        <v>1135</v>
      </c>
      <c r="B51" s="12" t="s">
        <v>1136</v>
      </c>
      <c r="C51" s="78">
        <v>-152.1</v>
      </c>
      <c r="D51" s="78"/>
      <c r="E51" s="78"/>
      <c r="F51" s="78"/>
      <c r="G51" s="79">
        <f t="shared" si="0"/>
        <v>-152.1</v>
      </c>
      <c r="H51" s="78" t="s">
        <v>292</v>
      </c>
      <c r="I51" s="79">
        <f t="shared" si="1"/>
        <v>-152.1</v>
      </c>
      <c r="J51" s="78"/>
      <c r="K51" s="78"/>
      <c r="L51" s="78"/>
      <c r="M51" s="78"/>
    </row>
    <row r="52" spans="1:13" s="10" customFormat="1" x14ac:dyDescent="0.4">
      <c r="A52" s="126" t="s">
        <v>1137</v>
      </c>
      <c r="B52" s="12" t="s">
        <v>1138</v>
      </c>
      <c r="C52" s="78">
        <v>769.4</v>
      </c>
      <c r="D52" s="78"/>
      <c r="E52" s="78"/>
      <c r="F52" s="78"/>
      <c r="G52" s="79">
        <f t="shared" si="0"/>
        <v>769.4</v>
      </c>
      <c r="H52" s="78" t="s">
        <v>292</v>
      </c>
      <c r="I52" s="79">
        <f t="shared" si="1"/>
        <v>769.4</v>
      </c>
      <c r="J52" s="78"/>
      <c r="K52" s="78"/>
      <c r="L52" s="78"/>
      <c r="M52" s="78"/>
    </row>
    <row r="53" spans="1:13" s="10" customFormat="1" x14ac:dyDescent="0.4">
      <c r="A53" s="126" t="s">
        <v>1139</v>
      </c>
      <c r="B53" s="12" t="s">
        <v>1140</v>
      </c>
      <c r="C53" s="78">
        <v>-4100</v>
      </c>
      <c r="D53" s="78"/>
      <c r="E53" s="78"/>
      <c r="F53" s="78"/>
      <c r="G53" s="79">
        <f t="shared" si="0"/>
        <v>-4100</v>
      </c>
      <c r="H53" s="78" t="s">
        <v>292</v>
      </c>
      <c r="I53" s="79">
        <f t="shared" si="1"/>
        <v>-4100</v>
      </c>
      <c r="J53" s="78"/>
      <c r="K53" s="78"/>
      <c r="L53" s="78"/>
      <c r="M53" s="78"/>
    </row>
    <row r="54" spans="1:13" s="10" customFormat="1" x14ac:dyDescent="0.4">
      <c r="A54" s="126" t="s">
        <v>1238</v>
      </c>
      <c r="B54" s="12" t="s">
        <v>1239</v>
      </c>
      <c r="C54" s="78">
        <v>-20000</v>
      </c>
      <c r="D54" s="78"/>
      <c r="E54" s="78"/>
      <c r="F54" s="78"/>
      <c r="G54" s="79">
        <f t="shared" si="0"/>
        <v>-20000</v>
      </c>
      <c r="H54" s="78" t="s">
        <v>292</v>
      </c>
      <c r="I54" s="79">
        <f t="shared" si="1"/>
        <v>-20000</v>
      </c>
      <c r="J54" s="78"/>
      <c r="K54" s="78"/>
      <c r="L54" s="78"/>
      <c r="M54" s="78"/>
    </row>
    <row r="55" spans="1:13" s="10" customFormat="1" x14ac:dyDescent="0.4">
      <c r="A55" s="126" t="s">
        <v>1141</v>
      </c>
      <c r="B55" s="12" t="s">
        <v>1142</v>
      </c>
      <c r="C55" s="78">
        <v>-574.75</v>
      </c>
      <c r="D55" s="78"/>
      <c r="E55" s="78"/>
      <c r="F55" s="78"/>
      <c r="G55" s="79">
        <f t="shared" si="0"/>
        <v>-574.75</v>
      </c>
      <c r="H55" s="78" t="s">
        <v>292</v>
      </c>
      <c r="I55" s="79">
        <f t="shared" si="1"/>
        <v>-574.75</v>
      </c>
      <c r="J55" s="78"/>
      <c r="K55" s="78"/>
      <c r="L55" s="78"/>
      <c r="M55" s="78"/>
    </row>
    <row r="56" spans="1:13" s="10" customFormat="1" x14ac:dyDescent="0.4">
      <c r="A56" s="126" t="s">
        <v>1143</v>
      </c>
      <c r="B56" s="12" t="s">
        <v>1144</v>
      </c>
      <c r="C56" s="78">
        <v>-21679.05</v>
      </c>
      <c r="D56" s="78"/>
      <c r="E56" s="78"/>
      <c r="F56" s="78"/>
      <c r="G56" s="79">
        <f t="shared" si="0"/>
        <v>-21679.05</v>
      </c>
      <c r="H56" s="78" t="s">
        <v>290</v>
      </c>
      <c r="I56" s="79">
        <f t="shared" si="1"/>
        <v>-21679.05</v>
      </c>
      <c r="J56" s="78"/>
      <c r="K56" s="78"/>
      <c r="L56" s="78"/>
      <c r="M56" s="78"/>
    </row>
    <row r="57" spans="1:13" s="10" customFormat="1" x14ac:dyDescent="0.4">
      <c r="A57" s="126" t="s">
        <v>1145</v>
      </c>
      <c r="B57" s="12" t="s">
        <v>1146</v>
      </c>
      <c r="C57" s="78">
        <v>-2367.3000000000002</v>
      </c>
      <c r="D57" s="78"/>
      <c r="E57" s="78"/>
      <c r="F57" s="78"/>
      <c r="G57" s="79">
        <f t="shared" si="0"/>
        <v>-2367.3000000000002</v>
      </c>
      <c r="H57" s="78" t="s">
        <v>292</v>
      </c>
      <c r="I57" s="79">
        <f t="shared" si="1"/>
        <v>-2367.3000000000002</v>
      </c>
      <c r="J57" s="78"/>
      <c r="K57" s="78"/>
      <c r="L57" s="78"/>
      <c r="M57" s="78"/>
    </row>
    <row r="58" spans="1:13" s="10" customFormat="1" x14ac:dyDescent="0.4">
      <c r="A58" s="126" t="s">
        <v>1147</v>
      </c>
      <c r="B58" s="12" t="s">
        <v>1148</v>
      </c>
      <c r="C58" s="78">
        <v>-323.25</v>
      </c>
      <c r="D58" s="78"/>
      <c r="E58" s="78"/>
      <c r="F58" s="78"/>
      <c r="G58" s="79">
        <f t="shared" si="0"/>
        <v>-323.25</v>
      </c>
      <c r="H58" s="78" t="s">
        <v>292</v>
      </c>
      <c r="I58" s="79">
        <f t="shared" si="1"/>
        <v>-323.25</v>
      </c>
      <c r="J58" s="78"/>
      <c r="K58" s="78"/>
      <c r="L58" s="78"/>
      <c r="M58" s="78"/>
    </row>
    <row r="59" spans="1:13" s="10" customFormat="1" x14ac:dyDescent="0.4">
      <c r="A59" s="125" t="s">
        <v>1149</v>
      </c>
      <c r="B59" s="125" t="s">
        <v>204</v>
      </c>
      <c r="C59" s="78">
        <v>-463.1</v>
      </c>
      <c r="D59" s="78"/>
      <c r="E59" s="78"/>
      <c r="F59" s="78"/>
      <c r="G59" s="79">
        <f t="shared" si="0"/>
        <v>-463.1</v>
      </c>
      <c r="H59" s="78" t="s">
        <v>299</v>
      </c>
      <c r="I59" s="79">
        <f t="shared" si="1"/>
        <v>-463.1</v>
      </c>
      <c r="J59" s="78"/>
      <c r="K59" s="78"/>
      <c r="L59" s="78"/>
      <c r="M59" s="78"/>
    </row>
    <row r="60" spans="1:13" s="10" customFormat="1" x14ac:dyDescent="0.4">
      <c r="A60" s="126" t="s">
        <v>1150</v>
      </c>
      <c r="B60" s="12" t="s">
        <v>1151</v>
      </c>
      <c r="C60" s="78">
        <v>-52079.08</v>
      </c>
      <c r="D60" s="78"/>
      <c r="E60" s="78"/>
      <c r="F60" s="78"/>
      <c r="G60" s="79">
        <f t="shared" si="0"/>
        <v>-52079.08</v>
      </c>
      <c r="H60" s="78" t="s">
        <v>292</v>
      </c>
      <c r="I60" s="79">
        <f t="shared" si="1"/>
        <v>-52079.08</v>
      </c>
      <c r="J60" s="78"/>
      <c r="K60" s="78"/>
      <c r="L60" s="78"/>
      <c r="M60" s="78"/>
    </row>
    <row r="61" spans="1:13" s="10" customFormat="1" x14ac:dyDescent="0.4">
      <c r="A61" s="126" t="s">
        <v>1152</v>
      </c>
      <c r="B61" s="12" t="s">
        <v>1153</v>
      </c>
      <c r="C61" s="78">
        <v>-2999.91</v>
      </c>
      <c r="D61" s="78"/>
      <c r="E61" s="78"/>
      <c r="F61" s="78"/>
      <c r="G61" s="79">
        <f t="shared" si="0"/>
        <v>-2999.91</v>
      </c>
      <c r="H61" s="78" t="s">
        <v>292</v>
      </c>
      <c r="I61" s="79">
        <f t="shared" si="1"/>
        <v>-2999.91</v>
      </c>
      <c r="J61" s="78"/>
      <c r="K61" s="78"/>
      <c r="L61" s="78"/>
      <c r="M61" s="78"/>
    </row>
    <row r="62" spans="1:13" s="10" customFormat="1" x14ac:dyDescent="0.4">
      <c r="A62" s="126" t="s">
        <v>1154</v>
      </c>
      <c r="B62" s="12" t="s">
        <v>210</v>
      </c>
      <c r="C62" s="78">
        <v>0</v>
      </c>
      <c r="D62" s="78"/>
      <c r="E62" s="78"/>
      <c r="F62" s="78"/>
      <c r="G62" s="79">
        <f t="shared" si="0"/>
        <v>0</v>
      </c>
      <c r="H62" s="78" t="s">
        <v>292</v>
      </c>
      <c r="I62" s="79">
        <f t="shared" si="1"/>
        <v>0</v>
      </c>
      <c r="J62" s="78"/>
      <c r="K62" s="78"/>
      <c r="L62" s="78"/>
      <c r="M62" s="78"/>
    </row>
    <row r="63" spans="1:13" s="10" customFormat="1" x14ac:dyDescent="0.4">
      <c r="A63" s="126" t="s">
        <v>1155</v>
      </c>
      <c r="B63" s="12" t="s">
        <v>1156</v>
      </c>
      <c r="C63" s="78">
        <v>-3250</v>
      </c>
      <c r="D63" s="78"/>
      <c r="E63" s="78"/>
      <c r="F63" s="78"/>
      <c r="G63" s="79">
        <f t="shared" si="0"/>
        <v>-3250</v>
      </c>
      <c r="H63" s="78" t="s">
        <v>292</v>
      </c>
      <c r="I63" s="79">
        <f t="shared" si="1"/>
        <v>-3250</v>
      </c>
      <c r="J63" s="78"/>
      <c r="K63" s="78"/>
      <c r="L63" s="78"/>
      <c r="M63" s="78"/>
    </row>
    <row r="64" spans="1:13" s="10" customFormat="1" x14ac:dyDescent="0.4">
      <c r="A64" s="126" t="s">
        <v>1157</v>
      </c>
      <c r="B64" s="12" t="s">
        <v>1158</v>
      </c>
      <c r="C64" s="78">
        <v>-195.27</v>
      </c>
      <c r="D64" s="78"/>
      <c r="E64" s="78"/>
      <c r="F64" s="78"/>
      <c r="G64" s="79">
        <f t="shared" si="0"/>
        <v>-195.27</v>
      </c>
      <c r="H64" s="78" t="s">
        <v>292</v>
      </c>
      <c r="I64" s="79">
        <f t="shared" si="1"/>
        <v>-195.27</v>
      </c>
      <c r="J64" s="78"/>
      <c r="K64" s="78"/>
      <c r="L64" s="78"/>
      <c r="M64" s="78"/>
    </row>
    <row r="65" spans="1:13" s="10" customFormat="1" x14ac:dyDescent="0.4">
      <c r="A65" s="126" t="s">
        <v>1159</v>
      </c>
      <c r="B65" s="12" t="s">
        <v>181</v>
      </c>
      <c r="C65" s="78">
        <v>0</v>
      </c>
      <c r="D65" s="78"/>
      <c r="E65" s="78"/>
      <c r="F65" s="78"/>
      <c r="G65" s="79">
        <f t="shared" si="0"/>
        <v>0</v>
      </c>
      <c r="H65" s="78" t="s">
        <v>292</v>
      </c>
      <c r="I65" s="79">
        <f t="shared" si="1"/>
        <v>0</v>
      </c>
      <c r="J65" s="78"/>
      <c r="K65" s="78"/>
      <c r="L65" s="78"/>
      <c r="M65" s="78"/>
    </row>
    <row r="66" spans="1:13" s="10" customFormat="1" x14ac:dyDescent="0.4">
      <c r="A66" s="125" t="s">
        <v>1160</v>
      </c>
      <c r="B66" s="125" t="s">
        <v>203</v>
      </c>
      <c r="C66" s="78">
        <v>-4724.6099999999997</v>
      </c>
      <c r="D66" s="78"/>
      <c r="E66" s="78"/>
      <c r="F66" s="78"/>
      <c r="G66" s="79">
        <f t="shared" si="0"/>
        <v>-4724.6099999999997</v>
      </c>
      <c r="H66" s="78" t="s">
        <v>292</v>
      </c>
      <c r="I66" s="79">
        <f t="shared" si="1"/>
        <v>-4724.6099999999997</v>
      </c>
      <c r="J66" s="78"/>
      <c r="K66" s="78"/>
      <c r="L66" s="78"/>
      <c r="M66" s="78"/>
    </row>
    <row r="67" spans="1:13" s="10" customFormat="1" x14ac:dyDescent="0.4">
      <c r="A67" s="126" t="s">
        <v>1161</v>
      </c>
      <c r="B67" s="12" t="s">
        <v>1162</v>
      </c>
      <c r="C67" s="78">
        <v>-3979.03</v>
      </c>
      <c r="D67" s="78"/>
      <c r="E67" s="78"/>
      <c r="F67" s="78"/>
      <c r="G67" s="79">
        <f t="shared" si="0"/>
        <v>-3979.03</v>
      </c>
      <c r="H67" s="78" t="s">
        <v>292</v>
      </c>
      <c r="I67" s="79">
        <f t="shared" si="1"/>
        <v>-3979.03</v>
      </c>
      <c r="J67" s="78"/>
      <c r="K67" s="78"/>
      <c r="L67" s="78"/>
      <c r="M67" s="78"/>
    </row>
    <row r="68" spans="1:13" s="10" customFormat="1" x14ac:dyDescent="0.4">
      <c r="A68" s="126" t="s">
        <v>1163</v>
      </c>
      <c r="B68" s="12" t="s">
        <v>250</v>
      </c>
      <c r="C68" s="78">
        <v>-1820</v>
      </c>
      <c r="D68" s="78"/>
      <c r="E68" s="78"/>
      <c r="F68" s="78"/>
      <c r="G68" s="79">
        <f t="shared" si="0"/>
        <v>-1820</v>
      </c>
      <c r="H68" s="78" t="s">
        <v>292</v>
      </c>
      <c r="I68" s="79">
        <f t="shared" si="1"/>
        <v>-1820</v>
      </c>
      <c r="J68" s="78"/>
      <c r="K68" s="78"/>
      <c r="L68" s="78"/>
      <c r="M68" s="78"/>
    </row>
    <row r="69" spans="1:13" s="10" customFormat="1" x14ac:dyDescent="0.4">
      <c r="A69" s="126" t="s">
        <v>1164</v>
      </c>
      <c r="B69" s="12" t="s">
        <v>1165</v>
      </c>
      <c r="C69" s="78">
        <v>-2180.6999999999998</v>
      </c>
      <c r="D69" s="78"/>
      <c r="E69" s="78"/>
      <c r="F69" s="78"/>
      <c r="G69" s="79">
        <f t="shared" si="0"/>
        <v>-2180.6999999999998</v>
      </c>
      <c r="H69" s="78" t="s">
        <v>292</v>
      </c>
      <c r="I69" s="79">
        <f t="shared" si="1"/>
        <v>-2180.6999999999998</v>
      </c>
      <c r="J69" s="78"/>
      <c r="K69" s="78"/>
      <c r="L69" s="78"/>
      <c r="M69" s="78"/>
    </row>
    <row r="70" spans="1:13" s="10" customFormat="1" x14ac:dyDescent="0.4">
      <c r="A70" s="126" t="s">
        <v>1166</v>
      </c>
      <c r="B70" s="12" t="s">
        <v>1167</v>
      </c>
      <c r="C70" s="78">
        <v>-14269.68</v>
      </c>
      <c r="D70" s="78"/>
      <c r="E70" s="78"/>
      <c r="F70" s="78"/>
      <c r="G70" s="79">
        <f t="shared" si="0"/>
        <v>-14269.68</v>
      </c>
      <c r="H70" s="78" t="s">
        <v>292</v>
      </c>
      <c r="I70" s="79">
        <f t="shared" si="1"/>
        <v>-14269.68</v>
      </c>
      <c r="J70" s="78"/>
      <c r="K70" s="78"/>
      <c r="L70" s="78"/>
      <c r="M70" s="78"/>
    </row>
    <row r="71" spans="1:13" s="10" customFormat="1" x14ac:dyDescent="0.4">
      <c r="A71" s="126" t="s">
        <v>1168</v>
      </c>
      <c r="B71" s="12" t="s">
        <v>1169</v>
      </c>
      <c r="C71" s="78">
        <v>-1079.25</v>
      </c>
      <c r="D71" s="78"/>
      <c r="E71" s="78"/>
      <c r="F71" s="78"/>
      <c r="G71" s="79">
        <f t="shared" si="0"/>
        <v>-1079.25</v>
      </c>
      <c r="H71" s="78" t="s">
        <v>292</v>
      </c>
      <c r="I71" s="79">
        <f t="shared" si="1"/>
        <v>-1079.25</v>
      </c>
      <c r="J71" s="78"/>
      <c r="K71" s="78"/>
      <c r="L71" s="78"/>
      <c r="M71" s="78"/>
    </row>
    <row r="72" spans="1:13" s="10" customFormat="1" x14ac:dyDescent="0.4">
      <c r="A72" s="126" t="s">
        <v>1170</v>
      </c>
      <c r="B72" s="12" t="s">
        <v>1171</v>
      </c>
      <c r="C72" s="78">
        <v>-59.3</v>
      </c>
      <c r="D72" s="78"/>
      <c r="E72" s="78"/>
      <c r="F72" s="78"/>
      <c r="G72" s="79">
        <f t="shared" ref="G72:G104" si="2">SUM(C72:F72)</f>
        <v>-59.3</v>
      </c>
      <c r="H72" s="78" t="s">
        <v>292</v>
      </c>
      <c r="I72" s="79">
        <f t="shared" si="1"/>
        <v>-59.3</v>
      </c>
      <c r="J72" s="78"/>
      <c r="K72" s="78"/>
      <c r="L72" s="78"/>
      <c r="M72" s="78"/>
    </row>
    <row r="73" spans="1:13" s="10" customFormat="1" x14ac:dyDescent="0.4">
      <c r="A73" s="126" t="s">
        <v>1172</v>
      </c>
      <c r="B73" s="12" t="s">
        <v>1173</v>
      </c>
      <c r="C73" s="78">
        <v>-5932.06</v>
      </c>
      <c r="D73" s="78"/>
      <c r="E73" s="78"/>
      <c r="F73" s="78"/>
      <c r="G73" s="79">
        <f t="shared" si="2"/>
        <v>-5932.06</v>
      </c>
      <c r="H73" s="78" t="s">
        <v>292</v>
      </c>
      <c r="I73" s="79">
        <f t="shared" ref="I73:I103" si="3">G73*1</f>
        <v>-5932.06</v>
      </c>
      <c r="J73" s="78"/>
      <c r="K73" s="78"/>
      <c r="L73" s="78"/>
      <c r="M73" s="78"/>
    </row>
    <row r="74" spans="1:13" s="10" customFormat="1" x14ac:dyDescent="0.4">
      <c r="A74" s="126" t="s">
        <v>1174</v>
      </c>
      <c r="B74" s="12" t="s">
        <v>1175</v>
      </c>
      <c r="C74" s="78">
        <v>0</v>
      </c>
      <c r="D74" s="78"/>
      <c r="E74" s="78"/>
      <c r="F74" s="78"/>
      <c r="G74" s="79">
        <f t="shared" si="2"/>
        <v>0</v>
      </c>
      <c r="H74" s="78" t="s">
        <v>292</v>
      </c>
      <c r="I74" s="79">
        <f t="shared" si="3"/>
        <v>0</v>
      </c>
      <c r="J74" s="78"/>
      <c r="K74" s="78"/>
      <c r="L74" s="78"/>
      <c r="M74" s="78"/>
    </row>
    <row r="75" spans="1:13" s="10" customFormat="1" x14ac:dyDescent="0.4">
      <c r="A75" s="126" t="s">
        <v>1176</v>
      </c>
      <c r="B75" s="12" t="s">
        <v>1177</v>
      </c>
      <c r="C75" s="78">
        <v>-57</v>
      </c>
      <c r="D75" s="78"/>
      <c r="E75" s="78"/>
      <c r="F75" s="78"/>
      <c r="G75" s="79">
        <f t="shared" si="2"/>
        <v>-57</v>
      </c>
      <c r="H75" s="78" t="s">
        <v>292</v>
      </c>
      <c r="I75" s="79">
        <f t="shared" si="3"/>
        <v>-57</v>
      </c>
      <c r="J75" s="78"/>
      <c r="K75" s="78"/>
      <c r="L75" s="78"/>
      <c r="M75" s="78"/>
    </row>
    <row r="76" spans="1:13" s="10" customFormat="1" x14ac:dyDescent="0.4">
      <c r="A76" s="126" t="s">
        <v>1178</v>
      </c>
      <c r="B76" s="12" t="s">
        <v>1179</v>
      </c>
      <c r="C76" s="78">
        <v>-24.36</v>
      </c>
      <c r="D76" s="78"/>
      <c r="E76" s="78"/>
      <c r="F76" s="78"/>
      <c r="G76" s="79">
        <f t="shared" si="2"/>
        <v>-24.36</v>
      </c>
      <c r="H76" s="78" t="s">
        <v>292</v>
      </c>
      <c r="I76" s="79">
        <f t="shared" si="3"/>
        <v>-24.36</v>
      </c>
      <c r="J76" s="78"/>
      <c r="K76" s="78"/>
      <c r="L76" s="78"/>
      <c r="M76" s="78"/>
    </row>
    <row r="77" spans="1:13" s="10" customFormat="1" x14ac:dyDescent="0.4">
      <c r="A77" s="126" t="s">
        <v>1180</v>
      </c>
      <c r="B77" s="12" t="s">
        <v>1181</v>
      </c>
      <c r="C77" s="78">
        <v>0</v>
      </c>
      <c r="D77" s="78"/>
      <c r="E77" s="78"/>
      <c r="F77" s="78"/>
      <c r="G77" s="79">
        <f t="shared" si="2"/>
        <v>0</v>
      </c>
      <c r="H77" s="78" t="s">
        <v>292</v>
      </c>
      <c r="I77" s="79">
        <f t="shared" si="3"/>
        <v>0</v>
      </c>
      <c r="J77" s="78"/>
      <c r="K77" s="78"/>
      <c r="L77" s="78"/>
      <c r="M77" s="78"/>
    </row>
    <row r="78" spans="1:13" s="10" customFormat="1" x14ac:dyDescent="0.4">
      <c r="A78" s="125" t="s">
        <v>1182</v>
      </c>
      <c r="B78" s="125" t="s">
        <v>1183</v>
      </c>
      <c r="C78" s="78">
        <v>-9800</v>
      </c>
      <c r="D78" s="78"/>
      <c r="E78" s="78"/>
      <c r="F78" s="78"/>
      <c r="G78" s="79">
        <f t="shared" si="2"/>
        <v>-9800</v>
      </c>
      <c r="H78" s="78" t="s">
        <v>292</v>
      </c>
      <c r="I78" s="79">
        <f t="shared" si="3"/>
        <v>-9800</v>
      </c>
      <c r="J78" s="78"/>
      <c r="K78" s="78"/>
      <c r="L78" s="78"/>
      <c r="M78" s="78"/>
    </row>
    <row r="79" spans="1:13" s="10" customFormat="1" x14ac:dyDescent="0.4">
      <c r="A79" s="126" t="s">
        <v>1184</v>
      </c>
      <c r="B79" s="12" t="s">
        <v>1185</v>
      </c>
      <c r="C79" s="78">
        <v>0</v>
      </c>
      <c r="D79" s="78"/>
      <c r="E79" s="78"/>
      <c r="F79" s="78"/>
      <c r="G79" s="79">
        <f t="shared" si="2"/>
        <v>0</v>
      </c>
      <c r="H79" s="78" t="s">
        <v>299</v>
      </c>
      <c r="I79" s="79">
        <f t="shared" si="3"/>
        <v>0</v>
      </c>
      <c r="J79" s="78"/>
      <c r="K79" s="78"/>
      <c r="L79" s="78"/>
      <c r="M79" s="78"/>
    </row>
    <row r="80" spans="1:13" s="10" customFormat="1" x14ac:dyDescent="0.4">
      <c r="A80" s="126" t="s">
        <v>1186</v>
      </c>
      <c r="B80" s="12" t="s">
        <v>252</v>
      </c>
      <c r="C80" s="78">
        <v>-1512.95</v>
      </c>
      <c r="D80" s="78"/>
      <c r="E80" s="78"/>
      <c r="F80" s="78"/>
      <c r="G80" s="79">
        <f t="shared" si="2"/>
        <v>-1512.95</v>
      </c>
      <c r="H80" s="78" t="s">
        <v>292</v>
      </c>
      <c r="I80" s="79">
        <f t="shared" si="3"/>
        <v>-1512.95</v>
      </c>
      <c r="J80" s="78"/>
      <c r="K80" s="78"/>
      <c r="L80" s="78"/>
      <c r="M80" s="78"/>
    </row>
    <row r="81" spans="1:13" s="10" customFormat="1" x14ac:dyDescent="0.4">
      <c r="A81" s="126" t="s">
        <v>1187</v>
      </c>
      <c r="B81" s="12" t="s">
        <v>1188</v>
      </c>
      <c r="C81" s="78">
        <v>-460.2</v>
      </c>
      <c r="D81" s="78"/>
      <c r="E81" s="78"/>
      <c r="F81" s="78"/>
      <c r="G81" s="79">
        <f t="shared" si="2"/>
        <v>-460.2</v>
      </c>
      <c r="H81" s="78" t="s">
        <v>292</v>
      </c>
      <c r="I81" s="79">
        <f t="shared" si="3"/>
        <v>-460.2</v>
      </c>
      <c r="J81" s="78"/>
      <c r="K81" s="78"/>
      <c r="L81" s="78"/>
      <c r="M81" s="78"/>
    </row>
    <row r="82" spans="1:13" s="10" customFormat="1" x14ac:dyDescent="0.4">
      <c r="A82" s="126" t="s">
        <v>1189</v>
      </c>
      <c r="B82" s="12" t="s">
        <v>220</v>
      </c>
      <c r="C82" s="78">
        <v>-128.47999999999999</v>
      </c>
      <c r="D82" s="78"/>
      <c r="E82" s="78"/>
      <c r="F82" s="78"/>
      <c r="G82" s="79">
        <f t="shared" si="2"/>
        <v>-128.47999999999999</v>
      </c>
      <c r="H82" s="78" t="s">
        <v>292</v>
      </c>
      <c r="I82" s="79">
        <f t="shared" si="3"/>
        <v>-128.47999999999999</v>
      </c>
      <c r="J82" s="78"/>
      <c r="K82" s="78"/>
      <c r="L82" s="78"/>
      <c r="M82" s="78"/>
    </row>
    <row r="83" spans="1:13" s="10" customFormat="1" x14ac:dyDescent="0.4">
      <c r="A83" s="126" t="s">
        <v>1190</v>
      </c>
      <c r="B83" s="12" t="s">
        <v>1191</v>
      </c>
      <c r="C83" s="78">
        <v>-51</v>
      </c>
      <c r="D83" s="78"/>
      <c r="E83" s="78"/>
      <c r="F83" s="78"/>
      <c r="G83" s="79">
        <f t="shared" si="2"/>
        <v>-51</v>
      </c>
      <c r="H83" s="78" t="s">
        <v>292</v>
      </c>
      <c r="I83" s="79">
        <f t="shared" si="3"/>
        <v>-51</v>
      </c>
      <c r="J83" s="78"/>
      <c r="K83" s="78"/>
      <c r="L83" s="78"/>
      <c r="M83" s="78"/>
    </row>
    <row r="84" spans="1:13" s="10" customFormat="1" x14ac:dyDescent="0.4">
      <c r="A84" s="126" t="s">
        <v>1192</v>
      </c>
      <c r="B84" s="12" t="s">
        <v>1193</v>
      </c>
      <c r="C84" s="78">
        <v>-874.8</v>
      </c>
      <c r="D84" s="78"/>
      <c r="E84" s="78"/>
      <c r="F84" s="78"/>
      <c r="G84" s="79">
        <f t="shared" si="2"/>
        <v>-874.8</v>
      </c>
      <c r="H84" s="78" t="s">
        <v>292</v>
      </c>
      <c r="I84" s="79">
        <f t="shared" si="3"/>
        <v>-874.8</v>
      </c>
      <c r="J84" s="78"/>
      <c r="K84" s="78"/>
      <c r="L84" s="78"/>
      <c r="M84" s="78"/>
    </row>
    <row r="85" spans="1:13" s="10" customFormat="1" x14ac:dyDescent="0.4">
      <c r="A85" s="126" t="s">
        <v>1194</v>
      </c>
      <c r="B85" s="12" t="s">
        <v>1195</v>
      </c>
      <c r="C85" s="78">
        <v>-8484.3700000000008</v>
      </c>
      <c r="D85" s="78"/>
      <c r="E85" s="78"/>
      <c r="F85" s="78"/>
      <c r="G85" s="79">
        <f t="shared" si="2"/>
        <v>-8484.3700000000008</v>
      </c>
      <c r="H85" s="78" t="s">
        <v>292</v>
      </c>
      <c r="I85" s="79">
        <f t="shared" si="3"/>
        <v>-8484.3700000000008</v>
      </c>
      <c r="J85" s="78"/>
      <c r="K85" s="78"/>
      <c r="L85" s="78"/>
      <c r="M85" s="78"/>
    </row>
    <row r="86" spans="1:13" s="10" customFormat="1" x14ac:dyDescent="0.4">
      <c r="A86" s="126" t="s">
        <v>1196</v>
      </c>
      <c r="B86" s="12" t="s">
        <v>1197</v>
      </c>
      <c r="C86" s="78">
        <v>-217.15</v>
      </c>
      <c r="D86" s="78"/>
      <c r="E86" s="78"/>
      <c r="F86" s="78"/>
      <c r="G86" s="79">
        <f t="shared" si="2"/>
        <v>-217.15</v>
      </c>
      <c r="H86" s="78" t="s">
        <v>292</v>
      </c>
      <c r="I86" s="79">
        <f t="shared" si="3"/>
        <v>-217.15</v>
      </c>
      <c r="J86" s="78"/>
      <c r="K86" s="78"/>
      <c r="L86" s="78"/>
      <c r="M86" s="78"/>
    </row>
    <row r="87" spans="1:13" s="10" customFormat="1" x14ac:dyDescent="0.4">
      <c r="A87" s="126" t="s">
        <v>1198</v>
      </c>
      <c r="B87" s="12" t="s">
        <v>1199</v>
      </c>
      <c r="C87" s="78">
        <v>-278.95</v>
      </c>
      <c r="D87" s="78"/>
      <c r="E87" s="78"/>
      <c r="F87" s="78"/>
      <c r="G87" s="79">
        <f t="shared" si="2"/>
        <v>-278.95</v>
      </c>
      <c r="H87" s="78" t="s">
        <v>292</v>
      </c>
      <c r="I87" s="79">
        <f t="shared" si="3"/>
        <v>-278.95</v>
      </c>
      <c r="J87" s="78"/>
      <c r="K87" s="78"/>
      <c r="L87" s="78"/>
      <c r="M87" s="78"/>
    </row>
    <row r="88" spans="1:13" s="10" customFormat="1" x14ac:dyDescent="0.4">
      <c r="A88" s="126" t="s">
        <v>1200</v>
      </c>
      <c r="B88" s="12" t="s">
        <v>1201</v>
      </c>
      <c r="C88" s="78">
        <v>0</v>
      </c>
      <c r="D88" s="78"/>
      <c r="E88" s="78"/>
      <c r="F88" s="78"/>
      <c r="G88" s="79">
        <f t="shared" si="2"/>
        <v>0</v>
      </c>
      <c r="H88" s="78" t="s">
        <v>292</v>
      </c>
      <c r="I88" s="79">
        <f t="shared" si="3"/>
        <v>0</v>
      </c>
      <c r="J88" s="78"/>
      <c r="K88" s="78"/>
      <c r="L88" s="78"/>
      <c r="M88" s="78"/>
    </row>
    <row r="89" spans="1:13" s="10" customFormat="1" x14ac:dyDescent="0.4">
      <c r="A89" s="126" t="s">
        <v>1202</v>
      </c>
      <c r="B89" s="12" t="s">
        <v>1203</v>
      </c>
      <c r="C89" s="78">
        <v>-1169.92</v>
      </c>
      <c r="D89" s="78"/>
      <c r="E89" s="78"/>
      <c r="F89" s="78"/>
      <c r="G89" s="79">
        <f t="shared" si="2"/>
        <v>-1169.92</v>
      </c>
      <c r="H89" s="78" t="s">
        <v>292</v>
      </c>
      <c r="I89" s="79">
        <f t="shared" si="3"/>
        <v>-1169.92</v>
      </c>
      <c r="J89" s="78"/>
      <c r="K89" s="78"/>
      <c r="L89" s="78"/>
      <c r="M89" s="78"/>
    </row>
    <row r="90" spans="1:13" s="10" customFormat="1" x14ac:dyDescent="0.4">
      <c r="A90" s="126" t="s">
        <v>1204</v>
      </c>
      <c r="B90" s="12" t="s">
        <v>1205</v>
      </c>
      <c r="C90" s="78">
        <v>0</v>
      </c>
      <c r="D90" s="78"/>
      <c r="E90" s="78"/>
      <c r="F90" s="78"/>
      <c r="G90" s="79">
        <f t="shared" si="2"/>
        <v>0</v>
      </c>
      <c r="H90" s="78" t="s">
        <v>292</v>
      </c>
      <c r="I90" s="79">
        <f t="shared" si="3"/>
        <v>0</v>
      </c>
      <c r="J90" s="78"/>
      <c r="K90" s="78"/>
      <c r="L90" s="78"/>
      <c r="M90" s="78"/>
    </row>
    <row r="91" spans="1:13" s="10" customFormat="1" x14ac:dyDescent="0.4">
      <c r="A91" s="126" t="s">
        <v>1206</v>
      </c>
      <c r="B91" s="12" t="s">
        <v>1207</v>
      </c>
      <c r="C91" s="78">
        <v>-168.34</v>
      </c>
      <c r="D91" s="78"/>
      <c r="E91" s="78"/>
      <c r="F91" s="78"/>
      <c r="G91" s="79">
        <f t="shared" si="2"/>
        <v>-168.34</v>
      </c>
      <c r="H91" s="78" t="s">
        <v>292</v>
      </c>
      <c r="I91" s="79">
        <f t="shared" si="3"/>
        <v>-168.34</v>
      </c>
      <c r="J91" s="78"/>
      <c r="K91" s="78"/>
      <c r="L91" s="78"/>
      <c r="M91" s="78"/>
    </row>
    <row r="92" spans="1:13" s="10" customFormat="1" x14ac:dyDescent="0.4">
      <c r="A92" s="126" t="s">
        <v>1208</v>
      </c>
      <c r="B92" s="12" t="s">
        <v>1209</v>
      </c>
      <c r="C92" s="78">
        <v>-81868.929999999993</v>
      </c>
      <c r="D92" s="78"/>
      <c r="E92" s="78"/>
      <c r="F92" s="78"/>
      <c r="G92" s="79">
        <f t="shared" si="2"/>
        <v>-81868.929999999993</v>
      </c>
      <c r="H92" s="78" t="s">
        <v>292</v>
      </c>
      <c r="I92" s="79">
        <f t="shared" si="3"/>
        <v>-81868.929999999993</v>
      </c>
      <c r="J92" s="78"/>
      <c r="K92" s="78"/>
      <c r="L92" s="78"/>
      <c r="M92" s="78"/>
    </row>
    <row r="93" spans="1:13" s="10" customFormat="1" x14ac:dyDescent="0.4">
      <c r="A93" s="126" t="s">
        <v>1210</v>
      </c>
      <c r="B93" s="12" t="s">
        <v>1211</v>
      </c>
      <c r="C93" s="82">
        <v>0</v>
      </c>
      <c r="D93" s="78"/>
      <c r="E93" s="78"/>
      <c r="F93" s="78"/>
      <c r="G93" s="79">
        <f t="shared" si="2"/>
        <v>0</v>
      </c>
      <c r="H93" s="78" t="s">
        <v>862</v>
      </c>
      <c r="I93" s="79">
        <f t="shared" si="3"/>
        <v>0</v>
      </c>
      <c r="J93" s="78"/>
      <c r="K93" s="78"/>
      <c r="L93" s="78"/>
      <c r="M93" s="78"/>
    </row>
    <row r="94" spans="1:13" s="10" customFormat="1" x14ac:dyDescent="0.4">
      <c r="A94" s="126" t="s">
        <v>1212</v>
      </c>
      <c r="B94" s="12" t="s">
        <v>161</v>
      </c>
      <c r="C94" s="82">
        <v>0</v>
      </c>
      <c r="D94" s="78"/>
      <c r="E94" s="78"/>
      <c r="F94" s="78"/>
      <c r="G94" s="79">
        <f t="shared" si="2"/>
        <v>0</v>
      </c>
      <c r="H94" s="78" t="s">
        <v>287</v>
      </c>
      <c r="I94" s="79">
        <f t="shared" si="3"/>
        <v>0</v>
      </c>
      <c r="J94" s="78"/>
      <c r="K94" s="78"/>
      <c r="L94" s="78"/>
      <c r="M94" s="78"/>
    </row>
    <row r="95" spans="1:13" s="10" customFormat="1" x14ac:dyDescent="0.4">
      <c r="A95" s="126" t="s">
        <v>1213</v>
      </c>
      <c r="B95" s="12" t="s">
        <v>900</v>
      </c>
      <c r="C95" s="82">
        <v>0</v>
      </c>
      <c r="D95" s="78"/>
      <c r="E95" s="78"/>
      <c r="F95" s="78"/>
      <c r="G95" s="79">
        <f t="shared" si="2"/>
        <v>0</v>
      </c>
      <c r="H95" s="78" t="s">
        <v>287</v>
      </c>
      <c r="I95" s="79">
        <f t="shared" si="3"/>
        <v>0</v>
      </c>
      <c r="J95" s="78"/>
      <c r="K95" s="78"/>
      <c r="L95" s="78"/>
      <c r="M95" s="78"/>
    </row>
    <row r="96" spans="1:13" s="10" customFormat="1" x14ac:dyDescent="0.4">
      <c r="A96" s="126" t="s">
        <v>1214</v>
      </c>
      <c r="B96" s="12" t="s">
        <v>1215</v>
      </c>
      <c r="C96" s="78">
        <v>0</v>
      </c>
      <c r="D96" s="78"/>
      <c r="E96" s="78"/>
      <c r="F96" s="78"/>
      <c r="G96" s="79">
        <f t="shared" si="2"/>
        <v>0</v>
      </c>
      <c r="H96" s="78" t="s">
        <v>862</v>
      </c>
      <c r="I96" s="79">
        <f t="shared" si="3"/>
        <v>0</v>
      </c>
      <c r="J96" s="78"/>
      <c r="K96" s="78"/>
      <c r="L96" s="78"/>
      <c r="M96" s="78"/>
    </row>
    <row r="97" spans="1:13" s="10" customFormat="1" x14ac:dyDescent="0.4">
      <c r="A97" s="126" t="s">
        <v>1216</v>
      </c>
      <c r="B97" s="12" t="s">
        <v>1217</v>
      </c>
      <c r="C97" s="78">
        <v>0</v>
      </c>
      <c r="D97" s="78"/>
      <c r="E97" s="78"/>
      <c r="F97" s="78"/>
      <c r="G97" s="79">
        <f t="shared" si="2"/>
        <v>0</v>
      </c>
      <c r="H97" s="78" t="s">
        <v>862</v>
      </c>
      <c r="I97" s="79">
        <f t="shared" si="3"/>
        <v>0</v>
      </c>
      <c r="J97" s="78"/>
      <c r="K97" s="78"/>
      <c r="L97" s="78"/>
      <c r="M97" s="78"/>
    </row>
    <row r="98" spans="1:13" s="10" customFormat="1" x14ac:dyDescent="0.4">
      <c r="A98" s="126" t="s">
        <v>1218</v>
      </c>
      <c r="B98" s="12" t="s">
        <v>1219</v>
      </c>
      <c r="C98" s="78">
        <v>-2735.63</v>
      </c>
      <c r="D98" s="78"/>
      <c r="E98" s="78"/>
      <c r="F98" s="78"/>
      <c r="G98" s="79">
        <f t="shared" si="2"/>
        <v>-2735.63</v>
      </c>
      <c r="H98" s="78" t="s">
        <v>292</v>
      </c>
      <c r="I98" s="79">
        <f t="shared" si="3"/>
        <v>-2735.63</v>
      </c>
      <c r="J98" s="78"/>
      <c r="K98" s="78"/>
      <c r="L98" s="78"/>
      <c r="M98" s="78"/>
    </row>
    <row r="99" spans="1:13" s="10" customFormat="1" x14ac:dyDescent="0.4">
      <c r="A99" s="126" t="s">
        <v>1220</v>
      </c>
      <c r="B99" s="12" t="s">
        <v>1221</v>
      </c>
      <c r="C99" s="78">
        <v>0</v>
      </c>
      <c r="D99" s="78"/>
      <c r="E99" s="78"/>
      <c r="F99" s="78"/>
      <c r="G99" s="79">
        <f t="shared" si="2"/>
        <v>0</v>
      </c>
      <c r="H99" s="78" t="s">
        <v>292</v>
      </c>
      <c r="I99" s="79">
        <f t="shared" si="3"/>
        <v>0</v>
      </c>
      <c r="J99" s="78"/>
      <c r="K99" s="78"/>
      <c r="L99" s="78"/>
      <c r="M99" s="78"/>
    </row>
    <row r="100" spans="1:13" s="10" customFormat="1" x14ac:dyDescent="0.4">
      <c r="A100" s="126" t="s">
        <v>1222</v>
      </c>
      <c r="B100" s="12" t="s">
        <v>1223</v>
      </c>
      <c r="C100" s="78">
        <v>-77139.570000000007</v>
      </c>
      <c r="D100" s="78"/>
      <c r="E100" s="78"/>
      <c r="F100" s="78"/>
      <c r="G100" s="79">
        <f t="shared" si="2"/>
        <v>-77139.570000000007</v>
      </c>
      <c r="H100" s="78" t="s">
        <v>289</v>
      </c>
      <c r="I100" s="79">
        <f t="shared" si="3"/>
        <v>-77139.570000000007</v>
      </c>
      <c r="J100" s="78"/>
      <c r="K100" s="78"/>
      <c r="L100" s="78"/>
      <c r="M100" s="78"/>
    </row>
    <row r="101" spans="1:13" s="10" customFormat="1" x14ac:dyDescent="0.4">
      <c r="A101" s="126" t="s">
        <v>1224</v>
      </c>
      <c r="B101" s="12" t="s">
        <v>1225</v>
      </c>
      <c r="C101" s="78">
        <v>-774.3</v>
      </c>
      <c r="D101" s="78"/>
      <c r="E101" s="78"/>
      <c r="F101" s="78"/>
      <c r="G101" s="79">
        <f t="shared" si="2"/>
        <v>-774.3</v>
      </c>
      <c r="H101" s="78" t="s">
        <v>292</v>
      </c>
      <c r="I101" s="79">
        <f t="shared" si="3"/>
        <v>-774.3</v>
      </c>
      <c r="J101" s="78"/>
      <c r="K101" s="78"/>
      <c r="L101" s="78"/>
      <c r="M101" s="78"/>
    </row>
    <row r="102" spans="1:13" s="10" customFormat="1" x14ac:dyDescent="0.4">
      <c r="A102" s="126" t="s">
        <v>1226</v>
      </c>
      <c r="B102" s="12" t="s">
        <v>1227</v>
      </c>
      <c r="C102" s="78">
        <v>-7250</v>
      </c>
      <c r="D102" s="78"/>
      <c r="E102" s="78"/>
      <c r="F102" s="78"/>
      <c r="G102" s="79">
        <f t="shared" si="2"/>
        <v>-7250</v>
      </c>
      <c r="H102" s="78" t="s">
        <v>299</v>
      </c>
      <c r="I102" s="79">
        <f t="shared" si="3"/>
        <v>-7250</v>
      </c>
      <c r="J102" s="78"/>
      <c r="K102" s="78"/>
      <c r="L102" s="78"/>
      <c r="M102" s="78"/>
    </row>
    <row r="103" spans="1:13" s="10" customFormat="1" x14ac:dyDescent="0.4">
      <c r="A103" s="126" t="s">
        <v>1228</v>
      </c>
      <c r="B103" s="12" t="s">
        <v>1229</v>
      </c>
      <c r="C103" s="78">
        <v>0</v>
      </c>
      <c r="D103" s="78"/>
      <c r="E103" s="78"/>
      <c r="F103" s="78"/>
      <c r="G103" s="79">
        <f t="shared" si="2"/>
        <v>0</v>
      </c>
      <c r="H103" s="78" t="s">
        <v>299</v>
      </c>
      <c r="I103" s="79">
        <f t="shared" si="3"/>
        <v>0</v>
      </c>
      <c r="J103" s="78"/>
      <c r="K103" s="78"/>
      <c r="L103" s="78"/>
      <c r="M103" s="78"/>
    </row>
    <row r="104" spans="1:13" s="10" customFormat="1" x14ac:dyDescent="0.4">
      <c r="A104" s="126" t="s">
        <v>1230</v>
      </c>
      <c r="B104" s="12" t="s">
        <v>1231</v>
      </c>
      <c r="C104" s="78">
        <v>0</v>
      </c>
      <c r="D104" s="78"/>
      <c r="E104" s="78"/>
      <c r="F104" s="78"/>
      <c r="G104" s="79">
        <f t="shared" si="2"/>
        <v>0</v>
      </c>
      <c r="H104" s="78" t="s">
        <v>299</v>
      </c>
      <c r="I104" s="79">
        <f>G104*1</f>
        <v>0</v>
      </c>
      <c r="J104" s="78"/>
      <c r="K104" s="78"/>
      <c r="L104" s="78"/>
      <c r="M104" s="78"/>
    </row>
    <row r="105" spans="1:13" x14ac:dyDescent="0.4">
      <c r="C105" s="20">
        <f>SUM(C6:C104)</f>
        <v>-253212.51</v>
      </c>
      <c r="D105" s="20">
        <f>SUM(D6:D104)</f>
        <v>0</v>
      </c>
      <c r="E105" s="20">
        <f>SUM(E6:E104)</f>
        <v>0</v>
      </c>
      <c r="F105" s="20">
        <f>SUM(F6:F104)</f>
        <v>0</v>
      </c>
      <c r="G105" s="20">
        <f>SUM(G6:G104)</f>
        <v>-253212.51</v>
      </c>
      <c r="H105" s="84"/>
      <c r="I105" s="20">
        <f>SUM(I6:I104)</f>
        <v>-253212.51</v>
      </c>
      <c r="J105" s="78"/>
      <c r="K105" s="78"/>
    </row>
    <row r="106" spans="1:13" x14ac:dyDescent="0.4">
      <c r="C106" s="14"/>
      <c r="J106" s="78"/>
      <c r="K106" s="78"/>
    </row>
    <row r="107" spans="1:13" x14ac:dyDescent="0.4">
      <c r="J107" s="78"/>
    </row>
    <row r="108" spans="1:13" x14ac:dyDescent="0.4">
      <c r="C108" s="14"/>
      <c r="J108" s="78"/>
      <c r="K108" s="21"/>
      <c r="L108" s="21"/>
      <c r="M108" s="21"/>
    </row>
    <row r="109" spans="1:13" x14ac:dyDescent="0.4">
      <c r="C109" s="14"/>
      <c r="I109" s="67"/>
      <c r="K109" s="21"/>
      <c r="L109" s="21"/>
      <c r="M109" s="21"/>
    </row>
    <row r="110" spans="1:13" x14ac:dyDescent="0.4">
      <c r="B110" s="76"/>
      <c r="C110" s="14"/>
      <c r="K110" s="21"/>
      <c r="L110" s="21"/>
      <c r="M110" s="21"/>
    </row>
    <row r="111" spans="1:13" x14ac:dyDescent="0.4">
      <c r="B111" s="76"/>
      <c r="C111" s="14"/>
      <c r="K111" s="21"/>
      <c r="L111" s="21"/>
      <c r="M111" s="21"/>
    </row>
    <row r="112" spans="1:13" x14ac:dyDescent="0.4">
      <c r="B112" s="76"/>
      <c r="C112" s="14" t="s">
        <v>261</v>
      </c>
      <c r="K112" s="21"/>
      <c r="L112" s="21"/>
      <c r="M112" s="21"/>
    </row>
    <row r="113" spans="2:13" x14ac:dyDescent="0.4">
      <c r="B113" s="76"/>
      <c r="C113" s="14"/>
      <c r="K113" s="21"/>
      <c r="L113" s="21"/>
      <c r="M113" s="21"/>
    </row>
    <row r="114" spans="2:13" x14ac:dyDescent="0.4">
      <c r="B114" s="76"/>
      <c r="C114" s="14"/>
      <c r="K114" s="21"/>
      <c r="L114" s="21"/>
      <c r="M114" s="21"/>
    </row>
    <row r="115" spans="2:13" x14ac:dyDescent="0.4">
      <c r="B115" s="76"/>
      <c r="C115" s="14"/>
      <c r="K115" s="21"/>
      <c r="L115" s="21"/>
      <c r="M115" s="21"/>
    </row>
    <row r="116" spans="2:13" x14ac:dyDescent="0.4">
      <c r="B116" s="76"/>
      <c r="K116" s="21"/>
      <c r="L116" s="21"/>
      <c r="M116" s="21"/>
    </row>
    <row r="117" spans="2:13" x14ac:dyDescent="0.4">
      <c r="B117" s="76"/>
      <c r="K117" s="21"/>
      <c r="L117" s="21"/>
      <c r="M117" s="21"/>
    </row>
    <row r="118" spans="2:13" x14ac:dyDescent="0.4">
      <c r="B118" s="76"/>
      <c r="K118" s="21"/>
      <c r="L118" s="21"/>
      <c r="M118" s="21"/>
    </row>
    <row r="119" spans="2:13" x14ac:dyDescent="0.4">
      <c r="B119" s="76"/>
      <c r="K119" s="21"/>
      <c r="L119" s="21"/>
      <c r="M119" s="21"/>
    </row>
  </sheetData>
  <pageMargins left="0.7" right="0.7" top="0.75" bottom="0.75" header="0.3" footer="0.3"/>
  <pageSetup orientation="portrait"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1"/>
  <dimension ref="A1:M356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1.05859375" style="76" customWidth="1"/>
    <col min="2" max="2" width="31" style="76" bestFit="1" customWidth="1"/>
    <col min="3" max="3" width="14.05859375" style="78" hidden="1" customWidth="1" outlineLevel="1"/>
    <col min="4" max="4" width="11" style="78" hidden="1" customWidth="1" outlineLevel="1"/>
    <col min="5" max="5" width="13.52734375" style="78" hidden="1" customWidth="1" outlineLevel="1"/>
    <col min="6" max="6" width="12" style="78" hidden="1" customWidth="1" outlineLevel="1"/>
    <col min="7" max="7" width="14.87890625" style="79" hidden="1" customWidth="1" outlineLevel="1"/>
    <col min="8" max="8" width="19" style="76" hidden="1" customWidth="1" outlineLevel="1"/>
    <col min="9" max="9" width="14.52734375" style="79" customWidth="1" collapsed="1"/>
    <col min="10" max="10" width="14.52734375" style="76" customWidth="1"/>
    <col min="11" max="11" width="13.87890625" style="76" customWidth="1"/>
    <col min="12" max="12" width="17.29296875" style="76" customWidth="1"/>
    <col min="13" max="13" width="14.17578125" style="76" customWidth="1"/>
    <col min="14" max="16384" width="9.05859375" style="76"/>
  </cols>
  <sheetData>
    <row r="1" spans="1:13" x14ac:dyDescent="0.4">
      <c r="A1" s="75" t="s">
        <v>901</v>
      </c>
    </row>
    <row r="2" spans="1:13" x14ac:dyDescent="0.4">
      <c r="A2" s="75" t="s">
        <v>482</v>
      </c>
    </row>
    <row r="3" spans="1:13" x14ac:dyDescent="0.4">
      <c r="A3" s="3">
        <v>43190</v>
      </c>
      <c r="D3" s="14" t="s">
        <v>261</v>
      </c>
      <c r="E3" s="14"/>
      <c r="F3" s="14"/>
      <c r="G3" s="19"/>
      <c r="H3" s="4"/>
    </row>
    <row r="5" spans="1:13" x14ac:dyDescent="0.4">
      <c r="A5" s="76" t="s">
        <v>484</v>
      </c>
      <c r="B5" s="68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L5" s="416" t="s">
        <v>282</v>
      </c>
      <c r="M5" s="416" t="s">
        <v>284</v>
      </c>
    </row>
    <row r="6" spans="1:13" x14ac:dyDescent="0.4">
      <c r="A6" s="68" t="s">
        <v>971</v>
      </c>
      <c r="B6" s="68" t="s">
        <v>903</v>
      </c>
      <c r="C6" s="82">
        <v>42111.29</v>
      </c>
      <c r="G6" s="79">
        <f t="shared" ref="G6:G68" si="0">SUM(C6:F6)</f>
        <v>42111.29</v>
      </c>
      <c r="H6" s="78" t="s">
        <v>264</v>
      </c>
      <c r="I6" s="79">
        <f>G6</f>
        <v>42111.29</v>
      </c>
      <c r="L6" s="417" t="s">
        <v>264</v>
      </c>
      <c r="M6" s="418">
        <v>130999.63</v>
      </c>
    </row>
    <row r="7" spans="1:13" x14ac:dyDescent="0.4">
      <c r="A7" s="68" t="s">
        <v>972</v>
      </c>
      <c r="B7" s="68" t="s">
        <v>904</v>
      </c>
      <c r="C7" s="82">
        <v>13443.11</v>
      </c>
      <c r="G7" s="79">
        <f t="shared" si="0"/>
        <v>13443.11</v>
      </c>
      <c r="H7" s="78" t="s">
        <v>264</v>
      </c>
      <c r="I7" s="79">
        <f t="shared" ref="I7:I69" si="1">G7</f>
        <v>13443.11</v>
      </c>
      <c r="L7" s="417" t="s">
        <v>265</v>
      </c>
      <c r="M7" s="418">
        <v>324452.93</v>
      </c>
    </row>
    <row r="8" spans="1:13" x14ac:dyDescent="0.4">
      <c r="A8" s="68" t="s">
        <v>973</v>
      </c>
      <c r="B8" s="68" t="s">
        <v>905</v>
      </c>
      <c r="C8" s="82">
        <v>64321.01</v>
      </c>
      <c r="G8" s="79">
        <f t="shared" si="0"/>
        <v>64321.01</v>
      </c>
      <c r="H8" s="78" t="s">
        <v>264</v>
      </c>
      <c r="I8" s="79">
        <f t="shared" si="1"/>
        <v>64321.01</v>
      </c>
      <c r="L8" s="417" t="s">
        <v>268</v>
      </c>
      <c r="M8" s="418">
        <v>17799.150000000001</v>
      </c>
    </row>
    <row r="9" spans="1:13" x14ac:dyDescent="0.4">
      <c r="A9" s="68" t="s">
        <v>974</v>
      </c>
      <c r="B9" s="68" t="s">
        <v>906</v>
      </c>
      <c r="C9" s="82">
        <v>7908.48</v>
      </c>
      <c r="G9" s="79">
        <f t="shared" si="0"/>
        <v>7908.48</v>
      </c>
      <c r="H9" s="78" t="s">
        <v>264</v>
      </c>
      <c r="I9" s="79">
        <f t="shared" si="1"/>
        <v>7908.48</v>
      </c>
      <c r="L9" s="417" t="s">
        <v>271</v>
      </c>
      <c r="M9" s="418">
        <v>304205.56</v>
      </c>
    </row>
    <row r="10" spans="1:13" x14ac:dyDescent="0.4">
      <c r="A10" s="68" t="s">
        <v>975</v>
      </c>
      <c r="B10" s="68" t="s">
        <v>907</v>
      </c>
      <c r="C10" s="82">
        <v>2247.08</v>
      </c>
      <c r="G10" s="79">
        <f t="shared" si="0"/>
        <v>2247.08</v>
      </c>
      <c r="H10" s="78" t="s">
        <v>264</v>
      </c>
      <c r="I10" s="79">
        <f t="shared" si="1"/>
        <v>2247.08</v>
      </c>
      <c r="L10" s="417" t="s">
        <v>266</v>
      </c>
      <c r="M10" s="418">
        <v>5939312.3899999997</v>
      </c>
    </row>
    <row r="11" spans="1:13" x14ac:dyDescent="0.4">
      <c r="A11" s="68" t="s">
        <v>976</v>
      </c>
      <c r="B11" s="125" t="s">
        <v>908</v>
      </c>
      <c r="C11" s="82">
        <v>-23.07</v>
      </c>
      <c r="G11" s="79">
        <f t="shared" si="0"/>
        <v>-23.07</v>
      </c>
      <c r="H11" s="78" t="s">
        <v>264</v>
      </c>
      <c r="I11" s="79">
        <f t="shared" si="1"/>
        <v>-23.07</v>
      </c>
      <c r="L11" s="417" t="s">
        <v>272</v>
      </c>
      <c r="M11" s="418">
        <v>-3149212.23</v>
      </c>
    </row>
    <row r="12" spans="1:13" x14ac:dyDescent="0.4">
      <c r="A12" s="68" t="s">
        <v>977</v>
      </c>
      <c r="B12" s="125" t="s">
        <v>909</v>
      </c>
      <c r="C12" s="82">
        <v>634.24</v>
      </c>
      <c r="G12" s="79">
        <f t="shared" si="0"/>
        <v>634.24</v>
      </c>
      <c r="H12" s="78" t="s">
        <v>264</v>
      </c>
      <c r="I12" s="79">
        <f t="shared" si="1"/>
        <v>634.24</v>
      </c>
      <c r="L12" s="417" t="s">
        <v>274</v>
      </c>
      <c r="M12" s="418">
        <v>-4034684.91</v>
      </c>
    </row>
    <row r="13" spans="1:13" x14ac:dyDescent="0.4">
      <c r="A13" s="68" t="s">
        <v>312</v>
      </c>
      <c r="B13" s="68" t="s">
        <v>910</v>
      </c>
      <c r="C13" s="82">
        <v>381177.93</v>
      </c>
      <c r="G13" s="79">
        <f t="shared" si="0"/>
        <v>381177.93</v>
      </c>
      <c r="H13" s="78" t="s">
        <v>265</v>
      </c>
      <c r="I13" s="79">
        <f t="shared" si="1"/>
        <v>381177.93</v>
      </c>
      <c r="L13" s="417" t="s">
        <v>650</v>
      </c>
      <c r="M13" s="418">
        <v>2812009.41</v>
      </c>
    </row>
    <row r="14" spans="1:13" x14ac:dyDescent="0.4">
      <c r="A14" s="68" t="s">
        <v>978</v>
      </c>
      <c r="B14" s="68" t="s">
        <v>14</v>
      </c>
      <c r="C14" s="82">
        <v>-56725</v>
      </c>
      <c r="G14" s="79">
        <f t="shared" si="0"/>
        <v>-56725</v>
      </c>
      <c r="H14" s="78" t="s">
        <v>265</v>
      </c>
      <c r="I14" s="79">
        <f t="shared" si="1"/>
        <v>-56725</v>
      </c>
      <c r="L14" s="417" t="s">
        <v>278</v>
      </c>
      <c r="M14" s="418">
        <v>20589035.780000001</v>
      </c>
    </row>
    <row r="15" spans="1:13" x14ac:dyDescent="0.4">
      <c r="A15" s="68" t="s">
        <v>1043</v>
      </c>
      <c r="B15" s="68" t="s">
        <v>1044</v>
      </c>
      <c r="C15" s="82">
        <v>433.64</v>
      </c>
      <c r="G15" s="79">
        <f t="shared" si="0"/>
        <v>433.64</v>
      </c>
      <c r="H15" s="78" t="s">
        <v>271</v>
      </c>
      <c r="I15" s="79">
        <f t="shared" si="1"/>
        <v>433.64</v>
      </c>
      <c r="L15" s="417" t="s">
        <v>276</v>
      </c>
      <c r="M15" s="418">
        <v>-754016.84</v>
      </c>
    </row>
    <row r="16" spans="1:13" x14ac:dyDescent="0.4">
      <c r="A16" s="68" t="s">
        <v>979</v>
      </c>
      <c r="B16" s="68" t="s">
        <v>911</v>
      </c>
      <c r="C16" s="82">
        <v>5455.58</v>
      </c>
      <c r="G16" s="79">
        <f t="shared" si="0"/>
        <v>5455.58</v>
      </c>
      <c r="H16" s="78" t="s">
        <v>271</v>
      </c>
      <c r="I16" s="79">
        <f t="shared" si="1"/>
        <v>5455.58</v>
      </c>
      <c r="K16" s="77"/>
      <c r="L16" s="417" t="s">
        <v>275</v>
      </c>
      <c r="M16" s="418">
        <v>5437.5</v>
      </c>
    </row>
    <row r="17" spans="1:13" x14ac:dyDescent="0.4">
      <c r="A17" s="68" t="s">
        <v>980</v>
      </c>
      <c r="B17" s="68" t="s">
        <v>912</v>
      </c>
      <c r="C17" s="82">
        <v>432313.47</v>
      </c>
      <c r="G17" s="79">
        <f t="shared" si="0"/>
        <v>432313.47</v>
      </c>
      <c r="H17" s="78" t="s">
        <v>650</v>
      </c>
      <c r="I17" s="79">
        <f t="shared" si="1"/>
        <v>432313.47</v>
      </c>
      <c r="K17" s="77"/>
      <c r="L17" s="417" t="s">
        <v>277</v>
      </c>
      <c r="M17" s="418">
        <v>-20785924.02</v>
      </c>
    </row>
    <row r="18" spans="1:13" x14ac:dyDescent="0.4">
      <c r="A18" s="125" t="s">
        <v>981</v>
      </c>
      <c r="B18" s="125" t="s">
        <v>913</v>
      </c>
      <c r="C18" s="82">
        <v>2231420.66</v>
      </c>
      <c r="G18" s="79">
        <f t="shared" si="0"/>
        <v>2231420.66</v>
      </c>
      <c r="H18" s="78" t="s">
        <v>650</v>
      </c>
      <c r="I18" s="79">
        <f t="shared" si="1"/>
        <v>2231420.66</v>
      </c>
      <c r="L18" s="417" t="s">
        <v>859</v>
      </c>
      <c r="M18" s="418">
        <v>-1280078.53</v>
      </c>
    </row>
    <row r="19" spans="1:13" x14ac:dyDescent="0.4">
      <c r="A19" s="125" t="s">
        <v>982</v>
      </c>
      <c r="B19" s="125" t="s">
        <v>914</v>
      </c>
      <c r="C19" s="82">
        <v>557674</v>
      </c>
      <c r="G19" s="79">
        <f t="shared" si="0"/>
        <v>557674</v>
      </c>
      <c r="H19" s="78" t="s">
        <v>650</v>
      </c>
      <c r="I19" s="79">
        <f t="shared" si="1"/>
        <v>557674</v>
      </c>
      <c r="L19" s="417" t="s">
        <v>860</v>
      </c>
      <c r="M19" s="418">
        <v>-119335.82</v>
      </c>
    </row>
    <row r="20" spans="1:13" x14ac:dyDescent="0.4">
      <c r="A20" s="68" t="s">
        <v>983</v>
      </c>
      <c r="B20" s="68" t="s">
        <v>915</v>
      </c>
      <c r="C20" s="82">
        <v>51220.9</v>
      </c>
      <c r="G20" s="79">
        <f t="shared" si="0"/>
        <v>51220.9</v>
      </c>
      <c r="H20" s="78" t="s">
        <v>650</v>
      </c>
      <c r="I20" s="79">
        <f t="shared" si="1"/>
        <v>51220.9</v>
      </c>
      <c r="L20" s="417" t="s">
        <v>283</v>
      </c>
      <c r="M20" s="418">
        <v>0</v>
      </c>
    </row>
    <row r="21" spans="1:13" ht="14.35" x14ac:dyDescent="0.5">
      <c r="A21" s="68" t="s">
        <v>984</v>
      </c>
      <c r="B21" s="68" t="s">
        <v>916</v>
      </c>
      <c r="C21" s="82">
        <v>60000</v>
      </c>
      <c r="G21" s="79">
        <f t="shared" si="0"/>
        <v>60000</v>
      </c>
      <c r="H21" s="78" t="s">
        <v>271</v>
      </c>
      <c r="I21" s="79">
        <f t="shared" si="1"/>
        <v>60000</v>
      </c>
      <c r="L21"/>
      <c r="M21"/>
    </row>
    <row r="22" spans="1:13" ht="14.35" x14ac:dyDescent="0.5">
      <c r="A22" s="68" t="s">
        <v>985</v>
      </c>
      <c r="B22" s="68" t="s">
        <v>917</v>
      </c>
      <c r="C22" s="82">
        <v>-27854.86</v>
      </c>
      <c r="G22" s="79">
        <f t="shared" si="0"/>
        <v>-27854.86</v>
      </c>
      <c r="H22" s="78" t="s">
        <v>650</v>
      </c>
      <c r="I22" s="79">
        <f t="shared" si="1"/>
        <v>-27854.86</v>
      </c>
      <c r="L22"/>
      <c r="M22"/>
    </row>
    <row r="23" spans="1:13" ht="14.35" x14ac:dyDescent="0.5">
      <c r="A23" s="68" t="s">
        <v>986</v>
      </c>
      <c r="B23" s="68" t="s">
        <v>918</v>
      </c>
      <c r="C23" s="82">
        <v>-454729.95</v>
      </c>
      <c r="G23" s="79">
        <f t="shared" si="0"/>
        <v>-454729.95</v>
      </c>
      <c r="H23" s="78" t="s">
        <v>650</v>
      </c>
      <c r="I23" s="79">
        <f t="shared" si="1"/>
        <v>-454729.95</v>
      </c>
      <c r="L23"/>
      <c r="M23"/>
    </row>
    <row r="24" spans="1:13" ht="14.35" x14ac:dyDescent="0.5">
      <c r="A24" s="68" t="s">
        <v>987</v>
      </c>
      <c r="B24" s="68" t="s">
        <v>919</v>
      </c>
      <c r="C24" s="82">
        <v>21965.19</v>
      </c>
      <c r="G24" s="79">
        <f t="shared" si="0"/>
        <v>21965.19</v>
      </c>
      <c r="H24" s="78" t="s">
        <v>650</v>
      </c>
      <c r="I24" s="79">
        <f t="shared" si="1"/>
        <v>21965.19</v>
      </c>
      <c r="L24"/>
      <c r="M24"/>
    </row>
    <row r="25" spans="1:13" ht="14.35" x14ac:dyDescent="0.5">
      <c r="A25" s="68" t="s">
        <v>988</v>
      </c>
      <c r="B25" s="68" t="s">
        <v>55</v>
      </c>
      <c r="C25" s="82">
        <v>356104.48</v>
      </c>
      <c r="G25" s="79">
        <f t="shared" si="0"/>
        <v>356104.48</v>
      </c>
      <c r="H25" s="78" t="s">
        <v>266</v>
      </c>
      <c r="I25" s="79">
        <f t="shared" si="1"/>
        <v>356104.48</v>
      </c>
      <c r="L25"/>
      <c r="M25"/>
    </row>
    <row r="26" spans="1:13" ht="14.35" x14ac:dyDescent="0.5">
      <c r="A26" s="68" t="s">
        <v>989</v>
      </c>
      <c r="B26" s="68" t="s">
        <v>920</v>
      </c>
      <c r="C26" s="82">
        <v>-151222.87</v>
      </c>
      <c r="G26" s="79">
        <f t="shared" si="0"/>
        <v>-151222.87</v>
      </c>
      <c r="H26" s="78" t="s">
        <v>266</v>
      </c>
      <c r="I26" s="79">
        <f t="shared" si="1"/>
        <v>-151222.87</v>
      </c>
      <c r="L26"/>
      <c r="M26"/>
    </row>
    <row r="27" spans="1:13" ht="14.35" x14ac:dyDescent="0.5">
      <c r="A27" s="68" t="s">
        <v>990</v>
      </c>
      <c r="B27" s="68" t="s">
        <v>921</v>
      </c>
      <c r="C27" s="82">
        <v>22222.54</v>
      </c>
      <c r="G27" s="79">
        <f t="shared" si="0"/>
        <v>22222.54</v>
      </c>
      <c r="H27" s="78" t="s">
        <v>266</v>
      </c>
      <c r="I27" s="79">
        <f t="shared" si="1"/>
        <v>22222.54</v>
      </c>
      <c r="L27" s="80"/>
      <c r="M27" s="80"/>
    </row>
    <row r="28" spans="1:13" ht="14.35" x14ac:dyDescent="0.5">
      <c r="A28" s="68" t="s">
        <v>991</v>
      </c>
      <c r="B28" s="68" t="s">
        <v>922</v>
      </c>
      <c r="C28" s="82">
        <v>-20846.599999999999</v>
      </c>
      <c r="G28" s="79">
        <f t="shared" si="0"/>
        <v>-20846.599999999999</v>
      </c>
      <c r="H28" s="78" t="s">
        <v>266</v>
      </c>
      <c r="I28" s="79">
        <f t="shared" si="1"/>
        <v>-20846.599999999999</v>
      </c>
      <c r="L28" s="80"/>
      <c r="M28" s="80"/>
    </row>
    <row r="29" spans="1:13" ht="14.35" x14ac:dyDescent="0.5">
      <c r="A29" s="68" t="s">
        <v>992</v>
      </c>
      <c r="B29" s="68" t="s">
        <v>923</v>
      </c>
      <c r="C29" s="82">
        <v>42000.76</v>
      </c>
      <c r="G29" s="79">
        <f t="shared" si="0"/>
        <v>42000.76</v>
      </c>
      <c r="H29" s="78" t="s">
        <v>266</v>
      </c>
      <c r="I29" s="79">
        <f t="shared" si="1"/>
        <v>42000.76</v>
      </c>
      <c r="L29" s="80"/>
      <c r="M29" s="80"/>
    </row>
    <row r="30" spans="1:13" x14ac:dyDescent="0.4">
      <c r="A30" s="68" t="s">
        <v>993</v>
      </c>
      <c r="B30" s="68" t="s">
        <v>924</v>
      </c>
      <c r="C30" s="82">
        <v>-29617.16</v>
      </c>
      <c r="G30" s="79">
        <f t="shared" si="0"/>
        <v>-29617.16</v>
      </c>
      <c r="H30" s="78" t="s">
        <v>266</v>
      </c>
      <c r="I30" s="79">
        <f t="shared" si="1"/>
        <v>-29617.16</v>
      </c>
    </row>
    <row r="31" spans="1:13" x14ac:dyDescent="0.4">
      <c r="A31" s="68" t="s">
        <v>994</v>
      </c>
      <c r="B31" s="68" t="s">
        <v>925</v>
      </c>
      <c r="C31" s="82">
        <v>1747984.96</v>
      </c>
      <c r="G31" s="79">
        <f t="shared" si="0"/>
        <v>1747984.96</v>
      </c>
      <c r="H31" s="78" t="s">
        <v>266</v>
      </c>
      <c r="I31" s="79">
        <f t="shared" si="1"/>
        <v>1747984.96</v>
      </c>
    </row>
    <row r="32" spans="1:13" x14ac:dyDescent="0.4">
      <c r="A32" s="125" t="s">
        <v>995</v>
      </c>
      <c r="B32" s="125" t="s">
        <v>926</v>
      </c>
      <c r="C32" s="82">
        <v>4705788.3499999996</v>
      </c>
      <c r="G32" s="79">
        <f t="shared" si="0"/>
        <v>4705788.3499999996</v>
      </c>
      <c r="H32" s="78" t="s">
        <v>266</v>
      </c>
      <c r="I32" s="79">
        <f t="shared" si="1"/>
        <v>4705788.3499999996</v>
      </c>
    </row>
    <row r="33" spans="1:11" x14ac:dyDescent="0.4">
      <c r="A33" s="125" t="s">
        <v>996</v>
      </c>
      <c r="B33" s="125" t="s">
        <v>45</v>
      </c>
      <c r="C33" s="82">
        <v>-1300142.53</v>
      </c>
      <c r="G33" s="79">
        <f t="shared" si="0"/>
        <v>-1300142.53</v>
      </c>
      <c r="H33" s="78" t="s">
        <v>266</v>
      </c>
      <c r="I33" s="79">
        <f t="shared" si="1"/>
        <v>-1300142.53</v>
      </c>
    </row>
    <row r="34" spans="1:11" x14ac:dyDescent="0.4">
      <c r="A34" s="68" t="s">
        <v>997</v>
      </c>
      <c r="B34" s="68" t="s">
        <v>927</v>
      </c>
      <c r="C34" s="82">
        <v>225185</v>
      </c>
      <c r="G34" s="79">
        <f t="shared" si="0"/>
        <v>225185</v>
      </c>
      <c r="H34" s="78" t="s">
        <v>266</v>
      </c>
      <c r="I34" s="79">
        <f t="shared" si="1"/>
        <v>225185</v>
      </c>
      <c r="K34" s="77"/>
    </row>
    <row r="35" spans="1:11" x14ac:dyDescent="0.4">
      <c r="A35" s="68" t="s">
        <v>998</v>
      </c>
      <c r="B35" s="68" t="s">
        <v>928</v>
      </c>
      <c r="C35" s="82">
        <v>-124223.45</v>
      </c>
      <c r="G35" s="79">
        <f t="shared" si="0"/>
        <v>-124223.45</v>
      </c>
      <c r="H35" s="78" t="s">
        <v>266</v>
      </c>
      <c r="I35" s="79">
        <f t="shared" si="1"/>
        <v>-124223.45</v>
      </c>
    </row>
    <row r="36" spans="1:11" x14ac:dyDescent="0.4">
      <c r="A36" s="68" t="s">
        <v>999</v>
      </c>
      <c r="B36" s="68" t="s">
        <v>929</v>
      </c>
      <c r="C36" s="82">
        <v>741401.39</v>
      </c>
      <c r="G36" s="79">
        <f t="shared" si="0"/>
        <v>741401.39</v>
      </c>
      <c r="H36" s="78" t="s">
        <v>266</v>
      </c>
      <c r="I36" s="79">
        <f t="shared" si="1"/>
        <v>741401.39</v>
      </c>
    </row>
    <row r="37" spans="1:11" x14ac:dyDescent="0.4">
      <c r="A37" s="68" t="s">
        <v>1000</v>
      </c>
      <c r="B37" s="68" t="s">
        <v>930</v>
      </c>
      <c r="C37" s="82">
        <v>-286177.49</v>
      </c>
      <c r="G37" s="79">
        <f t="shared" si="0"/>
        <v>-286177.49</v>
      </c>
      <c r="H37" s="78" t="s">
        <v>266</v>
      </c>
      <c r="I37" s="79">
        <f t="shared" si="1"/>
        <v>-286177.49</v>
      </c>
    </row>
    <row r="38" spans="1:11" x14ac:dyDescent="0.4">
      <c r="A38" s="68" t="s">
        <v>1001</v>
      </c>
      <c r="B38" s="68" t="s">
        <v>931</v>
      </c>
      <c r="C38" s="82">
        <v>19737.259999999998</v>
      </c>
      <c r="G38" s="79">
        <f t="shared" si="0"/>
        <v>19737.259999999998</v>
      </c>
      <c r="H38" s="78" t="s">
        <v>266</v>
      </c>
      <c r="I38" s="79">
        <f t="shared" si="1"/>
        <v>19737.259999999998</v>
      </c>
    </row>
    <row r="39" spans="1:11" x14ac:dyDescent="0.4">
      <c r="A39" s="125" t="s">
        <v>1002</v>
      </c>
      <c r="B39" s="125" t="s">
        <v>932</v>
      </c>
      <c r="C39" s="82">
        <v>-8882.25</v>
      </c>
      <c r="G39" s="79">
        <f t="shared" si="0"/>
        <v>-8882.25</v>
      </c>
      <c r="H39" s="78" t="s">
        <v>266</v>
      </c>
      <c r="I39" s="79">
        <f t="shared" si="1"/>
        <v>-8882.25</v>
      </c>
    </row>
    <row r="40" spans="1:11" x14ac:dyDescent="0.4">
      <c r="A40" s="68" t="s">
        <v>1003</v>
      </c>
      <c r="B40" s="68" t="s">
        <v>933</v>
      </c>
      <c r="C40" s="82">
        <v>17799.150000000001</v>
      </c>
      <c r="G40" s="79">
        <f t="shared" si="0"/>
        <v>17799.150000000001</v>
      </c>
      <c r="H40" s="78" t="s">
        <v>268</v>
      </c>
      <c r="I40" s="79">
        <f t="shared" si="1"/>
        <v>17799.150000000001</v>
      </c>
    </row>
    <row r="41" spans="1:11" x14ac:dyDescent="0.4">
      <c r="A41" s="68" t="s">
        <v>1004</v>
      </c>
      <c r="B41" s="68" t="s">
        <v>934</v>
      </c>
      <c r="C41" s="82">
        <f>1650+2591.88</f>
        <v>4241.88</v>
      </c>
      <c r="G41" s="79">
        <f t="shared" si="0"/>
        <v>4241.88</v>
      </c>
      <c r="H41" s="78" t="s">
        <v>271</v>
      </c>
      <c r="I41" s="79">
        <f t="shared" si="1"/>
        <v>4241.88</v>
      </c>
    </row>
    <row r="42" spans="1:11" x14ac:dyDescent="0.4">
      <c r="A42" s="68" t="s">
        <v>1005</v>
      </c>
      <c r="B42" s="68" t="s">
        <v>935</v>
      </c>
      <c r="C42" s="82">
        <v>49513.04</v>
      </c>
      <c r="G42" s="79">
        <f t="shared" si="0"/>
        <v>49513.04</v>
      </c>
      <c r="H42" s="78" t="s">
        <v>271</v>
      </c>
      <c r="I42" s="79">
        <f t="shared" si="1"/>
        <v>49513.04</v>
      </c>
    </row>
    <row r="43" spans="1:11" x14ac:dyDescent="0.4">
      <c r="A43" s="68" t="s">
        <v>1006</v>
      </c>
      <c r="B43" s="68" t="s">
        <v>936</v>
      </c>
      <c r="C43" s="82">
        <v>67820.13</v>
      </c>
      <c r="G43" s="79">
        <f t="shared" si="0"/>
        <v>67820.13</v>
      </c>
      <c r="H43" s="78" t="s">
        <v>271</v>
      </c>
      <c r="I43" s="79">
        <f t="shared" si="1"/>
        <v>67820.13</v>
      </c>
    </row>
    <row r="44" spans="1:11" x14ac:dyDescent="0.4">
      <c r="A44" s="68" t="s">
        <v>1007</v>
      </c>
      <c r="B44" s="68" t="s">
        <v>937</v>
      </c>
      <c r="C44" s="82">
        <v>62701.68</v>
      </c>
      <c r="G44" s="79">
        <f t="shared" si="0"/>
        <v>62701.68</v>
      </c>
      <c r="H44" s="78" t="s">
        <v>271</v>
      </c>
      <c r="I44" s="79">
        <f t="shared" si="1"/>
        <v>62701.68</v>
      </c>
    </row>
    <row r="45" spans="1:11" x14ac:dyDescent="0.4">
      <c r="A45" s="125" t="s">
        <v>1008</v>
      </c>
      <c r="B45" s="68" t="s">
        <v>938</v>
      </c>
      <c r="C45" s="82">
        <v>41444</v>
      </c>
      <c r="G45" s="79">
        <f t="shared" si="0"/>
        <v>41444</v>
      </c>
      <c r="H45" s="78" t="s">
        <v>271</v>
      </c>
      <c r="I45" s="79">
        <f t="shared" si="1"/>
        <v>41444</v>
      </c>
    </row>
    <row r="46" spans="1:11" x14ac:dyDescent="0.4">
      <c r="A46" s="68" t="s">
        <v>1009</v>
      </c>
      <c r="B46" s="68" t="s">
        <v>939</v>
      </c>
      <c r="C46" s="82">
        <v>12595.61</v>
      </c>
      <c r="G46" s="79">
        <f t="shared" si="0"/>
        <v>12595.61</v>
      </c>
      <c r="H46" s="78" t="s">
        <v>271</v>
      </c>
      <c r="I46" s="79">
        <f t="shared" si="1"/>
        <v>12595.61</v>
      </c>
    </row>
    <row r="47" spans="1:11" x14ac:dyDescent="0.4">
      <c r="A47" s="68" t="s">
        <v>1010</v>
      </c>
      <c r="B47" s="68" t="s">
        <v>940</v>
      </c>
      <c r="C47" s="82">
        <v>357.49</v>
      </c>
      <c r="G47" s="79">
        <f t="shared" si="0"/>
        <v>357.49</v>
      </c>
      <c r="H47" s="78" t="s">
        <v>264</v>
      </c>
      <c r="I47" s="79">
        <f t="shared" si="1"/>
        <v>357.49</v>
      </c>
      <c r="K47" s="77">
        <f>SUM(C40:C47)</f>
        <v>256472.98</v>
      </c>
    </row>
    <row r="48" spans="1:11" x14ac:dyDescent="0.4">
      <c r="A48" s="68" t="s">
        <v>363</v>
      </c>
      <c r="B48" s="68" t="s">
        <v>64</v>
      </c>
      <c r="C48" s="77">
        <v>-1228118.3600000001</v>
      </c>
      <c r="G48" s="79">
        <f t="shared" si="0"/>
        <v>-1228118.3600000001</v>
      </c>
      <c r="H48" s="78" t="s">
        <v>859</v>
      </c>
      <c r="I48" s="79">
        <f t="shared" si="1"/>
        <v>-1228118.3600000001</v>
      </c>
      <c r="K48" s="76">
        <v>255881.1</v>
      </c>
    </row>
    <row r="49" spans="1:11" x14ac:dyDescent="0.4">
      <c r="A49" s="68" t="s">
        <v>1011</v>
      </c>
      <c r="B49" s="68" t="s">
        <v>941</v>
      </c>
      <c r="C49" s="77">
        <v>-51960.17</v>
      </c>
      <c r="D49" s="76"/>
      <c r="G49" s="79">
        <f t="shared" si="0"/>
        <v>-51960.17</v>
      </c>
      <c r="H49" s="78" t="s">
        <v>859</v>
      </c>
      <c r="I49" s="79">
        <f t="shared" si="1"/>
        <v>-51960.17</v>
      </c>
      <c r="K49" s="77">
        <f>K47-K48</f>
        <v>591.88</v>
      </c>
    </row>
    <row r="50" spans="1:11" x14ac:dyDescent="0.4">
      <c r="A50" s="68" t="s">
        <v>1012</v>
      </c>
      <c r="B50" s="68" t="s">
        <v>125</v>
      </c>
      <c r="C50" s="77">
        <v>-3149212.23</v>
      </c>
      <c r="G50" s="79">
        <f t="shared" si="0"/>
        <v>-3149212.23</v>
      </c>
      <c r="H50" s="78" t="s">
        <v>272</v>
      </c>
      <c r="I50" s="79">
        <f t="shared" si="1"/>
        <v>-3149212.23</v>
      </c>
      <c r="K50" s="77">
        <f>SUM(C50:C52)</f>
        <v>-3268548.05</v>
      </c>
    </row>
    <row r="51" spans="1:11" x14ac:dyDescent="0.4">
      <c r="A51" s="125" t="s">
        <v>1013</v>
      </c>
      <c r="B51" s="125" t="s">
        <v>942</v>
      </c>
      <c r="C51" s="77">
        <v>-12575.82</v>
      </c>
      <c r="G51" s="79">
        <f t="shared" si="0"/>
        <v>-12575.82</v>
      </c>
      <c r="H51" s="78" t="s">
        <v>860</v>
      </c>
      <c r="I51" s="79">
        <f t="shared" si="1"/>
        <v>-12575.82</v>
      </c>
      <c r="K51" s="77">
        <f>SUM(K49:K50)</f>
        <v>-3267956.17</v>
      </c>
    </row>
    <row r="52" spans="1:11" x14ac:dyDescent="0.4">
      <c r="A52" s="68" t="s">
        <v>1014</v>
      </c>
      <c r="B52" s="68" t="s">
        <v>943</v>
      </c>
      <c r="C52" s="77">
        <v>-106760</v>
      </c>
      <c r="G52" s="79">
        <f t="shared" si="0"/>
        <v>-106760</v>
      </c>
      <c r="H52" s="78" t="s">
        <v>860</v>
      </c>
      <c r="I52" s="79">
        <f t="shared" si="1"/>
        <v>-106760</v>
      </c>
      <c r="K52" s="77"/>
    </row>
    <row r="53" spans="1:11" x14ac:dyDescent="0.4">
      <c r="A53" s="68" t="s">
        <v>1015</v>
      </c>
      <c r="B53" s="68" t="s">
        <v>944</v>
      </c>
      <c r="C53" s="77">
        <v>-112444.25</v>
      </c>
      <c r="G53" s="79">
        <f t="shared" si="0"/>
        <v>-112444.25</v>
      </c>
      <c r="H53" s="78" t="s">
        <v>274</v>
      </c>
      <c r="I53" s="79">
        <f t="shared" si="1"/>
        <v>-112444.25</v>
      </c>
    </row>
    <row r="54" spans="1:11" x14ac:dyDescent="0.4">
      <c r="A54" s="68" t="s">
        <v>1016</v>
      </c>
      <c r="B54" s="68" t="s">
        <v>945</v>
      </c>
      <c r="C54" s="77">
        <v>-112588.96</v>
      </c>
      <c r="G54" s="79">
        <f t="shared" si="0"/>
        <v>-112588.96</v>
      </c>
      <c r="H54" s="78" t="s">
        <v>274</v>
      </c>
      <c r="I54" s="79">
        <f t="shared" si="1"/>
        <v>-112588.96</v>
      </c>
    </row>
    <row r="55" spans="1:11" x14ac:dyDescent="0.4">
      <c r="A55" s="68" t="s">
        <v>1017</v>
      </c>
      <c r="B55" s="68" t="s">
        <v>946</v>
      </c>
      <c r="C55" s="77">
        <v>-392968.33</v>
      </c>
      <c r="G55" s="79">
        <f t="shared" si="0"/>
        <v>-392968.33</v>
      </c>
      <c r="H55" s="78" t="s">
        <v>274</v>
      </c>
      <c r="I55" s="79">
        <f t="shared" si="1"/>
        <v>-392968.33</v>
      </c>
    </row>
    <row r="56" spans="1:11" x14ac:dyDescent="0.4">
      <c r="A56" s="68" t="s">
        <v>1018</v>
      </c>
      <c r="B56" s="68" t="s">
        <v>947</v>
      </c>
      <c r="C56" s="77">
        <v>-39316.980000000003</v>
      </c>
      <c r="G56" s="79">
        <f t="shared" si="0"/>
        <v>-39316.980000000003</v>
      </c>
      <c r="H56" s="78" t="s">
        <v>274</v>
      </c>
      <c r="I56" s="79">
        <f t="shared" si="1"/>
        <v>-39316.980000000003</v>
      </c>
    </row>
    <row r="57" spans="1:11" x14ac:dyDescent="0.4">
      <c r="A57" s="68" t="s">
        <v>1019</v>
      </c>
      <c r="B57" s="68" t="s">
        <v>948</v>
      </c>
      <c r="C57" s="77">
        <v>-12071.9</v>
      </c>
      <c r="G57" s="79">
        <f t="shared" si="0"/>
        <v>-12071.9</v>
      </c>
      <c r="H57" s="78" t="s">
        <v>274</v>
      </c>
      <c r="I57" s="79">
        <f t="shared" si="1"/>
        <v>-12071.9</v>
      </c>
      <c r="K57" s="77"/>
    </row>
    <row r="58" spans="1:11" x14ac:dyDescent="0.4">
      <c r="A58" s="68" t="s">
        <v>1020</v>
      </c>
      <c r="B58" s="68" t="s">
        <v>949</v>
      </c>
      <c r="C58" s="77">
        <v>-38227.75</v>
      </c>
      <c r="G58" s="79">
        <f t="shared" si="0"/>
        <v>-38227.75</v>
      </c>
      <c r="H58" s="78" t="s">
        <v>274</v>
      </c>
      <c r="I58" s="79">
        <f t="shared" si="1"/>
        <v>-38227.75</v>
      </c>
      <c r="K58" s="77"/>
    </row>
    <row r="59" spans="1:11" x14ac:dyDescent="0.4">
      <c r="A59" s="68" t="s">
        <v>1021</v>
      </c>
      <c r="B59" s="68" t="s">
        <v>950</v>
      </c>
      <c r="C59" s="77">
        <v>-51704</v>
      </c>
      <c r="G59" s="79">
        <f t="shared" si="0"/>
        <v>-51704</v>
      </c>
      <c r="H59" s="78" t="s">
        <v>274</v>
      </c>
      <c r="I59" s="79">
        <f t="shared" si="1"/>
        <v>-51704</v>
      </c>
      <c r="K59" s="77"/>
    </row>
    <row r="60" spans="1:11" x14ac:dyDescent="0.4">
      <c r="A60" s="68" t="s">
        <v>1022</v>
      </c>
      <c r="B60" s="68" t="s">
        <v>951</v>
      </c>
      <c r="C60" s="77">
        <v>-7697.73</v>
      </c>
      <c r="G60" s="79">
        <f t="shared" si="0"/>
        <v>-7697.73</v>
      </c>
      <c r="H60" s="78" t="s">
        <v>274</v>
      </c>
      <c r="I60" s="79">
        <f t="shared" si="1"/>
        <v>-7697.73</v>
      </c>
      <c r="K60" s="77"/>
    </row>
    <row r="61" spans="1:11" x14ac:dyDescent="0.4">
      <c r="A61" s="68" t="s">
        <v>1023</v>
      </c>
      <c r="B61" s="68" t="s">
        <v>952</v>
      </c>
      <c r="C61" s="77">
        <v>-29488.46</v>
      </c>
      <c r="G61" s="79">
        <f t="shared" si="0"/>
        <v>-29488.46</v>
      </c>
      <c r="H61" s="78" t="s">
        <v>274</v>
      </c>
      <c r="I61" s="79">
        <f t="shared" si="1"/>
        <v>-29488.46</v>
      </c>
    </row>
    <row r="62" spans="1:11" x14ac:dyDescent="0.4">
      <c r="A62" s="68" t="s">
        <v>1024</v>
      </c>
      <c r="B62" s="68" t="s">
        <v>953</v>
      </c>
      <c r="C62" s="77">
        <v>-108838.66</v>
      </c>
      <c r="G62" s="79">
        <f t="shared" si="0"/>
        <v>-108838.66</v>
      </c>
      <c r="H62" s="78" t="s">
        <v>274</v>
      </c>
      <c r="I62" s="79">
        <f t="shared" si="1"/>
        <v>-108838.66</v>
      </c>
    </row>
    <row r="63" spans="1:11" x14ac:dyDescent="0.4">
      <c r="A63" s="68" t="s">
        <v>1026</v>
      </c>
      <c r="B63" s="68" t="s">
        <v>955</v>
      </c>
      <c r="C63" s="77">
        <v>-33215.33</v>
      </c>
      <c r="G63" s="79">
        <f t="shared" si="0"/>
        <v>-33215.33</v>
      </c>
      <c r="H63" s="78" t="s">
        <v>274</v>
      </c>
      <c r="I63" s="79">
        <f t="shared" si="1"/>
        <v>-33215.33</v>
      </c>
    </row>
    <row r="64" spans="1:11" x14ac:dyDescent="0.4">
      <c r="A64" s="68" t="s">
        <v>1027</v>
      </c>
      <c r="B64" s="68" t="s">
        <v>956</v>
      </c>
      <c r="C64" s="77">
        <v>-447500</v>
      </c>
      <c r="G64" s="79">
        <f t="shared" si="0"/>
        <v>-447500</v>
      </c>
      <c r="H64" s="78" t="s">
        <v>274</v>
      </c>
      <c r="I64" s="79">
        <f t="shared" si="1"/>
        <v>-447500</v>
      </c>
    </row>
    <row r="65" spans="1:11" x14ac:dyDescent="0.4">
      <c r="A65" s="68" t="s">
        <v>1028</v>
      </c>
      <c r="B65" s="68" t="s">
        <v>957</v>
      </c>
      <c r="C65" s="77">
        <v>-47425.919999999998</v>
      </c>
      <c r="G65" s="79">
        <f t="shared" si="0"/>
        <v>-47425.919999999998</v>
      </c>
      <c r="H65" s="78" t="s">
        <v>274</v>
      </c>
      <c r="I65" s="79">
        <f t="shared" si="1"/>
        <v>-47425.919999999998</v>
      </c>
      <c r="K65" s="77"/>
    </row>
    <row r="66" spans="1:11" x14ac:dyDescent="0.4">
      <c r="A66" s="68" t="s">
        <v>1029</v>
      </c>
      <c r="B66" s="68" t="s">
        <v>958</v>
      </c>
      <c r="C66" s="77">
        <v>-47453.14</v>
      </c>
      <c r="G66" s="79">
        <f t="shared" si="0"/>
        <v>-47453.14</v>
      </c>
      <c r="H66" s="78" t="s">
        <v>274</v>
      </c>
      <c r="I66" s="79">
        <f t="shared" si="1"/>
        <v>-47453.14</v>
      </c>
      <c r="K66" s="77"/>
    </row>
    <row r="67" spans="1:11" x14ac:dyDescent="0.4">
      <c r="A67" s="68" t="s">
        <v>1030</v>
      </c>
      <c r="B67" s="68" t="s">
        <v>959</v>
      </c>
      <c r="C67" s="77">
        <v>-261500</v>
      </c>
      <c r="G67" s="79">
        <f t="shared" si="0"/>
        <v>-261500</v>
      </c>
      <c r="H67" s="78" t="s">
        <v>274</v>
      </c>
      <c r="I67" s="79">
        <f t="shared" si="1"/>
        <v>-261500</v>
      </c>
    </row>
    <row r="68" spans="1:11" x14ac:dyDescent="0.4">
      <c r="A68" s="68" t="s">
        <v>1031</v>
      </c>
      <c r="B68" s="68" t="s">
        <v>960</v>
      </c>
      <c r="C68" s="77">
        <v>-169134.13</v>
      </c>
      <c r="G68" s="79">
        <f t="shared" si="0"/>
        <v>-169134.13</v>
      </c>
      <c r="H68" s="78" t="s">
        <v>274</v>
      </c>
      <c r="I68" s="79">
        <f t="shared" si="1"/>
        <v>-169134.13</v>
      </c>
    </row>
    <row r="69" spans="1:11" x14ac:dyDescent="0.4">
      <c r="A69" s="68" t="s">
        <v>1032</v>
      </c>
      <c r="B69" s="68" t="s">
        <v>961</v>
      </c>
      <c r="C69" s="77">
        <v>-80464.289999999994</v>
      </c>
      <c r="G69" s="79">
        <f t="shared" ref="G69:G84" si="2">SUM(C69:F69)</f>
        <v>-80464.289999999994</v>
      </c>
      <c r="H69" s="78" t="s">
        <v>274</v>
      </c>
      <c r="I69" s="79">
        <f t="shared" si="1"/>
        <v>-80464.289999999994</v>
      </c>
    </row>
    <row r="70" spans="1:11" x14ac:dyDescent="0.4">
      <c r="A70" s="68" t="s">
        <v>1033</v>
      </c>
      <c r="B70" s="68" t="s">
        <v>962</v>
      </c>
      <c r="C70" s="77">
        <v>-65661.37</v>
      </c>
      <c r="G70" s="79">
        <f t="shared" si="2"/>
        <v>-65661.37</v>
      </c>
      <c r="H70" s="78" t="s">
        <v>274</v>
      </c>
      <c r="I70" s="79">
        <f t="shared" ref="I70:I84" si="3">G70</f>
        <v>-65661.37</v>
      </c>
    </row>
    <row r="71" spans="1:11" x14ac:dyDescent="0.4">
      <c r="A71" s="68" t="s">
        <v>1034</v>
      </c>
      <c r="B71" s="68" t="s">
        <v>963</v>
      </c>
      <c r="C71" s="77">
        <v>-69539.61</v>
      </c>
      <c r="G71" s="79">
        <f t="shared" si="2"/>
        <v>-69539.61</v>
      </c>
      <c r="H71" s="78" t="s">
        <v>274</v>
      </c>
      <c r="I71" s="79">
        <f t="shared" si="3"/>
        <v>-69539.61</v>
      </c>
    </row>
    <row r="72" spans="1:11" x14ac:dyDescent="0.4">
      <c r="A72" s="68" t="s">
        <v>1035</v>
      </c>
      <c r="B72" s="68" t="s">
        <v>964</v>
      </c>
      <c r="C72" s="77">
        <v>-77505.94</v>
      </c>
      <c r="G72" s="79">
        <f t="shared" si="2"/>
        <v>-77505.94</v>
      </c>
      <c r="H72" s="78" t="s">
        <v>274</v>
      </c>
      <c r="I72" s="79">
        <f t="shared" si="3"/>
        <v>-77505.94</v>
      </c>
    </row>
    <row r="73" spans="1:11" x14ac:dyDescent="0.4">
      <c r="A73" s="68" t="s">
        <v>1036</v>
      </c>
      <c r="B73" s="68" t="s">
        <v>965</v>
      </c>
      <c r="C73" s="77">
        <v>-130000</v>
      </c>
      <c r="G73" s="79">
        <f t="shared" si="2"/>
        <v>-130000</v>
      </c>
      <c r="H73" s="78" t="s">
        <v>274</v>
      </c>
      <c r="I73" s="79">
        <f t="shared" si="3"/>
        <v>-130000</v>
      </c>
    </row>
    <row r="74" spans="1:11" x14ac:dyDescent="0.4">
      <c r="A74" s="68" t="s">
        <v>1045</v>
      </c>
      <c r="B74" s="68" t="s">
        <v>1046</v>
      </c>
      <c r="C74" s="77">
        <v>-45136.37</v>
      </c>
      <c r="G74" s="79">
        <f t="shared" si="2"/>
        <v>-45136.37</v>
      </c>
      <c r="H74" s="78" t="s">
        <v>274</v>
      </c>
      <c r="I74" s="79">
        <f t="shared" si="3"/>
        <v>-45136.37</v>
      </c>
    </row>
    <row r="75" spans="1:11" x14ac:dyDescent="0.4">
      <c r="A75" s="68" t="s">
        <v>1037</v>
      </c>
      <c r="B75" s="68" t="s">
        <v>966</v>
      </c>
      <c r="C75" s="77">
        <v>-109261.69</v>
      </c>
      <c r="G75" s="79">
        <f t="shared" si="2"/>
        <v>-109261.69</v>
      </c>
      <c r="H75" s="78" t="s">
        <v>274</v>
      </c>
      <c r="I75" s="79">
        <f t="shared" si="3"/>
        <v>-109261.69</v>
      </c>
    </row>
    <row r="76" spans="1:11" x14ac:dyDescent="0.4">
      <c r="A76" s="68" t="s">
        <v>1249</v>
      </c>
      <c r="B76" s="68" t="s">
        <v>926</v>
      </c>
      <c r="C76" s="77">
        <v>-973166</v>
      </c>
      <c r="G76" s="79">
        <f t="shared" si="2"/>
        <v>-973166</v>
      </c>
      <c r="H76" s="78" t="s">
        <v>274</v>
      </c>
      <c r="I76" s="79">
        <f t="shared" si="3"/>
        <v>-973166</v>
      </c>
    </row>
    <row r="77" spans="1:11" x14ac:dyDescent="0.4">
      <c r="A77" s="68" t="s">
        <v>1038</v>
      </c>
      <c r="B77" s="68" t="s">
        <v>967</v>
      </c>
      <c r="C77" s="77">
        <v>-340000</v>
      </c>
      <c r="G77" s="79">
        <f t="shared" si="2"/>
        <v>-340000</v>
      </c>
      <c r="H77" s="78" t="s">
        <v>274</v>
      </c>
      <c r="I77" s="79">
        <f t="shared" si="3"/>
        <v>-340000</v>
      </c>
      <c r="K77" s="77"/>
    </row>
    <row r="78" spans="1:11" x14ac:dyDescent="0.4">
      <c r="A78" s="68" t="s">
        <v>1232</v>
      </c>
      <c r="B78" s="68" t="s">
        <v>1233</v>
      </c>
      <c r="C78" s="77">
        <v>-144978.04</v>
      </c>
      <c r="G78" s="79">
        <f t="shared" si="2"/>
        <v>-144978.04</v>
      </c>
      <c r="H78" s="78" t="s">
        <v>274</v>
      </c>
      <c r="I78" s="79">
        <f t="shared" si="3"/>
        <v>-144978.04</v>
      </c>
      <c r="K78" s="77"/>
    </row>
    <row r="79" spans="1:11" x14ac:dyDescent="0.4">
      <c r="A79" s="68" t="s">
        <v>1236</v>
      </c>
      <c r="B79" s="68" t="s">
        <v>1237</v>
      </c>
      <c r="C79" s="77">
        <v>-87396.06</v>
      </c>
      <c r="G79" s="79">
        <f t="shared" si="2"/>
        <v>-87396.06</v>
      </c>
      <c r="H79" s="78" t="s">
        <v>274</v>
      </c>
      <c r="I79" s="79">
        <f t="shared" si="3"/>
        <v>-87396.06</v>
      </c>
      <c r="K79" s="77">
        <f>SUM(C53:C79)</f>
        <v>-4034684.91</v>
      </c>
    </row>
    <row r="80" spans="1:11" x14ac:dyDescent="0.4">
      <c r="A80" s="68" t="s">
        <v>1039</v>
      </c>
      <c r="B80" s="68" t="s">
        <v>138</v>
      </c>
      <c r="C80" s="77">
        <v>20808269.530000001</v>
      </c>
      <c r="G80" s="79">
        <f t="shared" si="2"/>
        <v>20808269.530000001</v>
      </c>
      <c r="H80" s="78" t="s">
        <v>278</v>
      </c>
      <c r="I80" s="79">
        <f t="shared" si="3"/>
        <v>20808269.530000001</v>
      </c>
      <c r="K80" s="76">
        <v>4034684.91</v>
      </c>
    </row>
    <row r="81" spans="1:13" x14ac:dyDescent="0.4">
      <c r="A81" s="68" t="s">
        <v>1040</v>
      </c>
      <c r="B81" s="68" t="s">
        <v>968</v>
      </c>
      <c r="C81" s="77">
        <v>-754016.84</v>
      </c>
      <c r="G81" s="79">
        <f t="shared" si="2"/>
        <v>-754016.84</v>
      </c>
      <c r="H81" s="78" t="s">
        <v>276</v>
      </c>
      <c r="I81" s="79">
        <f t="shared" si="3"/>
        <v>-754016.84</v>
      </c>
      <c r="K81" s="77">
        <f>SUM(K79:K80)</f>
        <v>0</v>
      </c>
    </row>
    <row r="82" spans="1:13" x14ac:dyDescent="0.4">
      <c r="A82" s="68" t="s">
        <v>1041</v>
      </c>
      <c r="B82" s="68" t="s">
        <v>969</v>
      </c>
      <c r="C82" s="77">
        <v>5437.5</v>
      </c>
      <c r="G82" s="79">
        <f t="shared" si="2"/>
        <v>5437.5</v>
      </c>
      <c r="H82" s="78" t="s">
        <v>275</v>
      </c>
      <c r="I82" s="79">
        <f t="shared" si="3"/>
        <v>5437.5</v>
      </c>
    </row>
    <row r="83" spans="1:13" x14ac:dyDescent="0.4">
      <c r="A83" s="68" t="s">
        <v>1042</v>
      </c>
      <c r="B83" s="68" t="s">
        <v>970</v>
      </c>
      <c r="C83" s="77">
        <v>-20785924.02</v>
      </c>
      <c r="G83" s="79">
        <f t="shared" si="2"/>
        <v>-20785924.02</v>
      </c>
      <c r="H83" s="78" t="s">
        <v>277</v>
      </c>
      <c r="I83" s="79">
        <f t="shared" si="3"/>
        <v>-20785924.02</v>
      </c>
    </row>
    <row r="84" spans="1:13" x14ac:dyDescent="0.4">
      <c r="A84" s="68" t="s">
        <v>304</v>
      </c>
      <c r="B84" s="68" t="s">
        <v>142</v>
      </c>
      <c r="C84" s="77">
        <v>-219233.75</v>
      </c>
      <c r="G84" s="79">
        <f t="shared" si="2"/>
        <v>-219233.75</v>
      </c>
      <c r="H84" s="78" t="s">
        <v>278</v>
      </c>
      <c r="I84" s="79">
        <f t="shared" si="3"/>
        <v>-219233.75</v>
      </c>
    </row>
    <row r="85" spans="1:13" x14ac:dyDescent="0.4">
      <c r="A85" s="76" t="s">
        <v>483</v>
      </c>
      <c r="B85" s="8"/>
      <c r="C85" s="20">
        <f t="shared" ref="C85:I85" si="4">SUM(C6:C47)+SUM(C48:C84)</f>
        <v>0</v>
      </c>
      <c r="D85" s="20">
        <f t="shared" si="4"/>
        <v>0</v>
      </c>
      <c r="E85" s="20">
        <f t="shared" si="4"/>
        <v>0</v>
      </c>
      <c r="F85" s="20">
        <f t="shared" si="4"/>
        <v>0</v>
      </c>
      <c r="G85" s="20">
        <f t="shared" si="4"/>
        <v>0</v>
      </c>
      <c r="H85" s="20">
        <f t="shared" si="4"/>
        <v>0</v>
      </c>
      <c r="I85" s="20">
        <f t="shared" si="4"/>
        <v>0</v>
      </c>
      <c r="J85" s="92"/>
      <c r="K85" s="92"/>
      <c r="L85" s="92"/>
      <c r="M85" s="92"/>
    </row>
    <row r="86" spans="1:13" x14ac:dyDescent="0.4">
      <c r="B86" s="8"/>
      <c r="H86" s="78"/>
    </row>
    <row r="87" spans="1:13" x14ac:dyDescent="0.4">
      <c r="B87" s="8" t="s">
        <v>261</v>
      </c>
      <c r="H87" s="78"/>
    </row>
    <row r="88" spans="1:13" x14ac:dyDescent="0.4">
      <c r="B88" s="76" t="s">
        <v>285</v>
      </c>
      <c r="C88" s="78">
        <f>SUM(C6:C47)</f>
        <v>9528779.0700000003</v>
      </c>
      <c r="D88" s="78">
        <f t="shared" ref="D88:I88" si="5">SUM(D6:D47)</f>
        <v>0</v>
      </c>
      <c r="E88" s="78">
        <f t="shared" si="5"/>
        <v>0</v>
      </c>
      <c r="F88" s="78">
        <f t="shared" si="5"/>
        <v>0</v>
      </c>
      <c r="G88" s="78">
        <f t="shared" si="5"/>
        <v>9528779.0700000003</v>
      </c>
      <c r="H88" s="78">
        <f t="shared" si="5"/>
        <v>0</v>
      </c>
      <c r="I88" s="78">
        <f t="shared" si="5"/>
        <v>9528779.0700000003</v>
      </c>
      <c r="J88" s="77"/>
    </row>
    <row r="89" spans="1:13" x14ac:dyDescent="0.4">
      <c r="B89" s="76" t="s">
        <v>286</v>
      </c>
      <c r="C89" s="78">
        <f>SUM(C48:C79)</f>
        <v>-8583311.4900000002</v>
      </c>
      <c r="D89" s="78">
        <f t="shared" ref="D89:I89" si="6">SUM(D48:D79)</f>
        <v>0</v>
      </c>
      <c r="E89" s="78">
        <f t="shared" si="6"/>
        <v>0</v>
      </c>
      <c r="F89" s="78">
        <f t="shared" si="6"/>
        <v>0</v>
      </c>
      <c r="G89" s="78">
        <f t="shared" si="6"/>
        <v>-8583311.4900000002</v>
      </c>
      <c r="H89" s="78">
        <f t="shared" si="6"/>
        <v>0</v>
      </c>
      <c r="I89" s="78">
        <f t="shared" si="6"/>
        <v>-8583311.4900000002</v>
      </c>
      <c r="J89" s="77"/>
    </row>
    <row r="90" spans="1:13" x14ac:dyDescent="0.4">
      <c r="B90" s="76" t="s">
        <v>607</v>
      </c>
      <c r="C90" s="78">
        <f>SUM(C80:C84)</f>
        <v>-945467.58</v>
      </c>
      <c r="D90" s="78">
        <f t="shared" ref="D90:I90" si="7">SUM(D80:D84)</f>
        <v>0</v>
      </c>
      <c r="E90" s="78">
        <f t="shared" si="7"/>
        <v>0</v>
      </c>
      <c r="F90" s="78">
        <f t="shared" si="7"/>
        <v>0</v>
      </c>
      <c r="G90" s="78">
        <f t="shared" si="7"/>
        <v>-945467.58</v>
      </c>
      <c r="H90" s="78">
        <f t="shared" si="7"/>
        <v>0</v>
      </c>
      <c r="I90" s="78">
        <f t="shared" si="7"/>
        <v>-945467.58</v>
      </c>
      <c r="J90" s="77"/>
    </row>
    <row r="91" spans="1:13" x14ac:dyDescent="0.4">
      <c r="B91" s="76" t="s">
        <v>483</v>
      </c>
      <c r="C91" s="78">
        <f>SUM(C88:C90)</f>
        <v>0</v>
      </c>
      <c r="D91" s="78">
        <f t="shared" ref="D91:I91" si="8">SUM(D88:D90)</f>
        <v>0</v>
      </c>
      <c r="E91" s="78">
        <f t="shared" si="8"/>
        <v>0</v>
      </c>
      <c r="F91" s="78">
        <f t="shared" si="8"/>
        <v>0</v>
      </c>
      <c r="G91" s="78">
        <f t="shared" si="8"/>
        <v>0</v>
      </c>
      <c r="H91" s="78">
        <f t="shared" si="8"/>
        <v>0</v>
      </c>
      <c r="I91" s="78">
        <f t="shared" si="8"/>
        <v>0</v>
      </c>
      <c r="J91" s="77"/>
    </row>
    <row r="92" spans="1:13" x14ac:dyDescent="0.4">
      <c r="E92" s="77">
        <f>C85+F85</f>
        <v>0</v>
      </c>
      <c r="F92" s="76"/>
      <c r="G92" s="78"/>
      <c r="H92" s="78"/>
    </row>
    <row r="93" spans="1:13" x14ac:dyDescent="0.4">
      <c r="D93" s="76"/>
      <c r="H93" s="78"/>
    </row>
    <row r="94" spans="1:13" x14ac:dyDescent="0.4">
      <c r="D94" s="76"/>
      <c r="H94" s="78"/>
    </row>
    <row r="95" spans="1:13" x14ac:dyDescent="0.4">
      <c r="D95" s="76"/>
      <c r="H95" s="78"/>
    </row>
    <row r="96" spans="1:13" x14ac:dyDescent="0.4">
      <c r="D96" s="76"/>
      <c r="H96" s="78"/>
    </row>
    <row r="97" spans="1:13" x14ac:dyDescent="0.4">
      <c r="D97" s="76"/>
      <c r="H97" s="78"/>
    </row>
    <row r="98" spans="1:13" x14ac:dyDescent="0.4">
      <c r="H98" s="78"/>
      <c r="J98" s="77" t="s">
        <v>261</v>
      </c>
    </row>
    <row r="99" spans="1:13" x14ac:dyDescent="0.4">
      <c r="H99" s="78"/>
    </row>
    <row r="100" spans="1:13" s="79" customFormat="1" x14ac:dyDescent="0.4">
      <c r="A100" s="76"/>
      <c r="B100" s="76"/>
      <c r="C100" s="78"/>
      <c r="D100" s="78"/>
      <c r="E100" s="78"/>
      <c r="F100" s="78"/>
      <c r="H100" s="78"/>
      <c r="J100" s="76"/>
      <c r="K100" s="76"/>
      <c r="L100" s="76"/>
      <c r="M100" s="76"/>
    </row>
    <row r="101" spans="1:13" s="79" customFormat="1" x14ac:dyDescent="0.4">
      <c r="A101" s="76"/>
      <c r="B101" s="76"/>
      <c r="C101" s="78"/>
      <c r="D101" s="78"/>
      <c r="E101" s="78"/>
      <c r="F101" s="78"/>
      <c r="H101" s="78"/>
      <c r="J101" s="76"/>
      <c r="K101" s="76"/>
      <c r="L101" s="76"/>
      <c r="M101" s="76"/>
    </row>
    <row r="102" spans="1:13" s="79" customFormat="1" x14ac:dyDescent="0.4">
      <c r="A102" s="76"/>
      <c r="B102" s="76"/>
      <c r="C102" s="78"/>
      <c r="D102" s="78"/>
      <c r="E102" s="78"/>
      <c r="F102" s="78"/>
      <c r="H102" s="78"/>
      <c r="J102" s="76"/>
      <c r="K102" s="76"/>
      <c r="L102" s="76"/>
      <c r="M102" s="76"/>
    </row>
    <row r="103" spans="1:13" s="79" customFormat="1" x14ac:dyDescent="0.4">
      <c r="A103" s="76"/>
      <c r="B103" s="76"/>
      <c r="C103" s="78"/>
      <c r="D103" s="78"/>
      <c r="E103" s="78"/>
      <c r="F103" s="78"/>
      <c r="H103" s="78"/>
      <c r="J103" s="76"/>
      <c r="K103" s="76"/>
      <c r="L103" s="76"/>
      <c r="M103" s="76"/>
    </row>
    <row r="104" spans="1:13" s="79" customFormat="1" x14ac:dyDescent="0.4">
      <c r="A104" s="76"/>
      <c r="B104" s="76"/>
      <c r="C104" s="78"/>
      <c r="D104" s="78"/>
      <c r="E104" s="78"/>
      <c r="F104" s="78"/>
      <c r="H104" s="78"/>
      <c r="J104" s="76"/>
      <c r="K104" s="76"/>
      <c r="L104" s="76"/>
      <c r="M104" s="76"/>
    </row>
    <row r="105" spans="1:13" s="79" customFormat="1" x14ac:dyDescent="0.4">
      <c r="A105" s="76"/>
      <c r="B105" s="76"/>
      <c r="C105" s="78"/>
      <c r="D105" s="78"/>
      <c r="E105" s="78"/>
      <c r="F105" s="78"/>
      <c r="H105" s="78"/>
      <c r="J105" s="76"/>
      <c r="K105" s="76"/>
      <c r="L105" s="76"/>
      <c r="M105" s="76"/>
    </row>
    <row r="106" spans="1:13" s="79" customFormat="1" x14ac:dyDescent="0.4">
      <c r="A106" s="76"/>
      <c r="B106" s="76"/>
      <c r="C106" s="78"/>
      <c r="D106" s="78"/>
      <c r="E106" s="78"/>
      <c r="F106" s="78"/>
      <c r="H106" s="78"/>
      <c r="J106" s="76"/>
      <c r="K106" s="76"/>
      <c r="L106" s="76"/>
      <c r="M106" s="76"/>
    </row>
    <row r="107" spans="1:13" s="79" customFormat="1" x14ac:dyDescent="0.4">
      <c r="A107" s="76"/>
      <c r="B107" s="76"/>
      <c r="C107" s="78"/>
      <c r="D107" s="78"/>
      <c r="E107" s="78"/>
      <c r="F107" s="78"/>
      <c r="H107" s="78"/>
      <c r="J107" s="76"/>
      <c r="K107" s="76"/>
      <c r="L107" s="76"/>
      <c r="M107" s="76"/>
    </row>
    <row r="108" spans="1:13" s="79" customFormat="1" x14ac:dyDescent="0.4">
      <c r="A108" s="76"/>
      <c r="B108" s="76"/>
      <c r="C108" s="78"/>
      <c r="D108" s="78"/>
      <c r="E108" s="78"/>
      <c r="F108" s="78"/>
      <c r="H108" s="78"/>
      <c r="J108" s="76"/>
      <c r="K108" s="76"/>
      <c r="L108" s="76"/>
      <c r="M108" s="76"/>
    </row>
    <row r="109" spans="1:13" s="79" customFormat="1" x14ac:dyDescent="0.4">
      <c r="A109" s="76"/>
      <c r="B109" s="76"/>
      <c r="C109" s="78"/>
      <c r="D109" s="78"/>
      <c r="E109" s="78"/>
      <c r="F109" s="78"/>
      <c r="H109" s="78"/>
      <c r="J109" s="76"/>
      <c r="K109" s="76"/>
      <c r="L109" s="76"/>
      <c r="M109" s="76"/>
    </row>
    <row r="110" spans="1:13" s="79" customFormat="1" x14ac:dyDescent="0.4">
      <c r="A110" s="76"/>
      <c r="B110" s="76"/>
      <c r="C110" s="78"/>
      <c r="D110" s="78"/>
      <c r="E110" s="78"/>
      <c r="F110" s="78"/>
      <c r="H110" s="78"/>
      <c r="J110" s="76"/>
      <c r="K110" s="76"/>
      <c r="L110" s="76"/>
      <c r="M110" s="76"/>
    </row>
    <row r="111" spans="1:13" s="79" customFormat="1" x14ac:dyDescent="0.4">
      <c r="A111" s="76"/>
      <c r="B111" s="76"/>
      <c r="C111" s="78"/>
      <c r="D111" s="78"/>
      <c r="E111" s="78"/>
      <c r="F111" s="78"/>
      <c r="H111" s="78"/>
      <c r="J111" s="76"/>
      <c r="K111" s="76"/>
      <c r="L111" s="76"/>
      <c r="M111" s="76"/>
    </row>
    <row r="112" spans="1:13" s="79" customFormat="1" x14ac:dyDescent="0.4">
      <c r="A112" s="76"/>
      <c r="B112" s="76"/>
      <c r="C112" s="78"/>
      <c r="D112" s="78"/>
      <c r="E112" s="78"/>
      <c r="F112" s="78"/>
      <c r="H112" s="78"/>
      <c r="J112" s="76"/>
      <c r="K112" s="76"/>
      <c r="L112" s="76"/>
      <c r="M112" s="76"/>
    </row>
    <row r="113" spans="1:13" s="79" customFormat="1" x14ac:dyDescent="0.4">
      <c r="A113" s="76"/>
      <c r="B113" s="76"/>
      <c r="C113" s="78"/>
      <c r="D113" s="78"/>
      <c r="E113" s="78"/>
      <c r="F113" s="78"/>
      <c r="H113" s="78"/>
      <c r="J113" s="76"/>
      <c r="K113" s="76"/>
      <c r="L113" s="76"/>
      <c r="M113" s="76"/>
    </row>
    <row r="114" spans="1:13" s="79" customFormat="1" x14ac:dyDescent="0.4">
      <c r="A114" s="76"/>
      <c r="B114" s="76"/>
      <c r="C114" s="78"/>
      <c r="D114" s="78"/>
      <c r="E114" s="78"/>
      <c r="F114" s="78"/>
      <c r="H114" s="78"/>
      <c r="J114" s="76"/>
      <c r="K114" s="76"/>
      <c r="L114" s="76"/>
      <c r="M114" s="76"/>
    </row>
    <row r="115" spans="1:13" s="79" customFormat="1" x14ac:dyDescent="0.4">
      <c r="A115" s="76"/>
      <c r="B115" s="76"/>
      <c r="C115" s="78"/>
      <c r="D115" s="78"/>
      <c r="E115" s="78"/>
      <c r="F115" s="78"/>
      <c r="H115" s="78"/>
      <c r="J115" s="76"/>
      <c r="K115" s="76"/>
      <c r="L115" s="76"/>
      <c r="M115" s="76"/>
    </row>
    <row r="116" spans="1:13" s="79" customFormat="1" x14ac:dyDescent="0.4">
      <c r="A116" s="76"/>
      <c r="B116" s="76"/>
      <c r="C116" s="78"/>
      <c r="D116" s="78"/>
      <c r="E116" s="78"/>
      <c r="F116" s="78"/>
      <c r="H116" s="78"/>
      <c r="J116" s="76"/>
      <c r="K116" s="76"/>
      <c r="L116" s="76"/>
      <c r="M116" s="76"/>
    </row>
    <row r="117" spans="1:13" s="79" customFormat="1" x14ac:dyDescent="0.4">
      <c r="A117" s="76"/>
      <c r="B117" s="76"/>
      <c r="C117" s="78"/>
      <c r="D117" s="78"/>
      <c r="E117" s="78"/>
      <c r="F117" s="78"/>
      <c r="H117" s="78"/>
      <c r="J117" s="76"/>
      <c r="K117" s="76"/>
      <c r="L117" s="76"/>
      <c r="M117" s="76"/>
    </row>
    <row r="118" spans="1:13" s="79" customFormat="1" x14ac:dyDescent="0.4">
      <c r="A118" s="76"/>
      <c r="B118" s="76"/>
      <c r="C118" s="78"/>
      <c r="D118" s="78"/>
      <c r="E118" s="78"/>
      <c r="F118" s="78"/>
      <c r="H118" s="78"/>
      <c r="J118" s="76"/>
      <c r="K118" s="76"/>
      <c r="L118" s="76"/>
      <c r="M118" s="76"/>
    </row>
    <row r="119" spans="1:13" s="79" customFormat="1" x14ac:dyDescent="0.4">
      <c r="A119" s="76"/>
      <c r="B119" s="76"/>
      <c r="C119" s="78"/>
      <c r="D119" s="78"/>
      <c r="E119" s="78"/>
      <c r="F119" s="78"/>
      <c r="H119" s="78"/>
      <c r="J119" s="76"/>
      <c r="K119" s="76"/>
      <c r="L119" s="76"/>
      <c r="M119" s="76"/>
    </row>
    <row r="120" spans="1:13" s="79" customFormat="1" x14ac:dyDescent="0.4">
      <c r="A120" s="76"/>
      <c r="B120" s="76"/>
      <c r="C120" s="78"/>
      <c r="D120" s="78"/>
      <c r="E120" s="78"/>
      <c r="F120" s="78"/>
      <c r="H120" s="78"/>
      <c r="J120" s="76"/>
      <c r="K120" s="76"/>
      <c r="L120" s="76"/>
      <c r="M120" s="76"/>
    </row>
    <row r="121" spans="1:13" s="79" customFormat="1" x14ac:dyDescent="0.4">
      <c r="A121" s="76"/>
      <c r="B121" s="76"/>
      <c r="C121" s="78"/>
      <c r="D121" s="78"/>
      <c r="E121" s="78"/>
      <c r="F121" s="78"/>
      <c r="H121" s="78"/>
      <c r="J121" s="76"/>
      <c r="K121" s="76"/>
      <c r="L121" s="76"/>
      <c r="M121" s="76"/>
    </row>
    <row r="122" spans="1:13" s="79" customFormat="1" x14ac:dyDescent="0.4">
      <c r="A122" s="76"/>
      <c r="B122" s="76"/>
      <c r="C122" s="78"/>
      <c r="D122" s="78"/>
      <c r="E122" s="78"/>
      <c r="F122" s="78"/>
      <c r="H122" s="78"/>
      <c r="J122" s="76"/>
      <c r="K122" s="76"/>
      <c r="L122" s="76"/>
      <c r="M122" s="76"/>
    </row>
    <row r="123" spans="1:13" s="79" customFormat="1" x14ac:dyDescent="0.4">
      <c r="A123" s="76"/>
      <c r="B123" s="76"/>
      <c r="C123" s="78"/>
      <c r="D123" s="78"/>
      <c r="E123" s="78"/>
      <c r="F123" s="78"/>
      <c r="H123" s="78"/>
      <c r="J123" s="76"/>
      <c r="K123" s="76"/>
      <c r="L123" s="76"/>
      <c r="M123" s="76"/>
    </row>
    <row r="124" spans="1:13" s="79" customFormat="1" x14ac:dyDescent="0.4">
      <c r="A124" s="76"/>
      <c r="B124" s="76"/>
      <c r="C124" s="78"/>
      <c r="D124" s="78"/>
      <c r="E124" s="78"/>
      <c r="F124" s="78"/>
      <c r="H124" s="78"/>
      <c r="J124" s="76"/>
      <c r="K124" s="76"/>
      <c r="L124" s="76"/>
      <c r="M124" s="76"/>
    </row>
    <row r="125" spans="1:13" s="79" customFormat="1" x14ac:dyDescent="0.4">
      <c r="A125" s="76"/>
      <c r="B125" s="76"/>
      <c r="C125" s="78"/>
      <c r="D125" s="78"/>
      <c r="E125" s="78"/>
      <c r="F125" s="78"/>
      <c r="H125" s="78"/>
      <c r="J125" s="76"/>
      <c r="K125" s="76"/>
      <c r="L125" s="76"/>
      <c r="M125" s="76"/>
    </row>
    <row r="126" spans="1:13" s="79" customFormat="1" x14ac:dyDescent="0.4">
      <c r="A126" s="76"/>
      <c r="B126" s="76"/>
      <c r="C126" s="78"/>
      <c r="D126" s="78"/>
      <c r="E126" s="78"/>
      <c r="F126" s="78"/>
      <c r="H126" s="78"/>
      <c r="J126" s="76"/>
      <c r="K126" s="76"/>
      <c r="L126" s="76"/>
      <c r="M126" s="76"/>
    </row>
    <row r="127" spans="1:13" s="79" customFormat="1" x14ac:dyDescent="0.4">
      <c r="A127" s="76"/>
      <c r="B127" s="76"/>
      <c r="C127" s="78"/>
      <c r="D127" s="78"/>
      <c r="E127" s="78"/>
      <c r="F127" s="78"/>
      <c r="H127" s="78"/>
      <c r="J127" s="76"/>
      <c r="K127" s="76"/>
      <c r="L127" s="76"/>
      <c r="M127" s="76"/>
    </row>
    <row r="128" spans="1:13" s="79" customFormat="1" x14ac:dyDescent="0.4">
      <c r="A128" s="76"/>
      <c r="B128" s="76"/>
      <c r="C128" s="78"/>
      <c r="D128" s="78"/>
      <c r="E128" s="78"/>
      <c r="F128" s="78"/>
      <c r="H128" s="78"/>
      <c r="J128" s="76"/>
      <c r="K128" s="76"/>
      <c r="L128" s="76"/>
      <c r="M128" s="76"/>
    </row>
    <row r="129" spans="1:13" s="79" customFormat="1" x14ac:dyDescent="0.4">
      <c r="A129" s="76"/>
      <c r="B129" s="76"/>
      <c r="C129" s="78"/>
      <c r="D129" s="78"/>
      <c r="E129" s="78"/>
      <c r="F129" s="78"/>
      <c r="H129" s="78"/>
      <c r="J129" s="76"/>
      <c r="K129" s="76"/>
      <c r="L129" s="76"/>
      <c r="M129" s="76"/>
    </row>
    <row r="130" spans="1:13" s="79" customFormat="1" x14ac:dyDescent="0.4">
      <c r="A130" s="76"/>
      <c r="B130" s="76"/>
      <c r="C130" s="78"/>
      <c r="D130" s="78"/>
      <c r="E130" s="78"/>
      <c r="F130" s="78"/>
      <c r="H130" s="78"/>
      <c r="J130" s="76"/>
      <c r="K130" s="76"/>
      <c r="L130" s="76"/>
      <c r="M130" s="76"/>
    </row>
    <row r="131" spans="1:13" s="79" customFormat="1" x14ac:dyDescent="0.4">
      <c r="A131" s="76"/>
      <c r="B131" s="76"/>
      <c r="C131" s="78"/>
      <c r="D131" s="78"/>
      <c r="E131" s="78"/>
      <c r="F131" s="78"/>
      <c r="H131" s="78"/>
      <c r="J131" s="76"/>
      <c r="K131" s="76"/>
      <c r="L131" s="76"/>
      <c r="M131" s="76"/>
    </row>
    <row r="132" spans="1:13" s="79" customFormat="1" x14ac:dyDescent="0.4">
      <c r="A132" s="76"/>
      <c r="B132" s="76"/>
      <c r="C132" s="78"/>
      <c r="D132" s="78"/>
      <c r="E132" s="78"/>
      <c r="F132" s="78"/>
      <c r="H132" s="78"/>
      <c r="J132" s="76"/>
      <c r="K132" s="76"/>
      <c r="L132" s="76"/>
      <c r="M132" s="76"/>
    </row>
    <row r="133" spans="1:13" s="79" customFormat="1" x14ac:dyDescent="0.4">
      <c r="A133" s="76"/>
      <c r="B133" s="76"/>
      <c r="C133" s="78"/>
      <c r="D133" s="78"/>
      <c r="E133" s="78"/>
      <c r="F133" s="78"/>
      <c r="H133" s="78"/>
      <c r="J133" s="76"/>
      <c r="K133" s="76"/>
      <c r="L133" s="76"/>
      <c r="M133" s="76"/>
    </row>
    <row r="134" spans="1:13" s="79" customFormat="1" x14ac:dyDescent="0.4">
      <c r="A134" s="76"/>
      <c r="B134" s="76"/>
      <c r="C134" s="78"/>
      <c r="D134" s="78"/>
      <c r="E134" s="78"/>
      <c r="F134" s="78"/>
      <c r="H134" s="78"/>
      <c r="J134" s="76"/>
      <c r="K134" s="76"/>
      <c r="L134" s="76"/>
      <c r="M134" s="76"/>
    </row>
    <row r="135" spans="1:13" s="79" customFormat="1" x14ac:dyDescent="0.4">
      <c r="A135" s="76"/>
      <c r="B135" s="76"/>
      <c r="C135" s="78"/>
      <c r="D135" s="78"/>
      <c r="E135" s="78"/>
      <c r="F135" s="78"/>
      <c r="H135" s="78"/>
      <c r="J135" s="76"/>
      <c r="K135" s="76"/>
      <c r="L135" s="76"/>
      <c r="M135" s="76"/>
    </row>
    <row r="136" spans="1:13" s="79" customFormat="1" x14ac:dyDescent="0.4">
      <c r="A136" s="76"/>
      <c r="B136" s="76"/>
      <c r="C136" s="78"/>
      <c r="D136" s="78"/>
      <c r="E136" s="78"/>
      <c r="F136" s="78"/>
      <c r="H136" s="78"/>
      <c r="J136" s="76"/>
      <c r="K136" s="76"/>
      <c r="L136" s="76"/>
      <c r="M136" s="76"/>
    </row>
    <row r="137" spans="1:13" s="79" customFormat="1" x14ac:dyDescent="0.4">
      <c r="A137" s="76"/>
      <c r="B137" s="76"/>
      <c r="C137" s="78"/>
      <c r="D137" s="78"/>
      <c r="E137" s="78"/>
      <c r="F137" s="78"/>
      <c r="H137" s="78"/>
      <c r="J137" s="76"/>
      <c r="K137" s="76"/>
      <c r="L137" s="76"/>
      <c r="M137" s="76"/>
    </row>
    <row r="138" spans="1:13" s="79" customFormat="1" x14ac:dyDescent="0.4">
      <c r="A138" s="76"/>
      <c r="B138" s="76"/>
      <c r="C138" s="78"/>
      <c r="D138" s="78"/>
      <c r="E138" s="78"/>
      <c r="F138" s="78"/>
      <c r="H138" s="78"/>
      <c r="J138" s="76"/>
      <c r="K138" s="76"/>
      <c r="L138" s="76"/>
      <c r="M138" s="76"/>
    </row>
    <row r="139" spans="1:13" s="79" customFormat="1" x14ac:dyDescent="0.4">
      <c r="A139" s="76"/>
      <c r="B139" s="76"/>
      <c r="C139" s="78"/>
      <c r="D139" s="78"/>
      <c r="E139" s="78"/>
      <c r="F139" s="78"/>
      <c r="H139" s="78"/>
      <c r="J139" s="76"/>
      <c r="K139" s="76"/>
      <c r="L139" s="76"/>
      <c r="M139" s="76"/>
    </row>
    <row r="140" spans="1:13" s="79" customFormat="1" x14ac:dyDescent="0.4">
      <c r="A140" s="76"/>
      <c r="B140" s="76"/>
      <c r="C140" s="78"/>
      <c r="D140" s="78"/>
      <c r="E140" s="78"/>
      <c r="F140" s="78"/>
      <c r="H140" s="78"/>
      <c r="J140" s="76"/>
      <c r="K140" s="76"/>
      <c r="L140" s="76"/>
      <c r="M140" s="76"/>
    </row>
    <row r="141" spans="1:13" s="79" customFormat="1" x14ac:dyDescent="0.4">
      <c r="A141" s="76"/>
      <c r="B141" s="76"/>
      <c r="C141" s="78"/>
      <c r="D141" s="78"/>
      <c r="E141" s="78"/>
      <c r="F141" s="78"/>
      <c r="H141" s="78"/>
      <c r="J141" s="76"/>
      <c r="K141" s="76"/>
      <c r="L141" s="76"/>
      <c r="M141" s="76"/>
    </row>
    <row r="142" spans="1:13" s="79" customFormat="1" x14ac:dyDescent="0.4">
      <c r="A142" s="76"/>
      <c r="B142" s="76"/>
      <c r="C142" s="78"/>
      <c r="D142" s="78"/>
      <c r="E142" s="78"/>
      <c r="F142" s="78"/>
      <c r="H142" s="78"/>
      <c r="J142" s="76"/>
      <c r="K142" s="76"/>
      <c r="L142" s="76"/>
      <c r="M142" s="76"/>
    </row>
    <row r="143" spans="1:13" s="79" customFormat="1" x14ac:dyDescent="0.4">
      <c r="A143" s="76"/>
      <c r="B143" s="76"/>
      <c r="C143" s="78"/>
      <c r="D143" s="78"/>
      <c r="E143" s="78"/>
      <c r="F143" s="78"/>
      <c r="H143" s="78"/>
      <c r="J143" s="76"/>
      <c r="K143" s="76"/>
      <c r="L143" s="76"/>
      <c r="M143" s="76"/>
    </row>
    <row r="144" spans="1:13" s="79" customFormat="1" x14ac:dyDescent="0.4">
      <c r="A144" s="76"/>
      <c r="B144" s="76"/>
      <c r="C144" s="78"/>
      <c r="D144" s="78"/>
      <c r="E144" s="78"/>
      <c r="F144" s="78"/>
      <c r="H144" s="78"/>
      <c r="J144" s="76"/>
      <c r="K144" s="76"/>
      <c r="L144" s="76"/>
      <c r="M144" s="76"/>
    </row>
    <row r="145" spans="1:13" s="79" customFormat="1" x14ac:dyDescent="0.4">
      <c r="A145" s="76"/>
      <c r="B145" s="76"/>
      <c r="C145" s="78"/>
      <c r="D145" s="78"/>
      <c r="E145" s="78"/>
      <c r="F145" s="78"/>
      <c r="H145" s="78"/>
      <c r="J145" s="76"/>
      <c r="K145" s="76"/>
      <c r="L145" s="76"/>
      <c r="M145" s="76"/>
    </row>
    <row r="146" spans="1:13" s="79" customFormat="1" x14ac:dyDescent="0.4">
      <c r="A146" s="76"/>
      <c r="B146" s="76"/>
      <c r="C146" s="78"/>
      <c r="D146" s="78"/>
      <c r="E146" s="78"/>
      <c r="F146" s="78"/>
      <c r="H146" s="78"/>
      <c r="J146" s="76"/>
      <c r="K146" s="76"/>
      <c r="L146" s="76"/>
      <c r="M146" s="76"/>
    </row>
    <row r="147" spans="1:13" s="79" customFormat="1" x14ac:dyDescent="0.4">
      <c r="A147" s="76"/>
      <c r="B147" s="76"/>
      <c r="C147" s="78"/>
      <c r="D147" s="78"/>
      <c r="E147" s="78"/>
      <c r="F147" s="78"/>
      <c r="H147" s="78"/>
      <c r="J147" s="76"/>
      <c r="K147" s="76"/>
      <c r="L147" s="76"/>
      <c r="M147" s="76"/>
    </row>
    <row r="148" spans="1:13" s="79" customFormat="1" x14ac:dyDescent="0.4">
      <c r="A148" s="76"/>
      <c r="B148" s="76"/>
      <c r="C148" s="78"/>
      <c r="D148" s="78"/>
      <c r="E148" s="78"/>
      <c r="F148" s="78"/>
      <c r="H148" s="78"/>
      <c r="J148" s="76"/>
      <c r="K148" s="76"/>
      <c r="L148" s="76"/>
      <c r="M148" s="76"/>
    </row>
    <row r="149" spans="1:13" s="79" customFormat="1" x14ac:dyDescent="0.4">
      <c r="A149" s="76"/>
      <c r="B149" s="76"/>
      <c r="C149" s="78"/>
      <c r="D149" s="78"/>
      <c r="E149" s="78"/>
      <c r="F149" s="78"/>
      <c r="H149" s="78"/>
      <c r="J149" s="76"/>
      <c r="K149" s="76"/>
      <c r="L149" s="76"/>
      <c r="M149" s="76"/>
    </row>
    <row r="150" spans="1:13" s="79" customFormat="1" x14ac:dyDescent="0.4">
      <c r="A150" s="76"/>
      <c r="B150" s="76"/>
      <c r="C150" s="78"/>
      <c r="D150" s="78"/>
      <c r="E150" s="78"/>
      <c r="F150" s="78"/>
      <c r="H150" s="78"/>
      <c r="J150" s="76"/>
      <c r="K150" s="76"/>
      <c r="L150" s="76"/>
      <c r="M150" s="76"/>
    </row>
    <row r="151" spans="1:13" s="79" customFormat="1" x14ac:dyDescent="0.4">
      <c r="A151" s="76"/>
      <c r="B151" s="76"/>
      <c r="C151" s="78"/>
      <c r="D151" s="78"/>
      <c r="E151" s="78"/>
      <c r="F151" s="78"/>
      <c r="H151" s="78"/>
      <c r="J151" s="76"/>
      <c r="K151" s="76"/>
      <c r="L151" s="76"/>
      <c r="M151" s="76"/>
    </row>
    <row r="152" spans="1:13" s="79" customFormat="1" x14ac:dyDescent="0.4">
      <c r="A152" s="76"/>
      <c r="B152" s="76"/>
      <c r="C152" s="78"/>
      <c r="D152" s="78"/>
      <c r="E152" s="78"/>
      <c r="F152" s="78"/>
      <c r="H152" s="78"/>
      <c r="J152" s="76"/>
      <c r="K152" s="76"/>
      <c r="L152" s="76"/>
      <c r="M152" s="76"/>
    </row>
    <row r="153" spans="1:13" s="79" customFormat="1" x14ac:dyDescent="0.4">
      <c r="A153" s="76"/>
      <c r="B153" s="76"/>
      <c r="C153" s="78"/>
      <c r="D153" s="78"/>
      <c r="E153" s="78"/>
      <c r="F153" s="78"/>
      <c r="H153" s="78"/>
      <c r="J153" s="76"/>
      <c r="K153" s="76"/>
      <c r="L153" s="76"/>
      <c r="M153" s="76"/>
    </row>
    <row r="154" spans="1:13" s="79" customFormat="1" x14ac:dyDescent="0.4">
      <c r="A154" s="76"/>
      <c r="B154" s="76"/>
      <c r="C154" s="78"/>
      <c r="D154" s="78"/>
      <c r="E154" s="78"/>
      <c r="F154" s="78"/>
      <c r="H154" s="78"/>
      <c r="J154" s="76"/>
      <c r="K154" s="76"/>
      <c r="L154" s="76"/>
      <c r="M154" s="76"/>
    </row>
    <row r="155" spans="1:13" s="79" customFormat="1" x14ac:dyDescent="0.4">
      <c r="A155" s="76"/>
      <c r="B155" s="76"/>
      <c r="C155" s="78"/>
      <c r="D155" s="78"/>
      <c r="E155" s="78"/>
      <c r="F155" s="78"/>
      <c r="H155" s="78"/>
      <c r="J155" s="76"/>
      <c r="K155" s="76"/>
      <c r="L155" s="76"/>
      <c r="M155" s="76"/>
    </row>
    <row r="156" spans="1:13" s="79" customFormat="1" x14ac:dyDescent="0.4">
      <c r="A156" s="76"/>
      <c r="B156" s="76"/>
      <c r="C156" s="78"/>
      <c r="D156" s="78"/>
      <c r="E156" s="78"/>
      <c r="F156" s="78"/>
      <c r="H156" s="78"/>
      <c r="J156" s="76"/>
      <c r="K156" s="76"/>
      <c r="L156" s="76"/>
      <c r="M156" s="76"/>
    </row>
    <row r="157" spans="1:13" s="79" customFormat="1" x14ac:dyDescent="0.4">
      <c r="A157" s="76"/>
      <c r="B157" s="76"/>
      <c r="C157" s="78"/>
      <c r="D157" s="78"/>
      <c r="E157" s="78"/>
      <c r="F157" s="78"/>
      <c r="H157" s="78"/>
      <c r="J157" s="76"/>
      <c r="K157" s="76"/>
      <c r="L157" s="76"/>
      <c r="M157" s="76"/>
    </row>
    <row r="158" spans="1:13" s="79" customFormat="1" x14ac:dyDescent="0.4">
      <c r="A158" s="76"/>
      <c r="B158" s="76"/>
      <c r="C158" s="78"/>
      <c r="D158" s="78"/>
      <c r="E158" s="78"/>
      <c r="F158" s="78"/>
      <c r="H158" s="78"/>
      <c r="J158" s="76"/>
      <c r="K158" s="76"/>
      <c r="L158" s="76"/>
      <c r="M158" s="76"/>
    </row>
    <row r="159" spans="1:13" s="79" customFormat="1" x14ac:dyDescent="0.4">
      <c r="A159" s="76"/>
      <c r="B159" s="76"/>
      <c r="C159" s="78"/>
      <c r="D159" s="78"/>
      <c r="E159" s="78"/>
      <c r="F159" s="78"/>
      <c r="H159" s="78"/>
      <c r="J159" s="76"/>
      <c r="K159" s="76"/>
      <c r="L159" s="76"/>
      <c r="M159" s="76"/>
    </row>
    <row r="160" spans="1:13" s="79" customFormat="1" x14ac:dyDescent="0.4">
      <c r="A160" s="76"/>
      <c r="B160" s="76"/>
      <c r="C160" s="78"/>
      <c r="D160" s="78"/>
      <c r="E160" s="78"/>
      <c r="F160" s="78"/>
      <c r="H160" s="78"/>
      <c r="J160" s="76"/>
      <c r="K160" s="76"/>
      <c r="L160" s="76"/>
      <c r="M160" s="76"/>
    </row>
    <row r="161" spans="1:13" s="79" customFormat="1" x14ac:dyDescent="0.4">
      <c r="A161" s="76"/>
      <c r="B161" s="76"/>
      <c r="C161" s="78"/>
      <c r="D161" s="78"/>
      <c r="E161" s="78"/>
      <c r="F161" s="78"/>
      <c r="H161" s="78"/>
      <c r="J161" s="76"/>
      <c r="K161" s="76"/>
      <c r="L161" s="76"/>
      <c r="M161" s="76"/>
    </row>
    <row r="162" spans="1:13" s="79" customFormat="1" x14ac:dyDescent="0.4">
      <c r="A162" s="76"/>
      <c r="B162" s="76"/>
      <c r="C162" s="78"/>
      <c r="D162" s="78"/>
      <c r="E162" s="78"/>
      <c r="F162" s="78"/>
      <c r="H162" s="78"/>
      <c r="J162" s="76"/>
      <c r="K162" s="76"/>
      <c r="L162" s="76"/>
      <c r="M162" s="76"/>
    </row>
    <row r="163" spans="1:13" s="79" customFormat="1" x14ac:dyDescent="0.4">
      <c r="A163" s="76"/>
      <c r="B163" s="76"/>
      <c r="C163" s="78"/>
      <c r="D163" s="78"/>
      <c r="E163" s="78"/>
      <c r="F163" s="78"/>
      <c r="H163" s="78"/>
      <c r="J163" s="76"/>
      <c r="K163" s="76"/>
      <c r="L163" s="76"/>
      <c r="M163" s="76"/>
    </row>
    <row r="164" spans="1:13" s="79" customFormat="1" x14ac:dyDescent="0.4">
      <c r="A164" s="76"/>
      <c r="B164" s="76"/>
      <c r="C164" s="78"/>
      <c r="D164" s="78"/>
      <c r="E164" s="78"/>
      <c r="F164" s="78"/>
      <c r="H164" s="78"/>
      <c r="J164" s="76"/>
      <c r="K164" s="76"/>
      <c r="L164" s="76"/>
      <c r="M164" s="76"/>
    </row>
    <row r="165" spans="1:13" s="79" customFormat="1" x14ac:dyDescent="0.4">
      <c r="A165" s="76"/>
      <c r="B165" s="76"/>
      <c r="C165" s="78"/>
      <c r="D165" s="78"/>
      <c r="E165" s="78"/>
      <c r="F165" s="78"/>
      <c r="H165" s="78"/>
      <c r="J165" s="76"/>
      <c r="K165" s="76"/>
      <c r="L165" s="76"/>
      <c r="M165" s="76"/>
    </row>
    <row r="166" spans="1:13" s="79" customFormat="1" x14ac:dyDescent="0.4">
      <c r="A166" s="76"/>
      <c r="B166" s="76"/>
      <c r="C166" s="78"/>
      <c r="D166" s="78"/>
      <c r="E166" s="78"/>
      <c r="F166" s="78"/>
      <c r="H166" s="78"/>
      <c r="J166" s="76"/>
      <c r="K166" s="76"/>
      <c r="L166" s="76"/>
      <c r="M166" s="76"/>
    </row>
    <row r="167" spans="1:13" s="79" customFormat="1" x14ac:dyDescent="0.4">
      <c r="A167" s="76"/>
      <c r="B167" s="76"/>
      <c r="C167" s="78"/>
      <c r="D167" s="78"/>
      <c r="E167" s="78"/>
      <c r="F167" s="78"/>
      <c r="H167" s="78"/>
      <c r="J167" s="76"/>
      <c r="K167" s="76"/>
      <c r="L167" s="76"/>
      <c r="M167" s="76"/>
    </row>
    <row r="168" spans="1:13" s="79" customFormat="1" x14ac:dyDescent="0.4">
      <c r="A168" s="76"/>
      <c r="B168" s="76"/>
      <c r="C168" s="78"/>
      <c r="D168" s="78"/>
      <c r="E168" s="78"/>
      <c r="F168" s="78"/>
      <c r="H168" s="78"/>
      <c r="J168" s="76"/>
      <c r="K168" s="76"/>
      <c r="L168" s="76"/>
      <c r="M168" s="76"/>
    </row>
    <row r="169" spans="1:13" s="79" customFormat="1" x14ac:dyDescent="0.4">
      <c r="A169" s="76"/>
      <c r="B169" s="76"/>
      <c r="C169" s="78"/>
      <c r="D169" s="78"/>
      <c r="E169" s="78"/>
      <c r="F169" s="78"/>
      <c r="H169" s="78"/>
      <c r="J169" s="76"/>
      <c r="K169" s="76"/>
      <c r="L169" s="76"/>
      <c r="M169" s="76"/>
    </row>
    <row r="170" spans="1:13" s="79" customFormat="1" x14ac:dyDescent="0.4">
      <c r="A170" s="76"/>
      <c r="B170" s="76"/>
      <c r="C170" s="78"/>
      <c r="D170" s="78"/>
      <c r="E170" s="78"/>
      <c r="F170" s="78"/>
      <c r="H170" s="78"/>
      <c r="J170" s="76"/>
      <c r="K170" s="76"/>
      <c r="L170" s="76"/>
      <c r="M170" s="76"/>
    </row>
    <row r="171" spans="1:13" s="79" customFormat="1" x14ac:dyDescent="0.4">
      <c r="A171" s="76"/>
      <c r="B171" s="76"/>
      <c r="C171" s="78"/>
      <c r="D171" s="78"/>
      <c r="E171" s="78"/>
      <c r="F171" s="78"/>
      <c r="H171" s="78"/>
      <c r="J171" s="76"/>
      <c r="K171" s="76"/>
      <c r="L171" s="76"/>
      <c r="M171" s="76"/>
    </row>
    <row r="172" spans="1:13" x14ac:dyDescent="0.4">
      <c r="H172" s="78"/>
    </row>
    <row r="173" spans="1:13" x14ac:dyDescent="0.4">
      <c r="H173" s="78"/>
    </row>
    <row r="174" spans="1:13" s="79" customFormat="1" x14ac:dyDescent="0.4">
      <c r="A174" s="76"/>
      <c r="B174" s="76"/>
      <c r="C174" s="78"/>
      <c r="D174" s="78"/>
      <c r="E174" s="78"/>
      <c r="F174" s="78"/>
      <c r="H174" s="78"/>
      <c r="J174" s="76"/>
      <c r="K174" s="76"/>
      <c r="L174" s="76"/>
      <c r="M174" s="76"/>
    </row>
    <row r="175" spans="1:13" x14ac:dyDescent="0.4">
      <c r="A175" s="79"/>
      <c r="B175" s="79"/>
      <c r="H175" s="78"/>
    </row>
    <row r="183" spans="3:13" x14ac:dyDescent="0.4">
      <c r="C183" s="76"/>
      <c r="D183" s="76"/>
      <c r="E183" s="76"/>
      <c r="F183" s="76"/>
      <c r="G183" s="76"/>
      <c r="I183" s="76"/>
      <c r="J183" s="79"/>
      <c r="K183" s="79"/>
      <c r="L183" s="79"/>
      <c r="M183" s="79"/>
    </row>
    <row r="186" spans="3:13" x14ac:dyDescent="0.4">
      <c r="C186" s="76"/>
      <c r="D186" s="76"/>
      <c r="E186" s="76"/>
      <c r="F186" s="76"/>
      <c r="G186" s="76"/>
      <c r="I186" s="76"/>
    </row>
    <row r="187" spans="3:13" x14ac:dyDescent="0.4">
      <c r="C187" s="76"/>
      <c r="D187" s="76"/>
      <c r="E187" s="76"/>
      <c r="F187" s="76"/>
      <c r="G187" s="76"/>
      <c r="I187" s="76"/>
    </row>
    <row r="188" spans="3:13" x14ac:dyDescent="0.4">
      <c r="C188" s="76"/>
      <c r="D188" s="76"/>
      <c r="E188" s="76"/>
      <c r="F188" s="76"/>
      <c r="G188" s="76"/>
      <c r="I188" s="76"/>
    </row>
    <row r="189" spans="3:13" x14ac:dyDescent="0.4">
      <c r="C189" s="76"/>
      <c r="D189" s="76"/>
      <c r="E189" s="76"/>
      <c r="F189" s="76"/>
      <c r="G189" s="76"/>
      <c r="I189" s="76"/>
    </row>
    <row r="190" spans="3:13" x14ac:dyDescent="0.4">
      <c r="C190" s="76"/>
      <c r="D190" s="76"/>
      <c r="E190" s="76"/>
      <c r="F190" s="76"/>
      <c r="G190" s="76"/>
      <c r="I190" s="76"/>
    </row>
    <row r="191" spans="3:13" x14ac:dyDescent="0.4">
      <c r="C191" s="76"/>
      <c r="D191" s="76"/>
      <c r="E191" s="76"/>
      <c r="F191" s="76"/>
      <c r="G191" s="76"/>
      <c r="I191" s="76"/>
    </row>
    <row r="192" spans="3:13" x14ac:dyDescent="0.4">
      <c r="C192" s="76"/>
      <c r="D192" s="76"/>
      <c r="E192" s="76"/>
      <c r="F192" s="76"/>
      <c r="G192" s="76"/>
      <c r="I192" s="76"/>
    </row>
    <row r="193" s="76" customFormat="1" x14ac:dyDescent="0.4"/>
    <row r="194" s="76" customFormat="1" x14ac:dyDescent="0.4"/>
    <row r="195" s="76" customFormat="1" x14ac:dyDescent="0.4"/>
    <row r="196" s="76" customFormat="1" x14ac:dyDescent="0.4"/>
    <row r="197" s="76" customFormat="1" x14ac:dyDescent="0.4"/>
    <row r="198" s="76" customFormat="1" x14ac:dyDescent="0.4"/>
    <row r="199" s="76" customFormat="1" x14ac:dyDescent="0.4"/>
    <row r="200" s="76" customFormat="1" x14ac:dyDescent="0.4"/>
    <row r="201" s="76" customFormat="1" x14ac:dyDescent="0.4"/>
    <row r="202" s="76" customFormat="1" x14ac:dyDescent="0.4"/>
    <row r="203" s="76" customFormat="1" x14ac:dyDescent="0.4"/>
    <row r="204" s="76" customFormat="1" x14ac:dyDescent="0.4"/>
    <row r="205" s="76" customFormat="1" x14ac:dyDescent="0.4"/>
    <row r="206" s="76" customFormat="1" x14ac:dyDescent="0.4"/>
    <row r="207" s="76" customFormat="1" x14ac:dyDescent="0.4"/>
    <row r="208" s="76" customFormat="1" x14ac:dyDescent="0.4"/>
    <row r="209" s="76" customFormat="1" x14ac:dyDescent="0.4"/>
    <row r="210" s="76" customFormat="1" x14ac:dyDescent="0.4"/>
    <row r="211" s="76" customFormat="1" x14ac:dyDescent="0.4"/>
    <row r="212" s="76" customFormat="1" x14ac:dyDescent="0.4"/>
    <row r="213" s="76" customFormat="1" x14ac:dyDescent="0.4"/>
    <row r="214" s="76" customFormat="1" x14ac:dyDescent="0.4"/>
    <row r="215" s="76" customFormat="1" x14ac:dyDescent="0.4"/>
    <row r="216" s="76" customFormat="1" x14ac:dyDescent="0.4"/>
    <row r="217" s="76" customFormat="1" x14ac:dyDescent="0.4"/>
    <row r="218" s="76" customFormat="1" x14ac:dyDescent="0.4"/>
    <row r="219" s="76" customFormat="1" x14ac:dyDescent="0.4"/>
    <row r="220" s="76" customFormat="1" x14ac:dyDescent="0.4"/>
    <row r="221" s="76" customFormat="1" x14ac:dyDescent="0.4"/>
    <row r="222" s="76" customFormat="1" x14ac:dyDescent="0.4"/>
    <row r="223" s="76" customFormat="1" x14ac:dyDescent="0.4"/>
    <row r="224" s="76" customFormat="1" x14ac:dyDescent="0.4"/>
    <row r="225" s="76" customFormat="1" x14ac:dyDescent="0.4"/>
    <row r="226" s="76" customFormat="1" x14ac:dyDescent="0.4"/>
    <row r="227" s="76" customFormat="1" x14ac:dyDescent="0.4"/>
    <row r="228" s="76" customFormat="1" x14ac:dyDescent="0.4"/>
    <row r="229" s="76" customFormat="1" x14ac:dyDescent="0.4"/>
    <row r="230" s="76" customFormat="1" x14ac:dyDescent="0.4"/>
    <row r="231" s="76" customFormat="1" x14ac:dyDescent="0.4"/>
    <row r="232" s="76" customFormat="1" x14ac:dyDescent="0.4"/>
    <row r="233" s="76" customFormat="1" x14ac:dyDescent="0.4"/>
    <row r="234" s="76" customFormat="1" x14ac:dyDescent="0.4"/>
    <row r="235" s="76" customFormat="1" x14ac:dyDescent="0.4"/>
    <row r="236" s="76" customFormat="1" x14ac:dyDescent="0.4"/>
    <row r="237" s="76" customFormat="1" x14ac:dyDescent="0.4"/>
    <row r="238" s="76" customFormat="1" x14ac:dyDescent="0.4"/>
    <row r="239" s="76" customFormat="1" x14ac:dyDescent="0.4"/>
    <row r="240" s="76" customFormat="1" x14ac:dyDescent="0.4"/>
    <row r="241" s="76" customFormat="1" x14ac:dyDescent="0.4"/>
    <row r="242" s="76" customFormat="1" x14ac:dyDescent="0.4"/>
    <row r="243" s="76" customFormat="1" x14ac:dyDescent="0.4"/>
    <row r="244" s="76" customFormat="1" x14ac:dyDescent="0.4"/>
    <row r="245" s="76" customFormat="1" x14ac:dyDescent="0.4"/>
    <row r="246" s="76" customFormat="1" x14ac:dyDescent="0.4"/>
    <row r="247" s="76" customFormat="1" x14ac:dyDescent="0.4"/>
    <row r="248" s="76" customFormat="1" x14ac:dyDescent="0.4"/>
    <row r="249" s="76" customFormat="1" x14ac:dyDescent="0.4"/>
    <row r="250" s="76" customFormat="1" x14ac:dyDescent="0.4"/>
    <row r="251" s="76" customFormat="1" x14ac:dyDescent="0.4"/>
    <row r="252" s="76" customFormat="1" x14ac:dyDescent="0.4"/>
    <row r="253" s="76" customFormat="1" x14ac:dyDescent="0.4"/>
    <row r="254" s="76" customFormat="1" x14ac:dyDescent="0.4"/>
    <row r="255" s="76" customFormat="1" x14ac:dyDescent="0.4"/>
    <row r="256" s="76" customFormat="1" x14ac:dyDescent="0.4"/>
    <row r="257" s="76" customFormat="1" x14ac:dyDescent="0.4"/>
    <row r="258" s="76" customFormat="1" x14ac:dyDescent="0.4"/>
    <row r="259" s="76" customFormat="1" x14ac:dyDescent="0.4"/>
    <row r="260" s="76" customFormat="1" x14ac:dyDescent="0.4"/>
    <row r="261" s="76" customFormat="1" x14ac:dyDescent="0.4"/>
    <row r="262" s="76" customFormat="1" x14ac:dyDescent="0.4"/>
    <row r="263" s="76" customFormat="1" x14ac:dyDescent="0.4"/>
    <row r="264" s="76" customFormat="1" x14ac:dyDescent="0.4"/>
    <row r="265" s="76" customFormat="1" x14ac:dyDescent="0.4"/>
    <row r="266" s="76" customFormat="1" x14ac:dyDescent="0.4"/>
    <row r="267" s="76" customFormat="1" x14ac:dyDescent="0.4"/>
    <row r="268" s="76" customFormat="1" x14ac:dyDescent="0.4"/>
    <row r="269" s="76" customFormat="1" x14ac:dyDescent="0.4"/>
    <row r="270" s="76" customFormat="1" x14ac:dyDescent="0.4"/>
    <row r="271" s="76" customFormat="1" x14ac:dyDescent="0.4"/>
    <row r="272" s="76" customFormat="1" x14ac:dyDescent="0.4"/>
    <row r="273" s="76" customFormat="1" x14ac:dyDescent="0.4"/>
    <row r="274" s="76" customFormat="1" x14ac:dyDescent="0.4"/>
    <row r="275" s="76" customFormat="1" x14ac:dyDescent="0.4"/>
    <row r="276" s="76" customFormat="1" x14ac:dyDescent="0.4"/>
    <row r="277" s="76" customFormat="1" x14ac:dyDescent="0.4"/>
    <row r="278" s="76" customFormat="1" x14ac:dyDescent="0.4"/>
    <row r="279" s="76" customFormat="1" x14ac:dyDescent="0.4"/>
    <row r="280" s="76" customFormat="1" x14ac:dyDescent="0.4"/>
    <row r="281" s="76" customFormat="1" x14ac:dyDescent="0.4"/>
    <row r="292" spans="1:13" s="78" customFormat="1" x14ac:dyDescent="0.4">
      <c r="A292" s="76"/>
      <c r="B292" s="76"/>
      <c r="G292" s="79"/>
      <c r="H292" s="76"/>
      <c r="I292" s="79"/>
      <c r="J292" s="76"/>
      <c r="K292" s="76"/>
      <c r="L292" s="76"/>
      <c r="M292" s="76"/>
    </row>
    <row r="293" spans="1:13" s="78" customFormat="1" x14ac:dyDescent="0.4">
      <c r="A293" s="76"/>
      <c r="B293" s="76"/>
      <c r="G293" s="79"/>
      <c r="H293" s="76"/>
      <c r="I293" s="79"/>
      <c r="J293" s="76"/>
      <c r="K293" s="76"/>
      <c r="L293" s="76"/>
      <c r="M293" s="76"/>
    </row>
    <row r="294" spans="1:13" s="78" customFormat="1" x14ac:dyDescent="0.4">
      <c r="A294" s="76"/>
      <c r="B294" s="76"/>
      <c r="G294" s="79"/>
      <c r="H294" s="76"/>
      <c r="I294" s="79"/>
      <c r="J294" s="76"/>
      <c r="K294" s="76"/>
      <c r="L294" s="76"/>
      <c r="M294" s="76"/>
    </row>
    <row r="295" spans="1:13" s="78" customFormat="1" x14ac:dyDescent="0.4">
      <c r="A295" s="76"/>
      <c r="B295" s="76"/>
      <c r="G295" s="79"/>
      <c r="H295" s="76"/>
      <c r="I295" s="79"/>
      <c r="J295" s="76"/>
      <c r="K295" s="76"/>
      <c r="L295" s="76"/>
      <c r="M295" s="76"/>
    </row>
    <row r="296" spans="1:13" s="78" customFormat="1" x14ac:dyDescent="0.4">
      <c r="A296" s="76"/>
      <c r="B296" s="76"/>
      <c r="C296" s="14"/>
      <c r="G296" s="79"/>
      <c r="H296" s="76"/>
      <c r="I296" s="79"/>
      <c r="J296" s="76"/>
      <c r="K296" s="76"/>
      <c r="L296" s="76"/>
      <c r="M296" s="76"/>
    </row>
    <row r="297" spans="1:13" s="78" customFormat="1" x14ac:dyDescent="0.4">
      <c r="A297" s="76"/>
      <c r="B297" s="76"/>
      <c r="C297" s="14"/>
      <c r="G297" s="79"/>
      <c r="H297" s="76"/>
      <c r="I297" s="79"/>
      <c r="J297" s="76"/>
      <c r="K297" s="76"/>
      <c r="L297" s="76"/>
      <c r="M297" s="76"/>
    </row>
    <row r="298" spans="1:13" s="78" customFormat="1" x14ac:dyDescent="0.4">
      <c r="A298" s="76"/>
      <c r="B298" s="76"/>
      <c r="C298" s="14"/>
      <c r="G298" s="79"/>
      <c r="H298" s="76"/>
      <c r="I298" s="79"/>
      <c r="J298" s="76"/>
      <c r="K298" s="76"/>
      <c r="L298" s="76"/>
      <c r="M298" s="76"/>
    </row>
    <row r="299" spans="1:13" s="78" customFormat="1" x14ac:dyDescent="0.4">
      <c r="A299" s="76"/>
      <c r="B299" s="76"/>
      <c r="C299" s="14"/>
      <c r="G299" s="79"/>
      <c r="H299" s="76"/>
      <c r="I299" s="79"/>
      <c r="J299" s="76"/>
      <c r="K299" s="76"/>
      <c r="L299" s="76"/>
      <c r="M299" s="76"/>
    </row>
    <row r="300" spans="1:13" s="78" customFormat="1" x14ac:dyDescent="0.4">
      <c r="A300" s="76"/>
      <c r="B300" s="76"/>
      <c r="C300" s="14"/>
      <c r="G300" s="79"/>
      <c r="H300" s="76"/>
      <c r="I300" s="79"/>
      <c r="J300" s="76"/>
      <c r="K300" s="76"/>
      <c r="L300" s="76"/>
      <c r="M300" s="76"/>
    </row>
    <row r="301" spans="1:13" s="78" customFormat="1" x14ac:dyDescent="0.4">
      <c r="A301" s="76"/>
      <c r="B301" s="76"/>
      <c r="C301" s="14"/>
      <c r="G301" s="79"/>
      <c r="H301" s="76"/>
      <c r="I301" s="79"/>
      <c r="J301" s="76"/>
      <c r="K301" s="76"/>
      <c r="L301" s="76"/>
      <c r="M301" s="76"/>
    </row>
    <row r="302" spans="1:13" s="78" customFormat="1" x14ac:dyDescent="0.4">
      <c r="A302" s="76"/>
      <c r="B302" s="76"/>
      <c r="C302" s="14"/>
      <c r="G302" s="79"/>
      <c r="H302" s="76"/>
      <c r="I302" s="79"/>
      <c r="J302" s="76"/>
      <c r="K302" s="76"/>
      <c r="L302" s="76"/>
      <c r="M302" s="76"/>
    </row>
    <row r="303" spans="1:13" s="78" customFormat="1" x14ac:dyDescent="0.4">
      <c r="A303" s="76"/>
      <c r="B303" s="76"/>
      <c r="C303" s="14"/>
      <c r="G303" s="79"/>
      <c r="H303" s="76"/>
      <c r="I303" s="79"/>
      <c r="J303" s="76"/>
      <c r="K303" s="76"/>
      <c r="L303" s="76"/>
      <c r="M303" s="76"/>
    </row>
    <row r="304" spans="1:13" s="78" customFormat="1" x14ac:dyDescent="0.4">
      <c r="A304" s="76"/>
      <c r="B304" s="76"/>
      <c r="C304" s="14"/>
      <c r="G304" s="79"/>
      <c r="H304" s="76"/>
      <c r="I304" s="79"/>
      <c r="J304" s="76"/>
      <c r="K304" s="76"/>
      <c r="L304" s="76"/>
      <c r="M304" s="76"/>
    </row>
    <row r="305" spans="1:13" s="78" customFormat="1" x14ac:dyDescent="0.4">
      <c r="A305" s="76"/>
      <c r="B305" s="76"/>
      <c r="C305" s="14"/>
      <c r="G305" s="79"/>
      <c r="H305" s="76"/>
      <c r="I305" s="79"/>
      <c r="J305" s="76"/>
      <c r="K305" s="76"/>
      <c r="L305" s="76"/>
      <c r="M305" s="76"/>
    </row>
    <row r="306" spans="1:13" s="78" customFormat="1" x14ac:dyDescent="0.4">
      <c r="A306" s="76"/>
      <c r="B306" s="76"/>
      <c r="C306" s="14"/>
      <c r="G306" s="79"/>
      <c r="H306" s="76"/>
      <c r="I306" s="79"/>
      <c r="J306" s="76"/>
      <c r="K306" s="76"/>
      <c r="L306" s="76"/>
      <c r="M306" s="76"/>
    </row>
    <row r="307" spans="1:13" s="78" customFormat="1" x14ac:dyDescent="0.4">
      <c r="A307" s="76"/>
      <c r="B307" s="76"/>
      <c r="C307" s="14"/>
      <c r="G307" s="79"/>
      <c r="H307" s="76"/>
      <c r="I307" s="79"/>
      <c r="J307" s="76"/>
      <c r="K307" s="76"/>
      <c r="L307" s="76"/>
      <c r="M307" s="76"/>
    </row>
    <row r="308" spans="1:13" s="78" customFormat="1" x14ac:dyDescent="0.4">
      <c r="A308" s="76"/>
      <c r="B308" s="76"/>
      <c r="C308" s="14"/>
      <c r="G308" s="79"/>
      <c r="H308" s="76"/>
      <c r="I308" s="79"/>
      <c r="J308" s="76"/>
      <c r="K308" s="76"/>
      <c r="L308" s="76"/>
      <c r="M308" s="76"/>
    </row>
    <row r="309" spans="1:13" s="78" customFormat="1" x14ac:dyDescent="0.4">
      <c r="A309" s="76"/>
      <c r="B309" s="76"/>
      <c r="C309" s="14"/>
      <c r="G309" s="79"/>
      <c r="H309" s="76"/>
      <c r="I309" s="79"/>
      <c r="J309" s="76"/>
      <c r="K309" s="76"/>
      <c r="L309" s="76"/>
      <c r="M309" s="76"/>
    </row>
    <row r="310" spans="1:13" s="78" customFormat="1" x14ac:dyDescent="0.4">
      <c r="A310" s="76"/>
      <c r="B310" s="76"/>
      <c r="C310" s="14"/>
      <c r="G310" s="79"/>
      <c r="H310" s="76"/>
      <c r="I310" s="79"/>
      <c r="J310" s="76"/>
      <c r="K310" s="76"/>
      <c r="L310" s="76"/>
      <c r="M310" s="76"/>
    </row>
    <row r="311" spans="1:13" s="78" customFormat="1" x14ac:dyDescent="0.4">
      <c r="A311" s="76"/>
      <c r="B311" s="76"/>
      <c r="C311" s="14"/>
      <c r="G311" s="79"/>
      <c r="H311" s="76"/>
      <c r="I311" s="79"/>
      <c r="J311" s="76"/>
      <c r="K311" s="76"/>
      <c r="L311" s="76"/>
      <c r="M311" s="76"/>
    </row>
    <row r="312" spans="1:13" s="78" customFormat="1" x14ac:dyDescent="0.4">
      <c r="A312" s="76"/>
      <c r="B312" s="76"/>
      <c r="C312" s="14"/>
      <c r="G312" s="79"/>
      <c r="H312" s="76"/>
      <c r="I312" s="79"/>
      <c r="J312" s="76"/>
      <c r="K312" s="76"/>
      <c r="L312" s="76"/>
      <c r="M312" s="76"/>
    </row>
    <row r="313" spans="1:13" s="78" customFormat="1" x14ac:dyDescent="0.4">
      <c r="A313" s="76"/>
      <c r="B313" s="76"/>
      <c r="C313" s="14"/>
      <c r="G313" s="79"/>
      <c r="H313" s="76"/>
      <c r="I313" s="79"/>
      <c r="J313" s="76"/>
      <c r="K313" s="76"/>
      <c r="L313" s="76"/>
      <c r="M313" s="76"/>
    </row>
    <row r="314" spans="1:13" s="78" customFormat="1" x14ac:dyDescent="0.4">
      <c r="A314" s="76"/>
      <c r="B314" s="76"/>
      <c r="C314" s="14"/>
      <c r="G314" s="79"/>
      <c r="H314" s="76"/>
      <c r="I314" s="79"/>
      <c r="J314" s="76"/>
      <c r="K314" s="76"/>
      <c r="L314" s="76"/>
      <c r="M314" s="76"/>
    </row>
    <row r="315" spans="1:13" s="78" customFormat="1" x14ac:dyDescent="0.4">
      <c r="A315" s="76"/>
      <c r="B315" s="76"/>
      <c r="C315" s="14"/>
      <c r="G315" s="79"/>
      <c r="H315" s="76"/>
      <c r="I315" s="79"/>
      <c r="J315" s="76"/>
      <c r="K315" s="76"/>
      <c r="L315" s="76"/>
      <c r="M315" s="76"/>
    </row>
    <row r="316" spans="1:13" s="78" customFormat="1" x14ac:dyDescent="0.4">
      <c r="A316" s="76"/>
      <c r="B316" s="76"/>
      <c r="C316" s="14"/>
      <c r="G316" s="79"/>
      <c r="H316" s="76"/>
      <c r="I316" s="79"/>
      <c r="J316" s="76"/>
      <c r="K316" s="76"/>
      <c r="L316" s="76"/>
      <c r="M316" s="76"/>
    </row>
    <row r="317" spans="1:13" s="78" customFormat="1" x14ac:dyDescent="0.4">
      <c r="A317" s="76"/>
      <c r="B317" s="76"/>
      <c r="C317" s="14"/>
      <c r="G317" s="79"/>
      <c r="H317" s="76"/>
      <c r="I317" s="79"/>
      <c r="J317" s="76"/>
      <c r="K317" s="76"/>
      <c r="L317" s="76"/>
      <c r="M317" s="76"/>
    </row>
    <row r="318" spans="1:13" s="78" customFormat="1" x14ac:dyDescent="0.4">
      <c r="A318" s="76"/>
      <c r="B318" s="76"/>
      <c r="C318" s="14"/>
      <c r="G318" s="79"/>
      <c r="H318" s="76"/>
      <c r="I318" s="79"/>
      <c r="J318" s="76"/>
      <c r="K318" s="76"/>
      <c r="L318" s="76"/>
      <c r="M318" s="76"/>
    </row>
    <row r="319" spans="1:13" s="78" customFormat="1" x14ac:dyDescent="0.4">
      <c r="A319" s="76"/>
      <c r="B319" s="76"/>
      <c r="C319" s="14"/>
      <c r="G319" s="79"/>
      <c r="H319" s="76"/>
      <c r="I319" s="79"/>
      <c r="J319" s="76"/>
      <c r="K319" s="76"/>
      <c r="L319" s="76"/>
      <c r="M319" s="76"/>
    </row>
    <row r="320" spans="1:13" s="78" customFormat="1" x14ac:dyDescent="0.4">
      <c r="A320" s="76"/>
      <c r="B320" s="76"/>
      <c r="C320" s="14"/>
      <c r="G320" s="79"/>
      <c r="H320" s="76"/>
      <c r="I320" s="79"/>
      <c r="J320" s="76"/>
      <c r="K320" s="76"/>
      <c r="L320" s="76"/>
      <c r="M320" s="76"/>
    </row>
    <row r="321" spans="1:13" s="78" customFormat="1" x14ac:dyDescent="0.4">
      <c r="A321" s="76"/>
      <c r="B321" s="76"/>
      <c r="C321" s="14"/>
      <c r="G321" s="79"/>
      <c r="H321" s="76"/>
      <c r="I321" s="79"/>
      <c r="J321" s="76"/>
      <c r="K321" s="76"/>
      <c r="L321" s="76"/>
      <c r="M321" s="76"/>
    </row>
    <row r="322" spans="1:13" s="78" customFormat="1" x14ac:dyDescent="0.4">
      <c r="A322" s="76"/>
      <c r="B322" s="76"/>
      <c r="C322" s="14"/>
      <c r="G322" s="79"/>
      <c r="H322" s="76"/>
      <c r="I322" s="79"/>
      <c r="J322" s="76"/>
      <c r="K322" s="76"/>
      <c r="L322" s="76"/>
      <c r="M322" s="76"/>
    </row>
    <row r="323" spans="1:13" s="78" customFormat="1" x14ac:dyDescent="0.4">
      <c r="A323" s="76"/>
      <c r="B323" s="76"/>
      <c r="C323" s="14"/>
      <c r="G323" s="79"/>
      <c r="H323" s="76"/>
      <c r="I323" s="79"/>
      <c r="J323" s="76"/>
      <c r="K323" s="76"/>
      <c r="L323" s="76"/>
      <c r="M323" s="76"/>
    </row>
    <row r="324" spans="1:13" s="78" customFormat="1" x14ac:dyDescent="0.4">
      <c r="A324" s="76"/>
      <c r="B324" s="76"/>
      <c r="C324" s="14"/>
      <c r="G324" s="79"/>
      <c r="H324" s="76"/>
      <c r="I324" s="79"/>
      <c r="J324" s="76"/>
      <c r="K324" s="76"/>
      <c r="L324" s="76"/>
      <c r="M324" s="76"/>
    </row>
    <row r="325" spans="1:13" s="78" customFormat="1" x14ac:dyDescent="0.4">
      <c r="A325" s="76"/>
      <c r="B325" s="76"/>
      <c r="C325" s="14"/>
      <c r="G325" s="79"/>
      <c r="H325" s="76"/>
      <c r="I325" s="79"/>
      <c r="J325" s="76"/>
      <c r="K325" s="76"/>
      <c r="L325" s="76"/>
      <c r="M325" s="76"/>
    </row>
    <row r="326" spans="1:13" x14ac:dyDescent="0.4">
      <c r="C326" s="14"/>
    </row>
    <row r="327" spans="1:13" x14ac:dyDescent="0.4">
      <c r="C327" s="14"/>
      <c r="D327" s="76"/>
      <c r="E327" s="76"/>
      <c r="F327" s="76"/>
      <c r="G327" s="76"/>
      <c r="I327" s="76"/>
    </row>
    <row r="330" spans="1:13" x14ac:dyDescent="0.4">
      <c r="C330" s="76"/>
      <c r="D330" s="76"/>
      <c r="E330" s="76"/>
      <c r="F330" s="76"/>
      <c r="G330" s="76"/>
      <c r="I330" s="76"/>
    </row>
    <row r="331" spans="1:13" x14ac:dyDescent="0.4">
      <c r="C331" s="76"/>
      <c r="D331" s="76"/>
      <c r="E331" s="76"/>
      <c r="F331" s="76"/>
      <c r="G331" s="76"/>
      <c r="I331" s="76"/>
    </row>
    <row r="332" spans="1:13" x14ac:dyDescent="0.4">
      <c r="C332" s="76"/>
      <c r="D332" s="76"/>
      <c r="E332" s="76"/>
      <c r="F332" s="76"/>
      <c r="G332" s="76"/>
      <c r="I332" s="76"/>
    </row>
    <row r="333" spans="1:13" x14ac:dyDescent="0.4">
      <c r="C333" s="76"/>
      <c r="D333" s="76"/>
      <c r="E333" s="76"/>
      <c r="F333" s="76"/>
      <c r="G333" s="76"/>
      <c r="I333" s="76"/>
    </row>
    <row r="334" spans="1:13" x14ac:dyDescent="0.4">
      <c r="C334" s="76"/>
      <c r="D334" s="76"/>
      <c r="E334" s="76"/>
      <c r="F334" s="76"/>
      <c r="G334" s="76"/>
      <c r="I334" s="76"/>
    </row>
    <row r="335" spans="1:13" x14ac:dyDescent="0.4">
      <c r="C335" s="76"/>
      <c r="D335" s="76"/>
      <c r="E335" s="76"/>
      <c r="F335" s="76"/>
      <c r="G335" s="76"/>
      <c r="I335" s="76"/>
    </row>
    <row r="336" spans="1:13" x14ac:dyDescent="0.4">
      <c r="C336" s="76"/>
      <c r="D336" s="76"/>
      <c r="E336" s="76"/>
      <c r="F336" s="76"/>
      <c r="G336" s="76"/>
      <c r="I336" s="76"/>
    </row>
    <row r="337" s="76" customFormat="1" x14ac:dyDescent="0.4"/>
    <row r="338" s="76" customFormat="1" x14ac:dyDescent="0.4"/>
    <row r="339" s="76" customFormat="1" x14ac:dyDescent="0.4"/>
    <row r="340" s="76" customFormat="1" x14ac:dyDescent="0.4"/>
    <row r="341" s="76" customFormat="1" x14ac:dyDescent="0.4"/>
    <row r="342" s="76" customFormat="1" x14ac:dyDescent="0.4"/>
    <row r="343" s="76" customFormat="1" x14ac:dyDescent="0.4"/>
    <row r="344" s="76" customFormat="1" x14ac:dyDescent="0.4"/>
    <row r="345" s="76" customFormat="1" x14ac:dyDescent="0.4"/>
    <row r="346" s="76" customFormat="1" x14ac:dyDescent="0.4"/>
    <row r="347" s="76" customFormat="1" x14ac:dyDescent="0.4"/>
    <row r="348" s="76" customFormat="1" x14ac:dyDescent="0.4"/>
    <row r="349" s="76" customFormat="1" x14ac:dyDescent="0.4"/>
    <row r="350" s="76" customFormat="1" x14ac:dyDescent="0.4"/>
    <row r="351" s="76" customFormat="1" x14ac:dyDescent="0.4"/>
    <row r="352" s="76" customFormat="1" x14ac:dyDescent="0.4"/>
    <row r="353" s="76" customFormat="1" x14ac:dyDescent="0.4"/>
    <row r="354" s="76" customFormat="1" x14ac:dyDescent="0.4"/>
    <row r="355" s="76" customFormat="1" x14ac:dyDescent="0.4"/>
    <row r="356" s="76" customFormat="1" x14ac:dyDescent="0.4"/>
  </sheetData>
  <pageMargins left="0.7" right="0.7" top="0.75" bottom="0.75" header="0.3" footer="0.3"/>
  <pageSetup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2"/>
  <dimension ref="A1:Q122"/>
  <sheetViews>
    <sheetView workbookViewId="0">
      <selection activeCell="S33" sqref="S33:S34"/>
    </sheetView>
  </sheetViews>
  <sheetFormatPr defaultColWidth="9.05859375" defaultRowHeight="12.7" outlineLevelCol="1" x14ac:dyDescent="0.4"/>
  <cols>
    <col min="1" max="1" width="13.52734375" style="21" bestFit="1" customWidth="1"/>
    <col min="2" max="2" width="30.3515625" style="9" customWidth="1"/>
    <col min="3" max="3" width="13.64453125" style="17" hidden="1" customWidth="1" outlineLevel="1"/>
    <col min="4" max="4" width="11" style="17" hidden="1" customWidth="1" outlineLevel="1"/>
    <col min="5" max="5" width="13.87890625" style="17" hidden="1" customWidth="1" outlineLevel="1"/>
    <col min="6" max="6" width="12.3515625" style="17" hidden="1" customWidth="1" outlineLevel="1"/>
    <col min="7" max="7" width="15.64453125" style="18" hidden="1" customWidth="1" outlineLevel="1"/>
    <col min="8" max="8" width="15.46875" style="76" hidden="1" customWidth="1" outlineLevel="1"/>
    <col min="9" max="9" width="12" style="18" customWidth="1" collapsed="1"/>
    <col min="10" max="10" width="13.46875" style="2" customWidth="1"/>
    <col min="11" max="11" width="11.64453125" style="2" customWidth="1"/>
    <col min="12" max="12" width="13.17578125" style="2" customWidth="1"/>
    <col min="13" max="13" width="11.87890625" style="2" customWidth="1"/>
    <col min="14" max="16384" width="9.05859375" style="21"/>
  </cols>
  <sheetData>
    <row r="1" spans="1:14" x14ac:dyDescent="0.4">
      <c r="A1" s="22" t="s">
        <v>901</v>
      </c>
      <c r="B1" s="1"/>
    </row>
    <row r="2" spans="1:14" x14ac:dyDescent="0.4">
      <c r="A2" s="22" t="s">
        <v>603</v>
      </c>
      <c r="B2" s="1"/>
    </row>
    <row r="3" spans="1:14" x14ac:dyDescent="0.4">
      <c r="A3" s="3">
        <v>43159</v>
      </c>
      <c r="B3" s="3"/>
      <c r="F3" s="17" t="s">
        <v>261</v>
      </c>
      <c r="G3" s="18" t="s">
        <v>261</v>
      </c>
      <c r="H3" s="4"/>
    </row>
    <row r="5" spans="1:14" s="10" customFormat="1" x14ac:dyDescent="0.4">
      <c r="A5" s="21" t="s">
        <v>484</v>
      </c>
      <c r="B5" s="9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18" t="s">
        <v>1</v>
      </c>
      <c r="H5" s="76" t="s">
        <v>280</v>
      </c>
      <c r="I5" s="19" t="s">
        <v>281</v>
      </c>
      <c r="J5" s="17"/>
      <c r="K5" s="17"/>
      <c r="L5" s="416" t="s">
        <v>282</v>
      </c>
      <c r="M5" s="416" t="s">
        <v>284</v>
      </c>
    </row>
    <row r="6" spans="1:14" s="10" customFormat="1" x14ac:dyDescent="0.4">
      <c r="A6" s="126" t="s">
        <v>1047</v>
      </c>
      <c r="B6" s="12" t="s">
        <v>1048</v>
      </c>
      <c r="C6" s="78">
        <v>128270.61</v>
      </c>
      <c r="D6" s="78"/>
      <c r="E6" s="78"/>
      <c r="F6" s="78"/>
      <c r="G6" s="79">
        <f t="shared" ref="G6:G70" si="0">SUM(C6:F6)</f>
        <v>128270.61</v>
      </c>
      <c r="H6" s="78" t="s">
        <v>287</v>
      </c>
      <c r="I6" s="79">
        <f>G6*1</f>
        <v>128270.61</v>
      </c>
      <c r="J6" s="17"/>
      <c r="K6" s="17"/>
      <c r="L6" s="417" t="s">
        <v>287</v>
      </c>
      <c r="M6" s="418">
        <v>866833.96</v>
      </c>
    </row>
    <row r="7" spans="1:14" s="10" customFormat="1" x14ac:dyDescent="0.4">
      <c r="A7" s="126" t="s">
        <v>1049</v>
      </c>
      <c r="B7" s="12" t="s">
        <v>1050</v>
      </c>
      <c r="C7" s="78">
        <v>51104.17</v>
      </c>
      <c r="D7" s="78"/>
      <c r="E7" s="78"/>
      <c r="F7" s="78"/>
      <c r="G7" s="79">
        <f t="shared" si="0"/>
        <v>51104.17</v>
      </c>
      <c r="H7" s="78" t="s">
        <v>287</v>
      </c>
      <c r="I7" s="79">
        <f t="shared" ref="I7:I71" si="1">G7*1</f>
        <v>51104.17</v>
      </c>
      <c r="J7" s="17"/>
      <c r="K7" s="17"/>
      <c r="L7" s="417" t="s">
        <v>288</v>
      </c>
      <c r="M7" s="418">
        <v>-215657.55</v>
      </c>
    </row>
    <row r="8" spans="1:14" s="10" customFormat="1" x14ac:dyDescent="0.4">
      <c r="A8" s="126" t="s">
        <v>1051</v>
      </c>
      <c r="B8" s="12" t="s">
        <v>1052</v>
      </c>
      <c r="C8" s="78">
        <v>0</v>
      </c>
      <c r="D8" s="78"/>
      <c r="E8" s="78"/>
      <c r="F8" s="78"/>
      <c r="G8" s="79">
        <f t="shared" si="0"/>
        <v>0</v>
      </c>
      <c r="H8" s="78" t="s">
        <v>287</v>
      </c>
      <c r="I8" s="79">
        <f t="shared" si="1"/>
        <v>0</v>
      </c>
      <c r="J8" s="17"/>
      <c r="K8" s="17"/>
      <c r="L8" s="417" t="s">
        <v>292</v>
      </c>
      <c r="M8" s="418">
        <v>-167525.69</v>
      </c>
    </row>
    <row r="9" spans="1:14" s="10" customFormat="1" x14ac:dyDescent="0.4">
      <c r="A9" s="126" t="s">
        <v>1053</v>
      </c>
      <c r="B9" s="12" t="s">
        <v>1054</v>
      </c>
      <c r="C9" s="78">
        <v>18840</v>
      </c>
      <c r="D9" s="78"/>
      <c r="E9" s="78"/>
      <c r="F9" s="78"/>
      <c r="G9" s="79">
        <f t="shared" si="0"/>
        <v>18840</v>
      </c>
      <c r="H9" s="78" t="s">
        <v>287</v>
      </c>
      <c r="I9" s="79">
        <f t="shared" si="1"/>
        <v>18840</v>
      </c>
      <c r="J9" s="17"/>
      <c r="K9" s="17"/>
      <c r="L9" s="417" t="s">
        <v>291</v>
      </c>
      <c r="M9" s="418">
        <v>-4939.5</v>
      </c>
    </row>
    <row r="10" spans="1:14" s="10" customFormat="1" x14ac:dyDescent="0.4">
      <c r="A10" s="68" t="s">
        <v>1055</v>
      </c>
      <c r="B10" s="12" t="s">
        <v>1056</v>
      </c>
      <c r="C10" s="78">
        <v>0</v>
      </c>
      <c r="D10" s="78"/>
      <c r="E10" s="78"/>
      <c r="F10" s="78">
        <v>0</v>
      </c>
      <c r="G10" s="79">
        <f t="shared" si="0"/>
        <v>0</v>
      </c>
      <c r="H10" s="78" t="s">
        <v>287</v>
      </c>
      <c r="I10" s="79">
        <f t="shared" si="1"/>
        <v>0</v>
      </c>
      <c r="J10" s="17"/>
      <c r="K10" s="17"/>
      <c r="L10" s="417" t="s">
        <v>289</v>
      </c>
      <c r="M10" s="418">
        <v>-69414.14</v>
      </c>
    </row>
    <row r="11" spans="1:14" s="10" customFormat="1" x14ac:dyDescent="0.4">
      <c r="A11" s="125" t="s">
        <v>1057</v>
      </c>
      <c r="B11" s="125" t="s">
        <v>1058</v>
      </c>
      <c r="C11" s="78">
        <v>602000</v>
      </c>
      <c r="D11" s="78"/>
      <c r="E11" s="78"/>
      <c r="F11" s="78"/>
      <c r="G11" s="79">
        <f t="shared" si="0"/>
        <v>602000</v>
      </c>
      <c r="H11" s="78" t="s">
        <v>287</v>
      </c>
      <c r="I11" s="79">
        <f t="shared" si="1"/>
        <v>602000</v>
      </c>
      <c r="J11" s="17"/>
      <c r="K11" s="17"/>
      <c r="L11" s="417" t="s">
        <v>290</v>
      </c>
      <c r="M11" s="418">
        <v>-15222.94</v>
      </c>
    </row>
    <row r="12" spans="1:14" s="17" customFormat="1" x14ac:dyDescent="0.4">
      <c r="A12" s="126" t="s">
        <v>1059</v>
      </c>
      <c r="B12" s="12" t="s">
        <v>1060</v>
      </c>
      <c r="C12" s="78">
        <v>4000</v>
      </c>
      <c r="D12" s="78"/>
      <c r="E12" s="78"/>
      <c r="F12" s="78"/>
      <c r="G12" s="79">
        <f t="shared" si="0"/>
        <v>4000</v>
      </c>
      <c r="H12" s="78" t="s">
        <v>287</v>
      </c>
      <c r="I12" s="79">
        <f t="shared" si="1"/>
        <v>4000</v>
      </c>
      <c r="J12" s="78"/>
      <c r="K12" s="78"/>
      <c r="L12" s="417" t="s">
        <v>299</v>
      </c>
      <c r="M12" s="418">
        <v>-25431.119999999999</v>
      </c>
      <c r="N12" s="10"/>
    </row>
    <row r="13" spans="1:14" s="17" customFormat="1" x14ac:dyDescent="0.4">
      <c r="A13" s="126" t="s">
        <v>1234</v>
      </c>
      <c r="B13" s="12" t="s">
        <v>1235</v>
      </c>
      <c r="C13" s="78">
        <v>2295.1999999999998</v>
      </c>
      <c r="D13" s="78"/>
      <c r="E13" s="78"/>
      <c r="F13" s="78"/>
      <c r="G13" s="79">
        <f t="shared" si="0"/>
        <v>2295.1999999999998</v>
      </c>
      <c r="H13" s="78" t="s">
        <v>287</v>
      </c>
      <c r="I13" s="79">
        <f t="shared" si="1"/>
        <v>2295.1999999999998</v>
      </c>
      <c r="L13" s="417" t="s">
        <v>862</v>
      </c>
      <c r="M13" s="418">
        <v>0</v>
      </c>
    </row>
    <row r="14" spans="1:14" s="17" customFormat="1" x14ac:dyDescent="0.4">
      <c r="A14" s="126" t="s">
        <v>1063</v>
      </c>
      <c r="B14" s="12" t="s">
        <v>1064</v>
      </c>
      <c r="C14" s="78">
        <v>54985.65</v>
      </c>
      <c r="D14" s="78"/>
      <c r="E14" s="78"/>
      <c r="F14" s="78"/>
      <c r="G14" s="79">
        <f t="shared" si="0"/>
        <v>54985.65</v>
      </c>
      <c r="H14" s="78" t="s">
        <v>287</v>
      </c>
      <c r="I14" s="79">
        <f t="shared" si="1"/>
        <v>54985.65</v>
      </c>
      <c r="L14" s="417" t="s">
        <v>283</v>
      </c>
      <c r="M14" s="418">
        <v>368643.02</v>
      </c>
    </row>
    <row r="15" spans="1:14" s="10" customFormat="1" x14ac:dyDescent="0.4">
      <c r="A15" s="126" t="s">
        <v>1065</v>
      </c>
      <c r="B15" s="12" t="s">
        <v>1066</v>
      </c>
      <c r="C15" s="78">
        <v>0</v>
      </c>
      <c r="D15" s="78"/>
      <c r="E15" s="78"/>
      <c r="F15" s="78"/>
      <c r="G15" s="79">
        <f t="shared" si="0"/>
        <v>0</v>
      </c>
      <c r="H15" s="78" t="s">
        <v>287</v>
      </c>
      <c r="I15" s="79">
        <f t="shared" si="1"/>
        <v>0</v>
      </c>
      <c r="J15" s="17"/>
      <c r="K15" s="17"/>
      <c r="L15" s="2"/>
      <c r="M15" s="2"/>
      <c r="N15" s="17"/>
    </row>
    <row r="16" spans="1:14" s="10" customFormat="1" x14ac:dyDescent="0.4">
      <c r="A16" s="126" t="s">
        <v>1067</v>
      </c>
      <c r="B16" s="12" t="s">
        <v>1068</v>
      </c>
      <c r="C16" s="78">
        <v>5301.57</v>
      </c>
      <c r="D16" s="78"/>
      <c r="E16" s="78"/>
      <c r="F16" s="78"/>
      <c r="G16" s="79">
        <f t="shared" si="0"/>
        <v>5301.57</v>
      </c>
      <c r="H16" s="78" t="s">
        <v>287</v>
      </c>
      <c r="I16" s="79">
        <f t="shared" si="1"/>
        <v>5301.57</v>
      </c>
      <c r="J16" s="17"/>
      <c r="K16" s="17"/>
      <c r="L16" s="2"/>
      <c r="M16" s="2"/>
    </row>
    <row r="17" spans="1:13" s="10" customFormat="1" x14ac:dyDescent="0.4">
      <c r="A17" s="126" t="s">
        <v>1069</v>
      </c>
      <c r="B17" s="12" t="s">
        <v>1070</v>
      </c>
      <c r="C17" s="78">
        <v>12.76</v>
      </c>
      <c r="D17" s="78"/>
      <c r="E17" s="78"/>
      <c r="F17" s="78"/>
      <c r="G17" s="79">
        <f t="shared" si="0"/>
        <v>12.76</v>
      </c>
      <c r="H17" s="78" t="s">
        <v>287</v>
      </c>
      <c r="I17" s="79">
        <f t="shared" si="1"/>
        <v>12.76</v>
      </c>
      <c r="J17" s="17"/>
      <c r="K17" s="17"/>
      <c r="L17" s="2"/>
      <c r="M17" s="2"/>
    </row>
    <row r="18" spans="1:13" s="10" customFormat="1" x14ac:dyDescent="0.4">
      <c r="A18" s="126" t="s">
        <v>1071</v>
      </c>
      <c r="B18" s="12" t="s">
        <v>1072</v>
      </c>
      <c r="C18" s="78">
        <v>24</v>
      </c>
      <c r="D18" s="78"/>
      <c r="E18" s="78"/>
      <c r="F18" s="78"/>
      <c r="G18" s="79">
        <f t="shared" si="0"/>
        <v>24</v>
      </c>
      <c r="H18" s="78" t="s">
        <v>287</v>
      </c>
      <c r="I18" s="79">
        <f t="shared" si="1"/>
        <v>24</v>
      </c>
      <c r="J18" s="17"/>
      <c r="K18" s="17"/>
      <c r="L18" s="2"/>
      <c r="M18" s="2"/>
    </row>
    <row r="19" spans="1:13" s="10" customFormat="1" x14ac:dyDescent="0.4">
      <c r="A19" s="27" t="s">
        <v>1073</v>
      </c>
      <c r="B19" s="125" t="s">
        <v>1074</v>
      </c>
      <c r="C19" s="78">
        <v>0</v>
      </c>
      <c r="D19" s="78"/>
      <c r="E19" s="78"/>
      <c r="F19" s="78"/>
      <c r="G19" s="79">
        <f t="shared" si="0"/>
        <v>0</v>
      </c>
      <c r="H19" s="78" t="s">
        <v>287</v>
      </c>
      <c r="I19" s="79">
        <f t="shared" si="1"/>
        <v>0</v>
      </c>
      <c r="J19" s="17"/>
      <c r="K19" s="17"/>
      <c r="L19" s="2"/>
      <c r="M19" s="16"/>
    </row>
    <row r="20" spans="1:13" s="10" customFormat="1" x14ac:dyDescent="0.4">
      <c r="A20" s="126" t="s">
        <v>1075</v>
      </c>
      <c r="B20" s="12" t="s">
        <v>1076</v>
      </c>
      <c r="C20" s="78">
        <v>-162295.20000000001</v>
      </c>
      <c r="D20" s="78"/>
      <c r="E20" s="78"/>
      <c r="F20" s="78"/>
      <c r="G20" s="79">
        <f t="shared" si="0"/>
        <v>-162295.20000000001</v>
      </c>
      <c r="H20" s="78" t="s">
        <v>288</v>
      </c>
      <c r="I20" s="79">
        <f t="shared" si="1"/>
        <v>-162295.20000000001</v>
      </c>
      <c r="J20" s="17"/>
      <c r="K20" s="17"/>
      <c r="L20" s="2"/>
      <c r="M20" s="2"/>
    </row>
    <row r="21" spans="1:13" s="10" customFormat="1" x14ac:dyDescent="0.4">
      <c r="A21" s="126" t="s">
        <v>509</v>
      </c>
      <c r="B21" s="12" t="s">
        <v>1077</v>
      </c>
      <c r="C21" s="78"/>
      <c r="D21" s="78"/>
      <c r="E21" s="78"/>
      <c r="F21" s="78"/>
      <c r="G21" s="79">
        <f t="shared" si="0"/>
        <v>0</v>
      </c>
      <c r="H21" s="78" t="s">
        <v>288</v>
      </c>
      <c r="I21" s="79">
        <f t="shared" si="1"/>
        <v>0</v>
      </c>
      <c r="J21" s="17"/>
      <c r="K21" s="17"/>
      <c r="L21" s="2"/>
      <c r="M21" s="16"/>
    </row>
    <row r="22" spans="1:13" s="10" customFormat="1" x14ac:dyDescent="0.4">
      <c r="A22" s="126" t="s">
        <v>1078</v>
      </c>
      <c r="B22" s="27" t="s">
        <v>1079</v>
      </c>
      <c r="C22" s="78">
        <v>-2100</v>
      </c>
      <c r="D22" s="78"/>
      <c r="E22" s="78"/>
      <c r="F22" s="78"/>
      <c r="G22" s="79">
        <f t="shared" si="0"/>
        <v>-2100</v>
      </c>
      <c r="H22" s="78" t="s">
        <v>288</v>
      </c>
      <c r="I22" s="79">
        <f t="shared" si="1"/>
        <v>-2100</v>
      </c>
      <c r="J22" s="17"/>
      <c r="K22" s="17"/>
      <c r="L22" s="2"/>
      <c r="M22" s="16"/>
    </row>
    <row r="23" spans="1:13" s="10" customFormat="1" x14ac:dyDescent="0.4">
      <c r="A23" s="126" t="s">
        <v>1080</v>
      </c>
      <c r="B23" s="12" t="s">
        <v>1081</v>
      </c>
      <c r="C23" s="78">
        <v>-40789.08</v>
      </c>
      <c r="D23" s="78"/>
      <c r="E23" s="78"/>
      <c r="F23" s="78"/>
      <c r="G23" s="79">
        <f t="shared" si="0"/>
        <v>-40789.08</v>
      </c>
      <c r="H23" s="78" t="s">
        <v>288</v>
      </c>
      <c r="I23" s="79">
        <f t="shared" si="1"/>
        <v>-40789.08</v>
      </c>
      <c r="J23" s="17"/>
      <c r="K23" s="17"/>
      <c r="L23" s="17"/>
      <c r="M23" s="17"/>
    </row>
    <row r="24" spans="1:13" s="10" customFormat="1" x14ac:dyDescent="0.4">
      <c r="A24" s="126" t="s">
        <v>1082</v>
      </c>
      <c r="B24" s="12" t="s">
        <v>1083</v>
      </c>
      <c r="C24" s="78">
        <v>0</v>
      </c>
      <c r="D24" s="78"/>
      <c r="E24" s="78"/>
      <c r="F24" s="78"/>
      <c r="G24" s="79">
        <f t="shared" si="0"/>
        <v>0</v>
      </c>
      <c r="H24" s="78" t="s">
        <v>288</v>
      </c>
      <c r="I24" s="79">
        <f t="shared" si="1"/>
        <v>0</v>
      </c>
      <c r="J24" s="17"/>
      <c r="K24" s="17"/>
      <c r="L24" s="17"/>
      <c r="M24" s="17"/>
    </row>
    <row r="25" spans="1:13" s="10" customFormat="1" x14ac:dyDescent="0.4">
      <c r="A25" s="125" t="s">
        <v>1084</v>
      </c>
      <c r="B25" s="125" t="s">
        <v>1085</v>
      </c>
      <c r="C25" s="78">
        <v>-10</v>
      </c>
      <c r="D25" s="78"/>
      <c r="E25" s="78"/>
      <c r="F25" s="78"/>
      <c r="G25" s="79">
        <f t="shared" si="0"/>
        <v>-10</v>
      </c>
      <c r="H25" s="78" t="s">
        <v>288</v>
      </c>
      <c r="I25" s="79">
        <f t="shared" si="1"/>
        <v>-10</v>
      </c>
      <c r="J25" s="17"/>
      <c r="K25" s="17"/>
      <c r="L25" s="17"/>
      <c r="M25" s="17"/>
    </row>
    <row r="26" spans="1:13" s="10" customFormat="1" x14ac:dyDescent="0.4">
      <c r="A26" s="126" t="s">
        <v>1086</v>
      </c>
      <c r="B26" s="12" t="s">
        <v>1087</v>
      </c>
      <c r="C26" s="78">
        <v>0</v>
      </c>
      <c r="D26" s="78"/>
      <c r="E26" s="78"/>
      <c r="F26" s="78"/>
      <c r="G26" s="79">
        <f t="shared" si="0"/>
        <v>0</v>
      </c>
      <c r="H26" s="78" t="s">
        <v>288</v>
      </c>
      <c r="I26" s="79">
        <f t="shared" si="1"/>
        <v>0</v>
      </c>
      <c r="J26" s="17"/>
      <c r="K26" s="17"/>
      <c r="L26" s="17"/>
      <c r="M26" s="17"/>
    </row>
    <row r="27" spans="1:13" s="10" customFormat="1" x14ac:dyDescent="0.4">
      <c r="A27" s="126" t="s">
        <v>1088</v>
      </c>
      <c r="B27" s="12" t="s">
        <v>1089</v>
      </c>
      <c r="C27" s="78">
        <v>-7704.86</v>
      </c>
      <c r="D27" s="78"/>
      <c r="E27" s="78"/>
      <c r="F27" s="78"/>
      <c r="G27" s="79">
        <f t="shared" si="0"/>
        <v>-7704.86</v>
      </c>
      <c r="H27" s="78" t="s">
        <v>288</v>
      </c>
      <c r="I27" s="79">
        <f t="shared" si="1"/>
        <v>-7704.86</v>
      </c>
      <c r="J27" s="17"/>
      <c r="L27" s="17"/>
      <c r="M27" s="17"/>
    </row>
    <row r="28" spans="1:13" s="10" customFormat="1" x14ac:dyDescent="0.4">
      <c r="A28" s="126" t="s">
        <v>1090</v>
      </c>
      <c r="B28" s="12" t="s">
        <v>1091</v>
      </c>
      <c r="C28" s="78">
        <v>0</v>
      </c>
      <c r="D28" s="78"/>
      <c r="E28" s="78"/>
      <c r="F28" s="78"/>
      <c r="G28" s="79">
        <f t="shared" si="0"/>
        <v>0</v>
      </c>
      <c r="H28" s="79" t="s">
        <v>288</v>
      </c>
      <c r="I28" s="79">
        <f t="shared" si="1"/>
        <v>0</v>
      </c>
      <c r="J28" s="17"/>
      <c r="K28" s="17"/>
      <c r="L28" s="17"/>
      <c r="M28" s="17"/>
    </row>
    <row r="29" spans="1:13" s="10" customFormat="1" x14ac:dyDescent="0.4">
      <c r="A29" s="126" t="s">
        <v>1092</v>
      </c>
      <c r="B29" s="12" t="s">
        <v>1093</v>
      </c>
      <c r="C29" s="78">
        <v>0</v>
      </c>
      <c r="D29" s="78"/>
      <c r="E29" s="78"/>
      <c r="F29" s="78"/>
      <c r="G29" s="79">
        <f t="shared" si="0"/>
        <v>0</v>
      </c>
      <c r="H29" s="78" t="s">
        <v>288</v>
      </c>
      <c r="I29" s="79">
        <f t="shared" si="1"/>
        <v>0</v>
      </c>
      <c r="J29" s="17"/>
      <c r="K29" s="17"/>
      <c r="L29" s="17"/>
      <c r="M29" s="17"/>
    </row>
    <row r="30" spans="1:13" s="10" customFormat="1" x14ac:dyDescent="0.4">
      <c r="A30" s="126" t="s">
        <v>1094</v>
      </c>
      <c r="B30" s="12" t="s">
        <v>1095</v>
      </c>
      <c r="C30" s="78">
        <v>0</v>
      </c>
      <c r="D30" s="78"/>
      <c r="E30" s="78"/>
      <c r="F30" s="78"/>
      <c r="G30" s="79">
        <f t="shared" si="0"/>
        <v>0</v>
      </c>
      <c r="H30" s="78" t="s">
        <v>288</v>
      </c>
      <c r="I30" s="79">
        <f t="shared" si="1"/>
        <v>0</v>
      </c>
      <c r="J30" s="17"/>
      <c r="K30" s="17"/>
      <c r="L30" s="17"/>
      <c r="M30" s="17"/>
    </row>
    <row r="31" spans="1:13" s="10" customFormat="1" x14ac:dyDescent="0.4">
      <c r="A31" s="126" t="s">
        <v>1096</v>
      </c>
      <c r="B31" s="12" t="s">
        <v>1097</v>
      </c>
      <c r="C31" s="78">
        <v>-2758.41</v>
      </c>
      <c r="D31" s="78"/>
      <c r="E31" s="78"/>
      <c r="F31" s="78"/>
      <c r="G31" s="79">
        <f t="shared" si="0"/>
        <v>-2758.41</v>
      </c>
      <c r="H31" s="78" t="s">
        <v>288</v>
      </c>
      <c r="I31" s="79">
        <f t="shared" si="1"/>
        <v>-2758.41</v>
      </c>
      <c r="J31" s="17"/>
      <c r="K31" s="17"/>
      <c r="L31" s="17"/>
      <c r="M31" s="17"/>
    </row>
    <row r="32" spans="1:13" s="10" customFormat="1" x14ac:dyDescent="0.4">
      <c r="A32" s="126" t="s">
        <v>1098</v>
      </c>
      <c r="B32" s="12" t="s">
        <v>1099</v>
      </c>
      <c r="C32" s="78">
        <v>0</v>
      </c>
      <c r="D32" s="78"/>
      <c r="E32" s="78"/>
      <c r="F32" s="78"/>
      <c r="G32" s="79">
        <f t="shared" si="0"/>
        <v>0</v>
      </c>
      <c r="H32" s="78" t="s">
        <v>288</v>
      </c>
      <c r="I32" s="79">
        <f t="shared" si="1"/>
        <v>0</v>
      </c>
      <c r="J32" s="17"/>
      <c r="K32" s="17"/>
      <c r="L32" s="17"/>
      <c r="M32" s="17"/>
    </row>
    <row r="33" spans="1:17" s="10" customFormat="1" x14ac:dyDescent="0.4">
      <c r="A33" s="126" t="s">
        <v>1100</v>
      </c>
      <c r="B33" s="12" t="s">
        <v>1101</v>
      </c>
      <c r="C33" s="78">
        <v>-9516.68</v>
      </c>
      <c r="D33" s="78"/>
      <c r="E33" s="78"/>
      <c r="F33" s="78"/>
      <c r="G33" s="79">
        <f t="shared" si="0"/>
        <v>-9516.68</v>
      </c>
      <c r="H33" s="78" t="s">
        <v>292</v>
      </c>
      <c r="I33" s="79">
        <f t="shared" si="1"/>
        <v>-9516.68</v>
      </c>
      <c r="J33" s="17"/>
      <c r="K33" s="17"/>
      <c r="L33" s="17"/>
      <c r="M33" s="17"/>
    </row>
    <row r="34" spans="1:17" s="17" customFormat="1" x14ac:dyDescent="0.4">
      <c r="A34" s="126" t="s">
        <v>1102</v>
      </c>
      <c r="B34" s="12" t="s">
        <v>1103</v>
      </c>
      <c r="C34" s="78">
        <v>-15936.84</v>
      </c>
      <c r="D34" s="78"/>
      <c r="E34" s="78"/>
      <c r="F34" s="78"/>
      <c r="G34" s="79">
        <f t="shared" si="0"/>
        <v>-15936.84</v>
      </c>
      <c r="H34" s="78" t="s">
        <v>292</v>
      </c>
      <c r="I34" s="79">
        <f t="shared" si="1"/>
        <v>-15936.84</v>
      </c>
      <c r="N34" s="10"/>
      <c r="O34" s="10"/>
      <c r="P34" s="10"/>
      <c r="Q34" s="10"/>
    </row>
    <row r="35" spans="1:17" s="17" customFormat="1" x14ac:dyDescent="0.4">
      <c r="A35" s="126" t="s">
        <v>1104</v>
      </c>
      <c r="B35" s="12" t="s">
        <v>1105</v>
      </c>
      <c r="C35" s="78">
        <v>-6034.28</v>
      </c>
      <c r="D35" s="78"/>
      <c r="E35" s="78"/>
      <c r="F35" s="78"/>
      <c r="G35" s="79">
        <f t="shared" si="0"/>
        <v>-6034.28</v>
      </c>
      <c r="H35" s="78" t="s">
        <v>292</v>
      </c>
      <c r="I35" s="79">
        <f t="shared" si="1"/>
        <v>-6034.28</v>
      </c>
      <c r="J35" s="17">
        <f>SUM(I6:I19)</f>
        <v>866833.96</v>
      </c>
      <c r="N35" s="10"/>
    </row>
    <row r="36" spans="1:17" s="10" customFormat="1" x14ac:dyDescent="0.4">
      <c r="A36" s="126" t="s">
        <v>1106</v>
      </c>
      <c r="B36" s="12" t="s">
        <v>1107</v>
      </c>
      <c r="C36" s="78">
        <v>-9545.4500000000007</v>
      </c>
      <c r="D36" s="78"/>
      <c r="E36" s="78"/>
      <c r="F36" s="78"/>
      <c r="G36" s="79">
        <f t="shared" si="0"/>
        <v>-9545.4500000000007</v>
      </c>
      <c r="H36" s="78" t="s">
        <v>292</v>
      </c>
      <c r="I36" s="79">
        <f t="shared" si="1"/>
        <v>-9545.4500000000007</v>
      </c>
      <c r="J36" s="17"/>
      <c r="K36" s="17"/>
      <c r="L36" s="17"/>
      <c r="M36" s="17"/>
      <c r="O36" s="17"/>
      <c r="P36" s="17"/>
      <c r="Q36" s="17"/>
    </row>
    <row r="37" spans="1:17" s="10" customFormat="1" x14ac:dyDescent="0.4">
      <c r="A37" s="126" t="s">
        <v>1108</v>
      </c>
      <c r="B37" s="12" t="s">
        <v>1109</v>
      </c>
      <c r="C37" s="78">
        <v>-25877.64</v>
      </c>
      <c r="D37" s="78"/>
      <c r="E37" s="78"/>
      <c r="F37" s="78"/>
      <c r="G37" s="79">
        <f t="shared" si="0"/>
        <v>-25877.64</v>
      </c>
      <c r="H37" s="78" t="s">
        <v>292</v>
      </c>
      <c r="I37" s="79">
        <f t="shared" si="1"/>
        <v>-25877.64</v>
      </c>
      <c r="J37" s="17"/>
      <c r="K37" s="17"/>
      <c r="L37" s="17"/>
      <c r="M37" s="17"/>
    </row>
    <row r="38" spans="1:17" s="10" customFormat="1" x14ac:dyDescent="0.4">
      <c r="A38" s="126" t="s">
        <v>1110</v>
      </c>
      <c r="B38" s="12" t="s">
        <v>1111</v>
      </c>
      <c r="C38" s="78">
        <v>0</v>
      </c>
      <c r="D38" s="78"/>
      <c r="E38" s="78"/>
      <c r="F38" s="78"/>
      <c r="G38" s="79">
        <f t="shared" si="0"/>
        <v>0</v>
      </c>
      <c r="H38" s="78" t="s">
        <v>292</v>
      </c>
      <c r="I38" s="79">
        <f t="shared" si="1"/>
        <v>0</v>
      </c>
      <c r="J38" s="17"/>
      <c r="K38" s="17"/>
      <c r="L38" s="17"/>
      <c r="M38" s="17"/>
    </row>
    <row r="39" spans="1:17" s="10" customFormat="1" x14ac:dyDescent="0.4">
      <c r="A39" s="126" t="s">
        <v>1112</v>
      </c>
      <c r="B39" s="12" t="s">
        <v>1113</v>
      </c>
      <c r="C39" s="78">
        <v>0</v>
      </c>
      <c r="D39" s="78"/>
      <c r="E39" s="78"/>
      <c r="F39" s="78"/>
      <c r="G39" s="79">
        <f t="shared" si="0"/>
        <v>0</v>
      </c>
      <c r="H39" s="78" t="s">
        <v>292</v>
      </c>
      <c r="I39" s="79">
        <f t="shared" si="1"/>
        <v>0</v>
      </c>
      <c r="J39" s="17"/>
      <c r="K39" s="17"/>
      <c r="L39" s="17"/>
      <c r="M39" s="17"/>
    </row>
    <row r="40" spans="1:17" s="10" customFormat="1" x14ac:dyDescent="0.4">
      <c r="A40" s="126" t="s">
        <v>1114</v>
      </c>
      <c r="B40" s="12" t="s">
        <v>1115</v>
      </c>
      <c r="C40" s="78">
        <v>0</v>
      </c>
      <c r="D40" s="78"/>
      <c r="E40" s="78"/>
      <c r="F40" s="78"/>
      <c r="G40" s="79">
        <f t="shared" si="0"/>
        <v>0</v>
      </c>
      <c r="H40" s="78" t="s">
        <v>292</v>
      </c>
      <c r="I40" s="79">
        <f t="shared" si="1"/>
        <v>0</v>
      </c>
      <c r="J40" s="17"/>
      <c r="K40" s="17"/>
      <c r="L40" s="17"/>
      <c r="M40" s="17"/>
    </row>
    <row r="41" spans="1:17" s="10" customFormat="1" x14ac:dyDescent="0.4">
      <c r="A41" s="126" t="s">
        <v>1116</v>
      </c>
      <c r="B41" s="12" t="s">
        <v>1117</v>
      </c>
      <c r="C41" s="78">
        <v>-1875</v>
      </c>
      <c r="D41" s="78"/>
      <c r="E41" s="78"/>
      <c r="F41" s="78"/>
      <c r="G41" s="79">
        <f t="shared" si="0"/>
        <v>-1875</v>
      </c>
      <c r="H41" s="78" t="s">
        <v>291</v>
      </c>
      <c r="I41" s="79">
        <f t="shared" si="1"/>
        <v>-1875</v>
      </c>
      <c r="J41" s="17"/>
      <c r="K41" s="17"/>
      <c r="L41" s="17"/>
      <c r="M41" s="17"/>
    </row>
    <row r="42" spans="1:17" s="10" customFormat="1" x14ac:dyDescent="0.4">
      <c r="A42" s="126" t="s">
        <v>1118</v>
      </c>
      <c r="B42" s="12" t="s">
        <v>1119</v>
      </c>
      <c r="C42" s="78">
        <v>-3064.5</v>
      </c>
      <c r="D42" s="78"/>
      <c r="E42" s="78"/>
      <c r="F42" s="78"/>
      <c r="G42" s="79">
        <f t="shared" si="0"/>
        <v>-3064.5</v>
      </c>
      <c r="H42" s="78" t="s">
        <v>291</v>
      </c>
      <c r="I42" s="79">
        <f t="shared" si="1"/>
        <v>-3064.5</v>
      </c>
      <c r="J42" s="17"/>
      <c r="K42" s="17"/>
      <c r="L42" s="18"/>
      <c r="M42" s="18"/>
    </row>
    <row r="43" spans="1:17" s="10" customFormat="1" x14ac:dyDescent="0.4">
      <c r="A43" s="126" t="s">
        <v>1120</v>
      </c>
      <c r="B43" s="12" t="s">
        <v>1121</v>
      </c>
      <c r="C43" s="78">
        <v>-408.09</v>
      </c>
      <c r="D43" s="78"/>
      <c r="E43" s="78"/>
      <c r="F43" s="78"/>
      <c r="G43" s="79">
        <f t="shared" si="0"/>
        <v>-408.09</v>
      </c>
      <c r="H43" s="78" t="s">
        <v>292</v>
      </c>
      <c r="I43" s="79">
        <f t="shared" si="1"/>
        <v>-408.09</v>
      </c>
      <c r="J43" s="18"/>
      <c r="K43" s="18"/>
      <c r="L43" s="17"/>
      <c r="M43" s="17"/>
    </row>
    <row r="44" spans="1:17" s="10" customFormat="1" x14ac:dyDescent="0.4">
      <c r="A44" s="126" t="s">
        <v>1122</v>
      </c>
      <c r="B44" s="12" t="s">
        <v>1123</v>
      </c>
      <c r="C44" s="78">
        <v>-2892.56</v>
      </c>
      <c r="D44" s="78"/>
      <c r="E44" s="78"/>
      <c r="F44" s="78"/>
      <c r="G44" s="79">
        <f t="shared" si="0"/>
        <v>-2892.56</v>
      </c>
      <c r="H44" s="78" t="s">
        <v>292</v>
      </c>
      <c r="I44" s="79">
        <f t="shared" si="1"/>
        <v>-2892.56</v>
      </c>
      <c r="J44" s="17"/>
      <c r="K44" s="17"/>
      <c r="L44" s="17"/>
      <c r="M44" s="17"/>
    </row>
    <row r="45" spans="1:17" s="10" customFormat="1" x14ac:dyDescent="0.4">
      <c r="A45" s="126" t="s">
        <v>1124</v>
      </c>
      <c r="B45" s="12" t="s">
        <v>1125</v>
      </c>
      <c r="C45" s="78">
        <v>0</v>
      </c>
      <c r="D45" s="78"/>
      <c r="E45" s="78"/>
      <c r="F45" s="78"/>
      <c r="G45" s="79">
        <f t="shared" si="0"/>
        <v>0</v>
      </c>
      <c r="H45" s="78" t="s">
        <v>292</v>
      </c>
      <c r="I45" s="79">
        <f t="shared" si="1"/>
        <v>0</v>
      </c>
      <c r="J45" s="17"/>
      <c r="K45" s="17"/>
      <c r="L45" s="17"/>
      <c r="M45" s="17"/>
    </row>
    <row r="46" spans="1:17" s="10" customFormat="1" x14ac:dyDescent="0.4">
      <c r="A46" s="126" t="s">
        <v>1126</v>
      </c>
      <c r="B46" s="12" t="s">
        <v>1127</v>
      </c>
      <c r="C46" s="78">
        <v>-7230.57</v>
      </c>
      <c r="D46" s="78"/>
      <c r="E46" s="78"/>
      <c r="F46" s="78"/>
      <c r="G46" s="79">
        <f t="shared" si="0"/>
        <v>-7230.57</v>
      </c>
      <c r="H46" s="78" t="s">
        <v>292</v>
      </c>
      <c r="I46" s="79">
        <f t="shared" si="1"/>
        <v>-7230.57</v>
      </c>
      <c r="J46" s="17"/>
      <c r="K46" s="17"/>
      <c r="L46" s="17"/>
      <c r="M46" s="17"/>
    </row>
    <row r="47" spans="1:17" s="10" customFormat="1" x14ac:dyDescent="0.4">
      <c r="A47" s="126" t="s">
        <v>1128</v>
      </c>
      <c r="B47" s="12" t="s">
        <v>1129</v>
      </c>
      <c r="C47" s="78">
        <v>-3280.2</v>
      </c>
      <c r="D47" s="78"/>
      <c r="E47" s="78"/>
      <c r="F47" s="78"/>
      <c r="G47" s="79">
        <f t="shared" si="0"/>
        <v>-3280.2</v>
      </c>
      <c r="H47" s="78" t="s">
        <v>292</v>
      </c>
      <c r="I47" s="79">
        <f t="shared" si="1"/>
        <v>-3280.2</v>
      </c>
      <c r="J47" s="17"/>
      <c r="K47" s="17"/>
      <c r="L47" s="17"/>
      <c r="M47" s="17"/>
    </row>
    <row r="48" spans="1:17" s="10" customFormat="1" x14ac:dyDescent="0.4">
      <c r="A48" s="126" t="s">
        <v>1130</v>
      </c>
      <c r="B48" s="12" t="s">
        <v>1131</v>
      </c>
      <c r="C48" s="78">
        <v>-964.11</v>
      </c>
      <c r="D48" s="78"/>
      <c r="E48" s="78"/>
      <c r="F48" s="78"/>
      <c r="G48" s="79">
        <f t="shared" si="0"/>
        <v>-964.11</v>
      </c>
      <c r="H48" s="78" t="s">
        <v>292</v>
      </c>
      <c r="I48" s="79">
        <f t="shared" si="1"/>
        <v>-964.11</v>
      </c>
      <c r="J48" s="17"/>
      <c r="K48" s="17"/>
      <c r="L48" s="17"/>
      <c r="M48" s="17"/>
    </row>
    <row r="49" spans="1:13" s="10" customFormat="1" x14ac:dyDescent="0.4">
      <c r="A49" s="126" t="s">
        <v>1132</v>
      </c>
      <c r="B49" s="12" t="s">
        <v>186</v>
      </c>
      <c r="C49" s="78"/>
      <c r="D49" s="78"/>
      <c r="E49" s="78"/>
      <c r="F49" s="78"/>
      <c r="G49" s="79">
        <f t="shared" si="0"/>
        <v>0</v>
      </c>
      <c r="H49" s="78" t="s">
        <v>292</v>
      </c>
      <c r="I49" s="79">
        <f t="shared" si="1"/>
        <v>0</v>
      </c>
      <c r="J49" s="17"/>
      <c r="K49" s="17"/>
      <c r="L49" s="17"/>
      <c r="M49" s="17"/>
    </row>
    <row r="50" spans="1:13" s="10" customFormat="1" x14ac:dyDescent="0.4">
      <c r="A50" s="126" t="s">
        <v>1133</v>
      </c>
      <c r="B50" s="12" t="s">
        <v>1134</v>
      </c>
      <c r="C50" s="78">
        <v>-1319.51</v>
      </c>
      <c r="D50" s="78"/>
      <c r="E50" s="78"/>
      <c r="F50" s="78"/>
      <c r="G50" s="79">
        <f t="shared" si="0"/>
        <v>-1319.51</v>
      </c>
      <c r="H50" s="78" t="s">
        <v>292</v>
      </c>
      <c r="I50" s="79">
        <f t="shared" si="1"/>
        <v>-1319.51</v>
      </c>
      <c r="J50" s="17"/>
      <c r="K50" s="17"/>
      <c r="L50" s="17"/>
      <c r="M50" s="17"/>
    </row>
    <row r="51" spans="1:13" s="10" customFormat="1" x14ac:dyDescent="0.4">
      <c r="A51" s="126" t="s">
        <v>1135</v>
      </c>
      <c r="B51" s="12" t="s">
        <v>1136</v>
      </c>
      <c r="C51" s="78">
        <v>-152.1</v>
      </c>
      <c r="D51" s="78"/>
      <c r="E51" s="78"/>
      <c r="F51" s="78"/>
      <c r="G51" s="79">
        <f t="shared" si="0"/>
        <v>-152.1</v>
      </c>
      <c r="H51" s="78" t="s">
        <v>292</v>
      </c>
      <c r="I51" s="79">
        <f t="shared" si="1"/>
        <v>-152.1</v>
      </c>
      <c r="J51" s="17"/>
      <c r="K51" s="17"/>
      <c r="L51" s="17"/>
      <c r="M51" s="17"/>
    </row>
    <row r="52" spans="1:13" s="10" customFormat="1" x14ac:dyDescent="0.4">
      <c r="A52" s="126" t="s">
        <v>1137</v>
      </c>
      <c r="B52" s="12" t="s">
        <v>1138</v>
      </c>
      <c r="C52" s="78">
        <v>14.8</v>
      </c>
      <c r="D52" s="78"/>
      <c r="E52" s="78"/>
      <c r="F52" s="78"/>
      <c r="G52" s="79">
        <f t="shared" si="0"/>
        <v>14.8</v>
      </c>
      <c r="H52" s="78" t="s">
        <v>292</v>
      </c>
      <c r="I52" s="79">
        <f t="shared" si="1"/>
        <v>14.8</v>
      </c>
      <c r="J52" s="17"/>
      <c r="K52" s="17"/>
      <c r="L52" s="17"/>
      <c r="M52" s="17"/>
    </row>
    <row r="53" spans="1:13" s="10" customFormat="1" x14ac:dyDescent="0.4">
      <c r="A53" s="126" t="s">
        <v>1139</v>
      </c>
      <c r="B53" s="12" t="s">
        <v>1140</v>
      </c>
      <c r="C53" s="78">
        <v>-2000</v>
      </c>
      <c r="D53" s="78"/>
      <c r="E53" s="78"/>
      <c r="F53" s="78"/>
      <c r="G53" s="79">
        <f t="shared" si="0"/>
        <v>-2000</v>
      </c>
      <c r="H53" s="78" t="s">
        <v>292</v>
      </c>
      <c r="I53" s="79">
        <f t="shared" si="1"/>
        <v>-2000</v>
      </c>
      <c r="J53" s="17"/>
      <c r="K53" s="17"/>
      <c r="L53" s="17"/>
      <c r="M53" s="17"/>
    </row>
    <row r="54" spans="1:13" s="10" customFormat="1" x14ac:dyDescent="0.4">
      <c r="A54" s="126" t="s">
        <v>1141</v>
      </c>
      <c r="B54" s="12" t="s">
        <v>1142</v>
      </c>
      <c r="C54" s="78">
        <v>-503.1</v>
      </c>
      <c r="D54" s="78"/>
      <c r="E54" s="78"/>
      <c r="F54" s="78"/>
      <c r="G54" s="79">
        <f t="shared" si="0"/>
        <v>-503.1</v>
      </c>
      <c r="H54" s="78" t="s">
        <v>292</v>
      </c>
      <c r="I54" s="79">
        <f t="shared" si="1"/>
        <v>-503.1</v>
      </c>
      <c r="J54" s="17"/>
      <c r="K54" s="17"/>
      <c r="L54" s="17"/>
      <c r="M54" s="17"/>
    </row>
    <row r="55" spans="1:13" s="10" customFormat="1" x14ac:dyDescent="0.4">
      <c r="A55" s="126" t="s">
        <v>1143</v>
      </c>
      <c r="B55" s="12" t="s">
        <v>1144</v>
      </c>
      <c r="C55" s="78">
        <v>-15222.94</v>
      </c>
      <c r="D55" s="78"/>
      <c r="E55" s="78"/>
      <c r="F55" s="78"/>
      <c r="G55" s="79">
        <f t="shared" si="0"/>
        <v>-15222.94</v>
      </c>
      <c r="H55" s="78" t="s">
        <v>290</v>
      </c>
      <c r="I55" s="79">
        <f t="shared" si="1"/>
        <v>-15222.94</v>
      </c>
      <c r="J55" s="17"/>
      <c r="K55" s="17"/>
      <c r="L55" s="17"/>
      <c r="M55" s="17"/>
    </row>
    <row r="56" spans="1:13" s="10" customFormat="1" x14ac:dyDescent="0.4">
      <c r="A56" s="126" t="s">
        <v>1145</v>
      </c>
      <c r="B56" s="12" t="s">
        <v>1146</v>
      </c>
      <c r="C56" s="78">
        <v>-2310.1799999999998</v>
      </c>
      <c r="D56" s="78"/>
      <c r="E56" s="78"/>
      <c r="F56" s="78"/>
      <c r="G56" s="79">
        <f t="shared" si="0"/>
        <v>-2310.1799999999998</v>
      </c>
      <c r="H56" s="78" t="s">
        <v>292</v>
      </c>
      <c r="I56" s="79">
        <f t="shared" si="1"/>
        <v>-2310.1799999999998</v>
      </c>
      <c r="J56" s="17"/>
      <c r="K56" s="17"/>
      <c r="L56" s="17"/>
      <c r="M56" s="17"/>
    </row>
    <row r="57" spans="1:13" s="10" customFormat="1" x14ac:dyDescent="0.4">
      <c r="A57" s="126" t="s">
        <v>1147</v>
      </c>
      <c r="B57" s="12" t="s">
        <v>1148</v>
      </c>
      <c r="C57" s="78">
        <v>-698.45</v>
      </c>
      <c r="D57" s="78"/>
      <c r="E57" s="78"/>
      <c r="F57" s="78"/>
      <c r="G57" s="79">
        <f t="shared" si="0"/>
        <v>-698.45</v>
      </c>
      <c r="H57" s="78" t="s">
        <v>292</v>
      </c>
      <c r="I57" s="79">
        <f t="shared" si="1"/>
        <v>-698.45</v>
      </c>
      <c r="J57" s="17"/>
      <c r="K57" s="17"/>
      <c r="L57" s="17"/>
      <c r="M57" s="17"/>
    </row>
    <row r="58" spans="1:13" s="10" customFormat="1" x14ac:dyDescent="0.4">
      <c r="A58" s="125" t="s">
        <v>1149</v>
      </c>
      <c r="B58" s="125" t="s">
        <v>204</v>
      </c>
      <c r="C58" s="78">
        <v>-431.12</v>
      </c>
      <c r="D58" s="78"/>
      <c r="E58" s="78"/>
      <c r="F58" s="78"/>
      <c r="G58" s="79">
        <f t="shared" si="0"/>
        <v>-431.12</v>
      </c>
      <c r="H58" s="78" t="s">
        <v>299</v>
      </c>
      <c r="I58" s="79">
        <f t="shared" si="1"/>
        <v>-431.12</v>
      </c>
      <c r="J58" s="17"/>
      <c r="K58" s="17"/>
      <c r="L58" s="17"/>
      <c r="M58" s="17"/>
    </row>
    <row r="59" spans="1:13" s="10" customFormat="1" x14ac:dyDescent="0.4">
      <c r="A59" s="126" t="s">
        <v>1150</v>
      </c>
      <c r="B59" s="12" t="s">
        <v>1151</v>
      </c>
      <c r="C59" s="78">
        <v>-2837.5</v>
      </c>
      <c r="D59" s="78"/>
      <c r="E59" s="78"/>
      <c r="F59" s="78"/>
      <c r="G59" s="79">
        <f t="shared" si="0"/>
        <v>-2837.5</v>
      </c>
      <c r="H59" s="78" t="s">
        <v>292</v>
      </c>
      <c r="I59" s="79">
        <f t="shared" si="1"/>
        <v>-2837.5</v>
      </c>
      <c r="J59" s="17"/>
      <c r="K59" s="17"/>
      <c r="L59" s="17"/>
      <c r="M59" s="17"/>
    </row>
    <row r="60" spans="1:13" s="10" customFormat="1" x14ac:dyDescent="0.4">
      <c r="A60" s="126" t="s">
        <v>1152</v>
      </c>
      <c r="B60" s="12" t="s">
        <v>1153</v>
      </c>
      <c r="C60" s="78">
        <v>-5798</v>
      </c>
      <c r="D60" s="78"/>
      <c r="E60" s="78"/>
      <c r="F60" s="78"/>
      <c r="G60" s="79">
        <f t="shared" si="0"/>
        <v>-5798</v>
      </c>
      <c r="H60" s="78" t="s">
        <v>292</v>
      </c>
      <c r="I60" s="79">
        <f t="shared" si="1"/>
        <v>-5798</v>
      </c>
      <c r="J60" s="17"/>
      <c r="K60" s="17"/>
      <c r="L60" s="17"/>
      <c r="M60" s="17"/>
    </row>
    <row r="61" spans="1:13" s="10" customFormat="1" x14ac:dyDescent="0.4">
      <c r="A61" s="126" t="s">
        <v>1154</v>
      </c>
      <c r="B61" s="12" t="s">
        <v>210</v>
      </c>
      <c r="C61" s="78">
        <v>-227.73</v>
      </c>
      <c r="D61" s="78"/>
      <c r="E61" s="78"/>
      <c r="F61" s="78"/>
      <c r="G61" s="79">
        <f t="shared" si="0"/>
        <v>-227.73</v>
      </c>
      <c r="H61" s="78" t="s">
        <v>292</v>
      </c>
      <c r="I61" s="79">
        <f t="shared" si="1"/>
        <v>-227.73</v>
      </c>
      <c r="J61" s="17"/>
      <c r="K61" s="17"/>
      <c r="L61" s="17"/>
      <c r="M61" s="17"/>
    </row>
    <row r="62" spans="1:13" s="10" customFormat="1" x14ac:dyDescent="0.4">
      <c r="A62" s="126" t="s">
        <v>1155</v>
      </c>
      <c r="B62" s="12" t="s">
        <v>1156</v>
      </c>
      <c r="C62" s="78">
        <v>0</v>
      </c>
      <c r="D62" s="78"/>
      <c r="E62" s="78"/>
      <c r="F62" s="78"/>
      <c r="G62" s="79">
        <f t="shared" si="0"/>
        <v>0</v>
      </c>
      <c r="H62" s="78" t="s">
        <v>292</v>
      </c>
      <c r="I62" s="79">
        <f t="shared" si="1"/>
        <v>0</v>
      </c>
      <c r="J62" s="17"/>
      <c r="K62" s="17"/>
      <c r="L62" s="17"/>
      <c r="M62" s="17"/>
    </row>
    <row r="63" spans="1:13" s="10" customFormat="1" x14ac:dyDescent="0.4">
      <c r="A63" s="126" t="s">
        <v>1157</v>
      </c>
      <c r="B63" s="12" t="s">
        <v>1158</v>
      </c>
      <c r="C63" s="78">
        <v>-125.06</v>
      </c>
      <c r="D63" s="78"/>
      <c r="E63" s="78"/>
      <c r="F63" s="78"/>
      <c r="G63" s="79">
        <f t="shared" si="0"/>
        <v>-125.06</v>
      </c>
      <c r="H63" s="78" t="s">
        <v>292</v>
      </c>
      <c r="I63" s="79">
        <f t="shared" si="1"/>
        <v>-125.06</v>
      </c>
      <c r="J63" s="17"/>
      <c r="K63" s="17"/>
      <c r="L63" s="17"/>
      <c r="M63" s="17"/>
    </row>
    <row r="64" spans="1:13" s="10" customFormat="1" x14ac:dyDescent="0.4">
      <c r="A64" s="126" t="s">
        <v>1159</v>
      </c>
      <c r="B64" s="12" t="s">
        <v>181</v>
      </c>
      <c r="C64" s="78">
        <v>0.5</v>
      </c>
      <c r="D64" s="78"/>
      <c r="E64" s="78"/>
      <c r="F64" s="78"/>
      <c r="G64" s="79">
        <f t="shared" si="0"/>
        <v>0.5</v>
      </c>
      <c r="H64" s="78" t="s">
        <v>292</v>
      </c>
      <c r="I64" s="79">
        <f t="shared" si="1"/>
        <v>0.5</v>
      </c>
      <c r="J64" s="17"/>
      <c r="K64" s="17"/>
      <c r="L64" s="17"/>
      <c r="M64" s="17"/>
    </row>
    <row r="65" spans="1:13" s="10" customFormat="1" x14ac:dyDescent="0.4">
      <c r="A65" s="125" t="s">
        <v>1160</v>
      </c>
      <c r="B65" s="125" t="s">
        <v>203</v>
      </c>
      <c r="C65" s="78">
        <v>-136.22999999999999</v>
      </c>
      <c r="D65" s="78"/>
      <c r="E65" s="78"/>
      <c r="F65" s="78"/>
      <c r="G65" s="79">
        <f t="shared" si="0"/>
        <v>-136.22999999999999</v>
      </c>
      <c r="H65" s="78" t="s">
        <v>292</v>
      </c>
      <c r="I65" s="79">
        <f t="shared" si="1"/>
        <v>-136.22999999999999</v>
      </c>
      <c r="J65" s="17"/>
      <c r="K65" s="17"/>
      <c r="L65" s="78"/>
      <c r="M65" s="78"/>
    </row>
    <row r="66" spans="1:13" s="10" customFormat="1" x14ac:dyDescent="0.4">
      <c r="A66" s="126" t="s">
        <v>1161</v>
      </c>
      <c r="B66" s="12" t="s">
        <v>1162</v>
      </c>
      <c r="C66" s="78">
        <v>-235.72</v>
      </c>
      <c r="D66" s="78"/>
      <c r="E66" s="78"/>
      <c r="F66" s="78"/>
      <c r="G66" s="79">
        <f t="shared" si="0"/>
        <v>-235.72</v>
      </c>
      <c r="H66" s="78" t="s">
        <v>292</v>
      </c>
      <c r="I66" s="79">
        <f t="shared" si="1"/>
        <v>-235.72</v>
      </c>
      <c r="J66" s="78"/>
      <c r="K66" s="78"/>
      <c r="L66" s="17"/>
      <c r="M66" s="17"/>
    </row>
    <row r="67" spans="1:13" s="10" customFormat="1" x14ac:dyDescent="0.4">
      <c r="A67" s="126" t="s">
        <v>1163</v>
      </c>
      <c r="B67" s="12" t="s">
        <v>250</v>
      </c>
      <c r="C67" s="78">
        <v>-1941.32</v>
      </c>
      <c r="D67" s="78"/>
      <c r="E67" s="78"/>
      <c r="F67" s="78"/>
      <c r="G67" s="79">
        <f t="shared" si="0"/>
        <v>-1941.32</v>
      </c>
      <c r="H67" s="78" t="s">
        <v>292</v>
      </c>
      <c r="I67" s="79">
        <f t="shared" si="1"/>
        <v>-1941.32</v>
      </c>
      <c r="J67" s="17"/>
      <c r="K67" s="17"/>
      <c r="L67" s="17"/>
      <c r="M67" s="17"/>
    </row>
    <row r="68" spans="1:13" s="10" customFormat="1" x14ac:dyDescent="0.4">
      <c r="A68" s="126" t="s">
        <v>1164</v>
      </c>
      <c r="B68" s="12" t="s">
        <v>1165</v>
      </c>
      <c r="C68" s="78">
        <v>-2921.1</v>
      </c>
      <c r="D68" s="78"/>
      <c r="E68" s="78"/>
      <c r="F68" s="78"/>
      <c r="G68" s="79">
        <f t="shared" si="0"/>
        <v>-2921.1</v>
      </c>
      <c r="H68" s="78" t="s">
        <v>292</v>
      </c>
      <c r="I68" s="79">
        <f t="shared" si="1"/>
        <v>-2921.1</v>
      </c>
      <c r="J68" s="17"/>
      <c r="K68" s="17"/>
      <c r="L68" s="17"/>
      <c r="M68" s="17"/>
    </row>
    <row r="69" spans="1:13" s="10" customFormat="1" x14ac:dyDescent="0.4">
      <c r="A69" s="126" t="s">
        <v>1166</v>
      </c>
      <c r="B69" s="12" t="s">
        <v>1167</v>
      </c>
      <c r="C69" s="78">
        <v>-2153.2199999999998</v>
      </c>
      <c r="D69" s="78"/>
      <c r="E69" s="78"/>
      <c r="F69" s="78"/>
      <c r="G69" s="79">
        <f t="shared" si="0"/>
        <v>-2153.2199999999998</v>
      </c>
      <c r="H69" s="78" t="s">
        <v>292</v>
      </c>
      <c r="I69" s="79">
        <f t="shared" si="1"/>
        <v>-2153.2199999999998</v>
      </c>
      <c r="J69" s="17"/>
      <c r="K69" s="17"/>
      <c r="L69" s="17"/>
      <c r="M69" s="17"/>
    </row>
    <row r="70" spans="1:13" s="10" customFormat="1" x14ac:dyDescent="0.4">
      <c r="A70" s="126" t="s">
        <v>1168</v>
      </c>
      <c r="B70" s="12" t="s">
        <v>1169</v>
      </c>
      <c r="C70" s="78">
        <v>-783.23</v>
      </c>
      <c r="D70" s="78"/>
      <c r="E70" s="78"/>
      <c r="F70" s="78"/>
      <c r="G70" s="79">
        <f t="shared" si="0"/>
        <v>-783.23</v>
      </c>
      <c r="H70" s="78" t="s">
        <v>292</v>
      </c>
      <c r="I70" s="79">
        <f t="shared" si="1"/>
        <v>-783.23</v>
      </c>
      <c r="J70" s="17"/>
      <c r="K70" s="17"/>
      <c r="L70" s="17"/>
      <c r="M70" s="17"/>
    </row>
    <row r="71" spans="1:13" s="10" customFormat="1" x14ac:dyDescent="0.4">
      <c r="A71" s="126" t="s">
        <v>1170</v>
      </c>
      <c r="B71" s="12" t="s">
        <v>1171</v>
      </c>
      <c r="C71" s="78">
        <v>-1599.35</v>
      </c>
      <c r="D71" s="78"/>
      <c r="E71" s="78"/>
      <c r="F71" s="78"/>
      <c r="G71" s="79">
        <f t="shared" ref="G71:G103" si="2">SUM(C71:F71)</f>
        <v>-1599.35</v>
      </c>
      <c r="H71" s="78" t="s">
        <v>292</v>
      </c>
      <c r="I71" s="79">
        <f t="shared" si="1"/>
        <v>-1599.35</v>
      </c>
      <c r="J71" s="17"/>
      <c r="K71" s="17"/>
      <c r="L71" s="17"/>
      <c r="M71" s="17"/>
    </row>
    <row r="72" spans="1:13" s="10" customFormat="1" x14ac:dyDescent="0.4">
      <c r="A72" s="126" t="s">
        <v>1172</v>
      </c>
      <c r="B72" s="12" t="s">
        <v>1173</v>
      </c>
      <c r="C72" s="78">
        <v>-3281.28</v>
      </c>
      <c r="D72" s="78"/>
      <c r="E72" s="78"/>
      <c r="F72" s="78"/>
      <c r="G72" s="79">
        <f t="shared" si="2"/>
        <v>-3281.28</v>
      </c>
      <c r="H72" s="78" t="s">
        <v>292</v>
      </c>
      <c r="I72" s="79">
        <f t="shared" ref="I72:I102" si="3">G72*1</f>
        <v>-3281.28</v>
      </c>
      <c r="J72" s="17"/>
      <c r="K72" s="17"/>
      <c r="L72" s="78"/>
      <c r="M72" s="78"/>
    </row>
    <row r="73" spans="1:13" s="10" customFormat="1" x14ac:dyDescent="0.4">
      <c r="A73" s="126" t="s">
        <v>1174</v>
      </c>
      <c r="B73" s="12" t="s">
        <v>1175</v>
      </c>
      <c r="C73" s="78">
        <v>0</v>
      </c>
      <c r="D73" s="78"/>
      <c r="E73" s="78"/>
      <c r="F73" s="78"/>
      <c r="G73" s="79">
        <f t="shared" si="2"/>
        <v>0</v>
      </c>
      <c r="H73" s="78" t="s">
        <v>292</v>
      </c>
      <c r="I73" s="79">
        <f t="shared" si="3"/>
        <v>0</v>
      </c>
      <c r="J73" s="78"/>
      <c r="K73" s="78"/>
      <c r="L73" s="17"/>
      <c r="M73" s="17"/>
    </row>
    <row r="74" spans="1:13" s="10" customFormat="1" x14ac:dyDescent="0.4">
      <c r="A74" s="126" t="s">
        <v>1176</v>
      </c>
      <c r="B74" s="12" t="s">
        <v>1177</v>
      </c>
      <c r="C74" s="78">
        <v>-57</v>
      </c>
      <c r="D74" s="78"/>
      <c r="E74" s="78"/>
      <c r="F74" s="78"/>
      <c r="G74" s="79">
        <f t="shared" si="2"/>
        <v>-57</v>
      </c>
      <c r="H74" s="78" t="s">
        <v>292</v>
      </c>
      <c r="I74" s="79">
        <f t="shared" si="3"/>
        <v>-57</v>
      </c>
      <c r="J74" s="17"/>
      <c r="K74" s="17"/>
      <c r="L74" s="17"/>
      <c r="M74" s="17"/>
    </row>
    <row r="75" spans="1:13" s="10" customFormat="1" x14ac:dyDescent="0.4">
      <c r="A75" s="126" t="s">
        <v>1178</v>
      </c>
      <c r="B75" s="12" t="s">
        <v>1179</v>
      </c>
      <c r="C75" s="78">
        <v>-386.1</v>
      </c>
      <c r="D75" s="78"/>
      <c r="E75" s="78"/>
      <c r="F75" s="78"/>
      <c r="G75" s="79">
        <f t="shared" si="2"/>
        <v>-386.1</v>
      </c>
      <c r="H75" s="78" t="s">
        <v>292</v>
      </c>
      <c r="I75" s="79">
        <f t="shared" si="3"/>
        <v>-386.1</v>
      </c>
      <c r="J75" s="17"/>
      <c r="K75" s="17"/>
      <c r="L75" s="17"/>
      <c r="M75" s="17"/>
    </row>
    <row r="76" spans="1:13" s="10" customFormat="1" x14ac:dyDescent="0.4">
      <c r="A76" s="126" t="s">
        <v>1180</v>
      </c>
      <c r="B76" s="12" t="s">
        <v>1181</v>
      </c>
      <c r="C76" s="78">
        <v>-2283.35</v>
      </c>
      <c r="D76" s="78"/>
      <c r="E76" s="78"/>
      <c r="F76" s="78"/>
      <c r="G76" s="79">
        <f t="shared" si="2"/>
        <v>-2283.35</v>
      </c>
      <c r="H76" s="78" t="s">
        <v>292</v>
      </c>
      <c r="I76" s="79">
        <f t="shared" si="3"/>
        <v>-2283.35</v>
      </c>
      <c r="J76" s="17"/>
      <c r="K76" s="17"/>
      <c r="L76" s="17"/>
      <c r="M76" s="17"/>
    </row>
    <row r="77" spans="1:13" s="10" customFormat="1" x14ac:dyDescent="0.4">
      <c r="A77" s="125" t="s">
        <v>1182</v>
      </c>
      <c r="B77" s="125" t="s">
        <v>1183</v>
      </c>
      <c r="C77" s="78">
        <v>-9800</v>
      </c>
      <c r="D77" s="78"/>
      <c r="E77" s="78"/>
      <c r="F77" s="78"/>
      <c r="G77" s="79">
        <f t="shared" si="2"/>
        <v>-9800</v>
      </c>
      <c r="H77" s="78" t="s">
        <v>292</v>
      </c>
      <c r="I77" s="79">
        <f t="shared" si="3"/>
        <v>-9800</v>
      </c>
      <c r="J77" s="17"/>
      <c r="K77" s="17"/>
      <c r="L77" s="17"/>
      <c r="M77" s="17"/>
    </row>
    <row r="78" spans="1:13" s="10" customFormat="1" x14ac:dyDescent="0.4">
      <c r="A78" s="126" t="s">
        <v>1184</v>
      </c>
      <c r="B78" s="12" t="s">
        <v>1185</v>
      </c>
      <c r="C78" s="78">
        <v>0</v>
      </c>
      <c r="D78" s="78"/>
      <c r="E78" s="78"/>
      <c r="F78" s="78"/>
      <c r="G78" s="79">
        <f t="shared" si="2"/>
        <v>0</v>
      </c>
      <c r="H78" s="78" t="s">
        <v>299</v>
      </c>
      <c r="I78" s="79">
        <f t="shared" si="3"/>
        <v>0</v>
      </c>
      <c r="J78" s="17"/>
      <c r="K78" s="17"/>
      <c r="L78" s="17"/>
      <c r="M78" s="17"/>
    </row>
    <row r="79" spans="1:13" s="10" customFormat="1" x14ac:dyDescent="0.4">
      <c r="A79" s="126" t="s">
        <v>1186</v>
      </c>
      <c r="B79" s="12" t="s">
        <v>252</v>
      </c>
      <c r="C79" s="78">
        <v>-3648.92</v>
      </c>
      <c r="D79" s="78"/>
      <c r="E79" s="78"/>
      <c r="F79" s="78"/>
      <c r="G79" s="79">
        <f t="shared" si="2"/>
        <v>-3648.92</v>
      </c>
      <c r="H79" s="78" t="s">
        <v>292</v>
      </c>
      <c r="I79" s="79">
        <f t="shared" si="3"/>
        <v>-3648.92</v>
      </c>
      <c r="J79" s="17"/>
      <c r="K79" s="17"/>
      <c r="L79" s="17"/>
      <c r="M79" s="17"/>
    </row>
    <row r="80" spans="1:13" s="10" customFormat="1" x14ac:dyDescent="0.4">
      <c r="A80" s="126" t="s">
        <v>1187</v>
      </c>
      <c r="B80" s="12" t="s">
        <v>1188</v>
      </c>
      <c r="C80" s="78">
        <v>-299.37</v>
      </c>
      <c r="D80" s="78"/>
      <c r="E80" s="78"/>
      <c r="F80" s="78"/>
      <c r="G80" s="79">
        <f t="shared" si="2"/>
        <v>-299.37</v>
      </c>
      <c r="H80" s="78" t="s">
        <v>292</v>
      </c>
      <c r="I80" s="79">
        <f t="shared" si="3"/>
        <v>-299.37</v>
      </c>
      <c r="J80" s="17"/>
      <c r="K80" s="17"/>
      <c r="L80" s="17"/>
      <c r="M80" s="17"/>
    </row>
    <row r="81" spans="1:13" s="10" customFormat="1" x14ac:dyDescent="0.4">
      <c r="A81" s="126" t="s">
        <v>1189</v>
      </c>
      <c r="B81" s="12" t="s">
        <v>220</v>
      </c>
      <c r="C81" s="78">
        <v>0</v>
      </c>
      <c r="D81" s="78"/>
      <c r="E81" s="78"/>
      <c r="F81" s="78"/>
      <c r="G81" s="79">
        <f t="shared" si="2"/>
        <v>0</v>
      </c>
      <c r="H81" s="78" t="s">
        <v>292</v>
      </c>
      <c r="I81" s="79">
        <f t="shared" si="3"/>
        <v>0</v>
      </c>
      <c r="J81" s="17"/>
      <c r="K81" s="17"/>
      <c r="L81" s="17"/>
      <c r="M81" s="17"/>
    </row>
    <row r="82" spans="1:13" s="10" customFormat="1" x14ac:dyDescent="0.4">
      <c r="A82" s="126" t="s">
        <v>1190</v>
      </c>
      <c r="B82" s="12" t="s">
        <v>1191</v>
      </c>
      <c r="C82" s="78">
        <v>-51</v>
      </c>
      <c r="D82" s="78"/>
      <c r="E82" s="78"/>
      <c r="F82" s="78"/>
      <c r="G82" s="79">
        <f t="shared" si="2"/>
        <v>-51</v>
      </c>
      <c r="H82" s="78" t="s">
        <v>292</v>
      </c>
      <c r="I82" s="79">
        <f t="shared" si="3"/>
        <v>-51</v>
      </c>
      <c r="J82" s="17"/>
      <c r="K82" s="17"/>
      <c r="L82" s="17"/>
      <c r="M82" s="17"/>
    </row>
    <row r="83" spans="1:13" s="10" customFormat="1" x14ac:dyDescent="0.4">
      <c r="A83" s="126" t="s">
        <v>1192</v>
      </c>
      <c r="B83" s="12" t="s">
        <v>1193</v>
      </c>
      <c r="C83" s="78">
        <v>-741.23</v>
      </c>
      <c r="D83" s="78"/>
      <c r="E83" s="78"/>
      <c r="F83" s="78"/>
      <c r="G83" s="79">
        <f t="shared" si="2"/>
        <v>-741.23</v>
      </c>
      <c r="H83" s="78" t="s">
        <v>292</v>
      </c>
      <c r="I83" s="79">
        <f t="shared" si="3"/>
        <v>-741.23</v>
      </c>
      <c r="J83" s="17"/>
      <c r="K83" s="17"/>
      <c r="L83" s="78"/>
      <c r="M83" s="78"/>
    </row>
    <row r="84" spans="1:13" s="10" customFormat="1" x14ac:dyDescent="0.4">
      <c r="A84" s="126" t="s">
        <v>1194</v>
      </c>
      <c r="B84" s="12" t="s">
        <v>1195</v>
      </c>
      <c r="C84" s="78">
        <v>-7073.92</v>
      </c>
      <c r="D84" s="78"/>
      <c r="E84" s="78"/>
      <c r="F84" s="78"/>
      <c r="G84" s="79">
        <f t="shared" si="2"/>
        <v>-7073.92</v>
      </c>
      <c r="H84" s="78" t="s">
        <v>292</v>
      </c>
      <c r="I84" s="79">
        <f t="shared" si="3"/>
        <v>-7073.92</v>
      </c>
      <c r="J84" s="78"/>
      <c r="K84" s="78"/>
      <c r="L84" s="17"/>
      <c r="M84" s="17"/>
    </row>
    <row r="85" spans="1:13" s="10" customFormat="1" x14ac:dyDescent="0.4">
      <c r="A85" s="126" t="s">
        <v>1196</v>
      </c>
      <c r="B85" s="12" t="s">
        <v>1197</v>
      </c>
      <c r="C85" s="78">
        <v>-577.03</v>
      </c>
      <c r="D85" s="78"/>
      <c r="E85" s="78"/>
      <c r="F85" s="78"/>
      <c r="G85" s="79">
        <f t="shared" si="2"/>
        <v>-577.03</v>
      </c>
      <c r="H85" s="78" t="s">
        <v>292</v>
      </c>
      <c r="I85" s="79">
        <f t="shared" si="3"/>
        <v>-577.03</v>
      </c>
      <c r="J85" s="17"/>
      <c r="K85" s="17"/>
      <c r="L85" s="17"/>
      <c r="M85" s="17"/>
    </row>
    <row r="86" spans="1:13" s="10" customFormat="1" x14ac:dyDescent="0.4">
      <c r="A86" s="126" t="s">
        <v>1198</v>
      </c>
      <c r="B86" s="12" t="s">
        <v>1199</v>
      </c>
      <c r="C86" s="78">
        <v>-3391.35</v>
      </c>
      <c r="D86" s="78"/>
      <c r="E86" s="78"/>
      <c r="F86" s="78"/>
      <c r="G86" s="79">
        <f t="shared" si="2"/>
        <v>-3391.35</v>
      </c>
      <c r="H86" s="78" t="s">
        <v>292</v>
      </c>
      <c r="I86" s="79">
        <f t="shared" si="3"/>
        <v>-3391.35</v>
      </c>
      <c r="J86" s="17"/>
      <c r="K86" s="17"/>
      <c r="L86" s="17"/>
      <c r="M86" s="17"/>
    </row>
    <row r="87" spans="1:13" s="10" customFormat="1" x14ac:dyDescent="0.4">
      <c r="A87" s="126" t="s">
        <v>1200</v>
      </c>
      <c r="B87" s="12" t="s">
        <v>1201</v>
      </c>
      <c r="C87" s="78">
        <v>0</v>
      </c>
      <c r="D87" s="78"/>
      <c r="E87" s="78"/>
      <c r="F87" s="78"/>
      <c r="G87" s="79">
        <f t="shared" si="2"/>
        <v>0</v>
      </c>
      <c r="H87" s="78" t="s">
        <v>292</v>
      </c>
      <c r="I87" s="79">
        <f t="shared" si="3"/>
        <v>0</v>
      </c>
      <c r="J87" s="17"/>
      <c r="K87" s="17"/>
      <c r="L87" s="17"/>
      <c r="M87" s="17"/>
    </row>
    <row r="88" spans="1:13" s="10" customFormat="1" x14ac:dyDescent="0.4">
      <c r="A88" s="126" t="s">
        <v>1202</v>
      </c>
      <c r="B88" s="12" t="s">
        <v>1203</v>
      </c>
      <c r="C88" s="78">
        <v>-643.48</v>
      </c>
      <c r="D88" s="78"/>
      <c r="E88" s="78"/>
      <c r="F88" s="78"/>
      <c r="G88" s="79">
        <f t="shared" si="2"/>
        <v>-643.48</v>
      </c>
      <c r="H88" s="78" t="s">
        <v>292</v>
      </c>
      <c r="I88" s="79">
        <f t="shared" si="3"/>
        <v>-643.48</v>
      </c>
      <c r="J88" s="17"/>
      <c r="K88" s="17"/>
      <c r="L88" s="17"/>
      <c r="M88" s="17"/>
    </row>
    <row r="89" spans="1:13" s="10" customFormat="1" x14ac:dyDescent="0.4">
      <c r="A89" s="126" t="s">
        <v>1204</v>
      </c>
      <c r="B89" s="12" t="s">
        <v>1205</v>
      </c>
      <c r="C89" s="78">
        <v>0</v>
      </c>
      <c r="D89" s="78"/>
      <c r="E89" s="78"/>
      <c r="F89" s="78"/>
      <c r="G89" s="79">
        <f t="shared" si="2"/>
        <v>0</v>
      </c>
      <c r="H89" s="78" t="s">
        <v>292</v>
      </c>
      <c r="I89" s="79">
        <f t="shared" si="3"/>
        <v>0</v>
      </c>
      <c r="J89" s="17"/>
      <c r="K89" s="17"/>
      <c r="L89" s="17"/>
      <c r="M89" s="17"/>
    </row>
    <row r="90" spans="1:13" s="10" customFormat="1" x14ac:dyDescent="0.4">
      <c r="A90" s="126" t="s">
        <v>1206</v>
      </c>
      <c r="B90" s="12" t="s">
        <v>1207</v>
      </c>
      <c r="C90" s="78">
        <v>-132.47999999999999</v>
      </c>
      <c r="D90" s="78"/>
      <c r="E90" s="78"/>
      <c r="F90" s="78"/>
      <c r="G90" s="79">
        <f t="shared" si="2"/>
        <v>-132.47999999999999</v>
      </c>
      <c r="H90" s="78" t="s">
        <v>292</v>
      </c>
      <c r="I90" s="79">
        <f t="shared" si="3"/>
        <v>-132.47999999999999</v>
      </c>
      <c r="J90" s="17"/>
      <c r="K90" s="17"/>
      <c r="L90" s="17"/>
      <c r="M90" s="17"/>
    </row>
    <row r="91" spans="1:13" s="10" customFormat="1" x14ac:dyDescent="0.4">
      <c r="A91" s="126" t="s">
        <v>1208</v>
      </c>
      <c r="B91" s="12" t="s">
        <v>1209</v>
      </c>
      <c r="C91" s="78">
        <v>-14900</v>
      </c>
      <c r="D91" s="78"/>
      <c r="E91" s="78"/>
      <c r="F91" s="78"/>
      <c r="G91" s="79">
        <f t="shared" si="2"/>
        <v>-14900</v>
      </c>
      <c r="H91" s="78" t="s">
        <v>292</v>
      </c>
      <c r="I91" s="79">
        <f t="shared" si="3"/>
        <v>-14900</v>
      </c>
      <c r="J91" s="17"/>
      <c r="K91" s="17"/>
      <c r="L91" s="17"/>
      <c r="M91" s="17"/>
    </row>
    <row r="92" spans="1:13" s="10" customFormat="1" x14ac:dyDescent="0.4">
      <c r="A92" s="126" t="s">
        <v>1210</v>
      </c>
      <c r="B92" s="12" t="s">
        <v>1211</v>
      </c>
      <c r="C92" s="82">
        <v>0</v>
      </c>
      <c r="D92" s="78"/>
      <c r="E92" s="78"/>
      <c r="F92" s="78"/>
      <c r="G92" s="79">
        <f t="shared" si="2"/>
        <v>0</v>
      </c>
      <c r="H92" s="78" t="s">
        <v>862</v>
      </c>
      <c r="I92" s="79">
        <f t="shared" si="3"/>
        <v>0</v>
      </c>
      <c r="J92" s="17"/>
      <c r="K92" s="17"/>
      <c r="L92" s="17"/>
      <c r="M92" s="17"/>
    </row>
    <row r="93" spans="1:13" s="10" customFormat="1" x14ac:dyDescent="0.4">
      <c r="A93" s="126" t="s">
        <v>1212</v>
      </c>
      <c r="B93" s="12" t="s">
        <v>161</v>
      </c>
      <c r="C93" s="82">
        <v>0</v>
      </c>
      <c r="D93" s="78"/>
      <c r="E93" s="78"/>
      <c r="F93" s="78"/>
      <c r="G93" s="79">
        <f t="shared" si="2"/>
        <v>0</v>
      </c>
      <c r="H93" s="78" t="s">
        <v>287</v>
      </c>
      <c r="I93" s="79">
        <f t="shared" si="3"/>
        <v>0</v>
      </c>
      <c r="J93" s="17"/>
      <c r="K93" s="17"/>
      <c r="L93" s="17"/>
      <c r="M93" s="17"/>
    </row>
    <row r="94" spans="1:13" s="10" customFormat="1" x14ac:dyDescent="0.4">
      <c r="A94" s="126" t="s">
        <v>1213</v>
      </c>
      <c r="B94" s="12" t="s">
        <v>900</v>
      </c>
      <c r="C94" s="82">
        <v>0</v>
      </c>
      <c r="D94" s="78"/>
      <c r="E94" s="78"/>
      <c r="F94" s="78"/>
      <c r="G94" s="79">
        <f t="shared" si="2"/>
        <v>0</v>
      </c>
      <c r="H94" s="78" t="s">
        <v>287</v>
      </c>
      <c r="I94" s="79">
        <f t="shared" si="3"/>
        <v>0</v>
      </c>
      <c r="J94" s="17"/>
      <c r="K94" s="17"/>
      <c r="L94" s="17"/>
      <c r="M94" s="17"/>
    </row>
    <row r="95" spans="1:13" s="10" customFormat="1" x14ac:dyDescent="0.4">
      <c r="A95" s="126" t="s">
        <v>1214</v>
      </c>
      <c r="B95" s="12" t="s">
        <v>1215</v>
      </c>
      <c r="C95" s="78">
        <v>0</v>
      </c>
      <c r="D95" s="78"/>
      <c r="E95" s="78"/>
      <c r="F95" s="78"/>
      <c r="G95" s="79">
        <f t="shared" si="2"/>
        <v>0</v>
      </c>
      <c r="H95" s="78" t="s">
        <v>862</v>
      </c>
      <c r="I95" s="79">
        <f t="shared" si="3"/>
        <v>0</v>
      </c>
      <c r="J95" s="17"/>
      <c r="K95" s="17"/>
      <c r="L95" s="17"/>
      <c r="M95" s="17"/>
    </row>
    <row r="96" spans="1:13" s="10" customFormat="1" x14ac:dyDescent="0.4">
      <c r="A96" s="126" t="s">
        <v>1216</v>
      </c>
      <c r="B96" s="12" t="s">
        <v>1217</v>
      </c>
      <c r="C96" s="78">
        <v>0</v>
      </c>
      <c r="D96" s="78"/>
      <c r="E96" s="78"/>
      <c r="F96" s="78"/>
      <c r="G96" s="79">
        <f t="shared" si="2"/>
        <v>0</v>
      </c>
      <c r="H96" s="78" t="s">
        <v>862</v>
      </c>
      <c r="I96" s="79">
        <f t="shared" si="3"/>
        <v>0</v>
      </c>
      <c r="J96" s="17"/>
      <c r="K96" s="17"/>
      <c r="L96" s="17"/>
      <c r="M96" s="17"/>
    </row>
    <row r="97" spans="1:13" s="10" customFormat="1" x14ac:dyDescent="0.4">
      <c r="A97" s="126" t="s">
        <v>1218</v>
      </c>
      <c r="B97" s="12" t="s">
        <v>1219</v>
      </c>
      <c r="C97" s="78">
        <v>-12846.26</v>
      </c>
      <c r="D97" s="78"/>
      <c r="E97" s="78"/>
      <c r="F97" s="78"/>
      <c r="G97" s="79">
        <f t="shared" si="2"/>
        <v>-12846.26</v>
      </c>
      <c r="H97" s="78" t="s">
        <v>292</v>
      </c>
      <c r="I97" s="79">
        <f t="shared" si="3"/>
        <v>-12846.26</v>
      </c>
      <c r="J97" s="17"/>
      <c r="K97" s="17"/>
      <c r="L97" s="17"/>
      <c r="M97" s="17"/>
    </row>
    <row r="98" spans="1:13" s="10" customFormat="1" x14ac:dyDescent="0.4">
      <c r="A98" s="126" t="s">
        <v>1220</v>
      </c>
      <c r="B98" s="12" t="s">
        <v>1221</v>
      </c>
      <c r="C98" s="78">
        <v>0</v>
      </c>
      <c r="D98" s="78"/>
      <c r="E98" s="78"/>
      <c r="F98" s="78"/>
      <c r="G98" s="79">
        <f t="shared" si="2"/>
        <v>0</v>
      </c>
      <c r="H98" s="78" t="s">
        <v>292</v>
      </c>
      <c r="I98" s="79">
        <f t="shared" si="3"/>
        <v>0</v>
      </c>
      <c r="J98" s="17"/>
      <c r="K98" s="17"/>
      <c r="L98" s="17"/>
      <c r="M98" s="17"/>
    </row>
    <row r="99" spans="1:13" s="10" customFormat="1" x14ac:dyDescent="0.4">
      <c r="A99" s="126" t="s">
        <v>1222</v>
      </c>
      <c r="B99" s="12" t="s">
        <v>1223</v>
      </c>
      <c r="C99" s="78">
        <v>-69414.14</v>
      </c>
      <c r="D99" s="78"/>
      <c r="E99" s="78"/>
      <c r="F99" s="78"/>
      <c r="G99" s="79">
        <f t="shared" si="2"/>
        <v>-69414.14</v>
      </c>
      <c r="H99" s="78" t="s">
        <v>289</v>
      </c>
      <c r="I99" s="79">
        <f t="shared" si="3"/>
        <v>-69414.14</v>
      </c>
      <c r="J99" s="17"/>
      <c r="K99" s="17"/>
      <c r="L99" s="17"/>
      <c r="M99" s="17"/>
    </row>
    <row r="100" spans="1:13" s="10" customFormat="1" x14ac:dyDescent="0.4">
      <c r="A100" s="126" t="s">
        <v>1224</v>
      </c>
      <c r="B100" s="12" t="s">
        <v>1225</v>
      </c>
      <c r="C100" s="78">
        <v>0</v>
      </c>
      <c r="D100" s="78"/>
      <c r="E100" s="78"/>
      <c r="F100" s="78"/>
      <c r="G100" s="79">
        <f t="shared" si="2"/>
        <v>0</v>
      </c>
      <c r="H100" s="78" t="s">
        <v>292</v>
      </c>
      <c r="I100" s="79">
        <f t="shared" si="3"/>
        <v>0</v>
      </c>
      <c r="J100" s="17"/>
      <c r="K100" s="17"/>
      <c r="L100" s="17"/>
      <c r="M100" s="17"/>
    </row>
    <row r="101" spans="1:13" s="10" customFormat="1" x14ac:dyDescent="0.4">
      <c r="A101" s="126" t="s">
        <v>1226</v>
      </c>
      <c r="B101" s="12" t="s">
        <v>1227</v>
      </c>
      <c r="C101" s="78">
        <v>-25000</v>
      </c>
      <c r="D101" s="78"/>
      <c r="E101" s="78"/>
      <c r="F101" s="78"/>
      <c r="G101" s="79">
        <f t="shared" si="2"/>
        <v>-25000</v>
      </c>
      <c r="H101" s="78" t="s">
        <v>299</v>
      </c>
      <c r="I101" s="79">
        <f t="shared" si="3"/>
        <v>-25000</v>
      </c>
      <c r="J101" s="17"/>
      <c r="K101" s="17"/>
      <c r="L101" s="17"/>
      <c r="M101" s="17"/>
    </row>
    <row r="102" spans="1:13" s="10" customFormat="1" x14ac:dyDescent="0.4">
      <c r="A102" s="126" t="s">
        <v>1228</v>
      </c>
      <c r="B102" s="12" t="s">
        <v>1229</v>
      </c>
      <c r="C102" s="78">
        <v>0</v>
      </c>
      <c r="D102" s="78"/>
      <c r="E102" s="78"/>
      <c r="F102" s="78"/>
      <c r="G102" s="79">
        <f t="shared" si="2"/>
        <v>0</v>
      </c>
      <c r="H102" s="78" t="s">
        <v>299</v>
      </c>
      <c r="I102" s="79">
        <f t="shared" si="3"/>
        <v>0</v>
      </c>
      <c r="J102" s="17"/>
      <c r="K102" s="17"/>
      <c r="L102" s="17"/>
      <c r="M102" s="17"/>
    </row>
    <row r="103" spans="1:13" s="10" customFormat="1" x14ac:dyDescent="0.4">
      <c r="A103" s="126" t="s">
        <v>1230</v>
      </c>
      <c r="B103" s="12" t="s">
        <v>1231</v>
      </c>
      <c r="C103" s="78">
        <v>0</v>
      </c>
      <c r="D103" s="78"/>
      <c r="E103" s="78"/>
      <c r="F103" s="78"/>
      <c r="G103" s="79">
        <f t="shared" si="2"/>
        <v>0</v>
      </c>
      <c r="H103" s="78" t="s">
        <v>299</v>
      </c>
      <c r="I103" s="79">
        <f>G103*1</f>
        <v>0</v>
      </c>
      <c r="J103" s="17"/>
      <c r="K103" s="17"/>
      <c r="L103" s="17"/>
      <c r="M103" s="17"/>
    </row>
    <row r="104" spans="1:13" x14ac:dyDescent="0.4">
      <c r="C104" s="20">
        <f>SUM(C6:C103)</f>
        <v>368643.02</v>
      </c>
      <c r="D104" s="20">
        <f>SUM(D6:D103)</f>
        <v>0</v>
      </c>
      <c r="E104" s="20">
        <f>SUM(E6:E103)</f>
        <v>0</v>
      </c>
      <c r="F104" s="20">
        <f>SUM(F6:F103)</f>
        <v>0</v>
      </c>
      <c r="G104" s="20">
        <f>SUM(G6:G103)</f>
        <v>368643.02</v>
      </c>
      <c r="I104" s="20">
        <f>SUM(I6:I103)</f>
        <v>368643.02</v>
      </c>
      <c r="J104" s="17"/>
      <c r="K104" s="17"/>
    </row>
    <row r="105" spans="1:13" x14ac:dyDescent="0.4">
      <c r="C105" s="14"/>
      <c r="J105" s="17"/>
      <c r="K105" s="17"/>
    </row>
    <row r="106" spans="1:13" x14ac:dyDescent="0.4">
      <c r="J106" s="17"/>
      <c r="K106" s="17"/>
    </row>
    <row r="107" spans="1:13" x14ac:dyDescent="0.4">
      <c r="C107" s="14"/>
      <c r="J107" s="17"/>
      <c r="K107" s="17"/>
    </row>
    <row r="108" spans="1:13" x14ac:dyDescent="0.4">
      <c r="C108" s="14"/>
      <c r="I108" s="67"/>
      <c r="J108" s="17"/>
      <c r="K108" s="17"/>
    </row>
    <row r="109" spans="1:13" x14ac:dyDescent="0.4">
      <c r="C109" s="14"/>
      <c r="J109" s="17"/>
      <c r="K109" s="17"/>
    </row>
    <row r="110" spans="1:13" x14ac:dyDescent="0.4">
      <c r="C110" s="14"/>
      <c r="J110" s="17"/>
      <c r="L110" s="21"/>
      <c r="M110" s="21"/>
    </row>
    <row r="111" spans="1:13" x14ac:dyDescent="0.4">
      <c r="C111" s="14" t="s">
        <v>261</v>
      </c>
      <c r="J111" s="17"/>
      <c r="K111" s="21"/>
      <c r="L111" s="21"/>
      <c r="M111" s="21"/>
    </row>
    <row r="112" spans="1:13" x14ac:dyDescent="0.4">
      <c r="C112" s="14"/>
      <c r="K112" s="21"/>
      <c r="L112" s="21"/>
      <c r="M112" s="21"/>
    </row>
    <row r="113" spans="3:13" x14ac:dyDescent="0.4">
      <c r="C113" s="14"/>
      <c r="K113" s="21"/>
      <c r="L113" s="21"/>
      <c r="M113" s="21"/>
    </row>
    <row r="114" spans="3:13" x14ac:dyDescent="0.4">
      <c r="C114" s="14"/>
      <c r="K114" s="21"/>
      <c r="L114" s="21"/>
      <c r="M114" s="21"/>
    </row>
    <row r="115" spans="3:13" x14ac:dyDescent="0.4">
      <c r="K115" s="21"/>
      <c r="L115" s="21"/>
      <c r="M115" s="21"/>
    </row>
    <row r="116" spans="3:13" x14ac:dyDescent="0.4">
      <c r="K116" s="21"/>
      <c r="L116" s="21"/>
      <c r="M116" s="21"/>
    </row>
    <row r="117" spans="3:13" x14ac:dyDescent="0.4">
      <c r="K117" s="21"/>
      <c r="L117" s="21"/>
      <c r="M117" s="21"/>
    </row>
    <row r="118" spans="3:13" x14ac:dyDescent="0.4">
      <c r="K118" s="21"/>
      <c r="L118" s="21"/>
      <c r="M118" s="21"/>
    </row>
    <row r="119" spans="3:13" x14ac:dyDescent="0.4">
      <c r="K119" s="21"/>
      <c r="L119" s="21"/>
      <c r="M119" s="21"/>
    </row>
    <row r="120" spans="3:13" x14ac:dyDescent="0.4">
      <c r="K120" s="21"/>
      <c r="L120" s="21"/>
      <c r="M120" s="21"/>
    </row>
    <row r="121" spans="3:13" x14ac:dyDescent="0.4">
      <c r="K121" s="21"/>
      <c r="L121" s="21"/>
      <c r="M121" s="21"/>
    </row>
    <row r="122" spans="3:13" x14ac:dyDescent="0.4">
      <c r="K122" s="21"/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39997558519241921"/>
  </sheetPr>
  <dimension ref="A1:S148"/>
  <sheetViews>
    <sheetView zoomScaleNormal="100" workbookViewId="0">
      <pane ySplit="5" topLeftCell="A6" activePane="bottomLeft" state="frozen"/>
      <selection pane="bottomLeft"/>
    </sheetView>
  </sheetViews>
  <sheetFormatPr defaultColWidth="9.3515625" defaultRowHeight="12.7" outlineLevelCol="1" x14ac:dyDescent="0.4"/>
  <cols>
    <col min="1" max="1" width="9.46875" style="230" customWidth="1"/>
    <col min="2" max="2" width="29.64453125" style="237" customWidth="1"/>
    <col min="3" max="3" width="14.17578125" style="228" hidden="1" customWidth="1" outlineLevel="1"/>
    <col min="4" max="4" width="11.52734375" style="228" hidden="1" customWidth="1" outlineLevel="1"/>
    <col min="5" max="5" width="11" style="228" hidden="1" customWidth="1" outlineLevel="1"/>
    <col min="6" max="6" width="12.46875" style="228" hidden="1" customWidth="1" outlineLevel="1"/>
    <col min="7" max="7" width="15.52734375" style="229" hidden="1" customWidth="1" outlineLevel="1"/>
    <col min="8" max="8" width="22.3515625" style="230" hidden="1" customWidth="1" outlineLevel="1"/>
    <col min="9" max="9" width="22" style="229" bestFit="1" customWidth="1" collapsed="1"/>
    <col min="10" max="10" width="11.52734375" style="231" customWidth="1"/>
    <col min="11" max="11" width="12.46875" style="230" bestFit="1" customWidth="1"/>
    <col min="12" max="12" width="24.64453125" style="230" customWidth="1"/>
    <col min="13" max="13" width="13.17578125" style="230" customWidth="1"/>
    <col min="14" max="15" width="9.3515625" style="232"/>
    <col min="16" max="16" width="17.52734375" style="233" customWidth="1"/>
    <col min="17" max="17" width="9.3515625" style="232"/>
    <col min="18" max="18" width="10.52734375" style="232" bestFit="1" customWidth="1"/>
    <col min="19" max="21" width="9.3515625" style="232"/>
    <col min="22" max="22" width="12.64453125" style="232" customWidth="1"/>
    <col min="23" max="23" width="14" style="232" customWidth="1"/>
    <col min="24" max="16384" width="9.3515625" style="232"/>
  </cols>
  <sheetData>
    <row r="1" spans="1:18" x14ac:dyDescent="0.4">
      <c r="A1" s="226" t="s">
        <v>1292</v>
      </c>
      <c r="B1" s="227"/>
    </row>
    <row r="2" spans="1:18" x14ac:dyDescent="0.4">
      <c r="A2" s="226" t="s">
        <v>603</v>
      </c>
      <c r="B2" s="227"/>
    </row>
    <row r="3" spans="1:18" x14ac:dyDescent="0.4">
      <c r="A3" s="234">
        <v>44286</v>
      </c>
      <c r="B3" s="235"/>
      <c r="F3" s="228" t="s">
        <v>261</v>
      </c>
      <c r="G3" s="229" t="s">
        <v>261</v>
      </c>
      <c r="H3" s="236"/>
    </row>
    <row r="5" spans="1:18" s="241" customFormat="1" x14ac:dyDescent="0.4">
      <c r="A5" s="230" t="s">
        <v>484</v>
      </c>
      <c r="B5" s="237" t="s">
        <v>279</v>
      </c>
      <c r="C5" s="238" t="s">
        <v>902</v>
      </c>
      <c r="D5" s="238" t="s">
        <v>485</v>
      </c>
      <c r="E5" s="238" t="s">
        <v>486</v>
      </c>
      <c r="F5" s="238" t="s">
        <v>487</v>
      </c>
      <c r="G5" s="229" t="s">
        <v>1</v>
      </c>
      <c r="H5" s="230" t="s">
        <v>280</v>
      </c>
      <c r="I5" s="239" t="s">
        <v>281</v>
      </c>
      <c r="J5" s="240" t="s">
        <v>1293</v>
      </c>
      <c r="K5" s="228"/>
      <c r="L5" s="416" t="s">
        <v>282</v>
      </c>
      <c r="M5" s="416" t="s">
        <v>284</v>
      </c>
      <c r="P5" s="242"/>
    </row>
    <row r="6" spans="1:18" s="241" customFormat="1" x14ac:dyDescent="0.4">
      <c r="A6" s="243" t="s">
        <v>1047</v>
      </c>
      <c r="B6" s="244" t="s">
        <v>1048</v>
      </c>
      <c r="C6" s="245">
        <v>783714.24</v>
      </c>
      <c r="D6" s="245"/>
      <c r="E6" s="245"/>
      <c r="F6" s="245"/>
      <c r="G6" s="246">
        <f t="shared" ref="G6:G77" si="0">SUM(C6:F6)</f>
        <v>783714.24</v>
      </c>
      <c r="H6" s="245" t="s">
        <v>1493</v>
      </c>
      <c r="I6" s="246">
        <f>ROUND(G6,0)</f>
        <v>783714</v>
      </c>
      <c r="J6" s="247"/>
      <c r="K6" s="245"/>
      <c r="L6" s="419" t="s">
        <v>292</v>
      </c>
      <c r="M6" s="418">
        <v>-244303</v>
      </c>
      <c r="N6" s="249"/>
      <c r="O6" s="249"/>
      <c r="P6" s="233"/>
    </row>
    <row r="7" spans="1:18" s="241" customFormat="1" x14ac:dyDescent="0.4">
      <c r="A7" s="243" t="s">
        <v>1049</v>
      </c>
      <c r="B7" s="244" t="s">
        <v>1050</v>
      </c>
      <c r="C7" s="245">
        <v>149734.72</v>
      </c>
      <c r="E7" s="245"/>
      <c r="F7" s="245"/>
      <c r="G7" s="246">
        <f>SUM(C7:F7)</f>
        <v>149734.72</v>
      </c>
      <c r="H7" s="245" t="s">
        <v>1494</v>
      </c>
      <c r="I7" s="246">
        <f t="shared" ref="I7:I71" si="1">ROUND(G7,0)</f>
        <v>149735</v>
      </c>
      <c r="J7" s="247"/>
      <c r="K7" s="245"/>
      <c r="L7" s="419" t="s">
        <v>290</v>
      </c>
      <c r="M7" s="418">
        <v>-267057</v>
      </c>
      <c r="N7" s="249"/>
      <c r="O7" s="249"/>
      <c r="P7" s="233"/>
    </row>
    <row r="8" spans="1:18" s="241" customFormat="1" x14ac:dyDescent="0.4">
      <c r="A8" s="243" t="s">
        <v>1051</v>
      </c>
      <c r="B8" s="244" t="s">
        <v>1052</v>
      </c>
      <c r="C8" s="245">
        <v>0</v>
      </c>
      <c r="D8" s="245"/>
      <c r="E8" s="245"/>
      <c r="F8" s="245"/>
      <c r="G8" s="246">
        <f t="shared" si="0"/>
        <v>0</v>
      </c>
      <c r="H8" s="245" t="s">
        <v>1494</v>
      </c>
      <c r="I8" s="246">
        <f t="shared" si="1"/>
        <v>0</v>
      </c>
      <c r="J8" s="247"/>
      <c r="K8" s="245"/>
      <c r="L8" s="419" t="s">
        <v>299</v>
      </c>
      <c r="M8" s="418">
        <v>-153075</v>
      </c>
      <c r="N8" s="249"/>
      <c r="O8" s="249"/>
      <c r="P8" s="233"/>
    </row>
    <row r="9" spans="1:18" s="241" customFormat="1" x14ac:dyDescent="0.4">
      <c r="A9" s="243" t="s">
        <v>1053</v>
      </c>
      <c r="B9" s="244" t="s">
        <v>1054</v>
      </c>
      <c r="C9" s="245">
        <v>151470.53</v>
      </c>
      <c r="D9" s="245"/>
      <c r="E9" s="245"/>
      <c r="F9" s="245"/>
      <c r="G9" s="246">
        <f t="shared" si="0"/>
        <v>151470.53</v>
      </c>
      <c r="H9" s="245" t="s">
        <v>1494</v>
      </c>
      <c r="I9" s="246">
        <f t="shared" si="1"/>
        <v>151471</v>
      </c>
      <c r="J9" s="247"/>
      <c r="K9" s="245"/>
      <c r="L9" s="419" t="s">
        <v>862</v>
      </c>
      <c r="M9" s="418">
        <v>0</v>
      </c>
      <c r="N9" s="249"/>
      <c r="O9" s="249"/>
      <c r="P9" s="233"/>
    </row>
    <row r="10" spans="1:18" s="241" customFormat="1" x14ac:dyDescent="0.4">
      <c r="A10" s="243" t="s">
        <v>1495</v>
      </c>
      <c r="B10" s="244" t="s">
        <v>1496</v>
      </c>
      <c r="C10" s="245">
        <v>0</v>
      </c>
      <c r="D10" s="245"/>
      <c r="E10" s="245"/>
      <c r="F10" s="245"/>
      <c r="G10" s="246">
        <f t="shared" si="0"/>
        <v>0</v>
      </c>
      <c r="H10" s="245" t="s">
        <v>1494</v>
      </c>
      <c r="I10" s="246">
        <f t="shared" si="1"/>
        <v>0</v>
      </c>
      <c r="J10" s="247"/>
      <c r="K10" s="245"/>
      <c r="L10" s="419" t="s">
        <v>1493</v>
      </c>
      <c r="M10" s="418">
        <v>783714</v>
      </c>
      <c r="N10" s="249"/>
      <c r="O10" s="249"/>
      <c r="P10" s="233"/>
    </row>
    <row r="11" spans="1:18" s="241" customFormat="1" x14ac:dyDescent="0.4">
      <c r="A11" s="243" t="s">
        <v>1055</v>
      </c>
      <c r="B11" s="244" t="s">
        <v>1056</v>
      </c>
      <c r="C11" s="245">
        <v>103500</v>
      </c>
      <c r="D11" s="245"/>
      <c r="E11" s="245"/>
      <c r="F11" s="245">
        <v>0</v>
      </c>
      <c r="G11" s="246">
        <f t="shared" si="0"/>
        <v>103500</v>
      </c>
      <c r="H11" s="245" t="s">
        <v>1494</v>
      </c>
      <c r="I11" s="246">
        <f t="shared" si="1"/>
        <v>103500</v>
      </c>
      <c r="J11" s="247"/>
      <c r="K11" s="245"/>
      <c r="L11" s="419" t="s">
        <v>1494</v>
      </c>
      <c r="M11" s="418">
        <v>3245982</v>
      </c>
      <c r="N11" s="249"/>
      <c r="O11" s="249"/>
      <c r="P11" s="233"/>
    </row>
    <row r="12" spans="1:18" s="228" customFormat="1" x14ac:dyDescent="0.4">
      <c r="A12" s="250" t="s">
        <v>1057</v>
      </c>
      <c r="B12" s="249" t="s">
        <v>1058</v>
      </c>
      <c r="C12" s="245">
        <v>2528565.39</v>
      </c>
      <c r="D12" s="245">
        <v>0</v>
      </c>
      <c r="E12" s="245"/>
      <c r="F12" s="245"/>
      <c r="G12" s="246">
        <f t="shared" si="0"/>
        <v>2528565.39</v>
      </c>
      <c r="H12" s="245" t="s">
        <v>1494</v>
      </c>
      <c r="I12" s="246">
        <f t="shared" si="1"/>
        <v>2528565</v>
      </c>
      <c r="J12" s="247"/>
      <c r="K12" s="245"/>
      <c r="L12" s="419" t="s">
        <v>1497</v>
      </c>
      <c r="M12" s="418">
        <v>-2690787</v>
      </c>
      <c r="N12" s="249"/>
      <c r="O12" s="249"/>
      <c r="P12" s="233"/>
      <c r="Q12" s="241"/>
      <c r="R12" s="241"/>
    </row>
    <row r="13" spans="1:18" s="228" customFormat="1" x14ac:dyDescent="0.4">
      <c r="A13" s="243" t="s">
        <v>1059</v>
      </c>
      <c r="B13" s="244" t="s">
        <v>1060</v>
      </c>
      <c r="C13" s="245">
        <v>59182</v>
      </c>
      <c r="D13" s="245"/>
      <c r="E13" s="245"/>
      <c r="F13" s="245"/>
      <c r="G13" s="246">
        <f t="shared" si="0"/>
        <v>59182</v>
      </c>
      <c r="H13" s="245" t="s">
        <v>1494</v>
      </c>
      <c r="I13" s="246">
        <f t="shared" si="1"/>
        <v>59182</v>
      </c>
      <c r="J13" s="247"/>
      <c r="K13" s="245"/>
      <c r="L13" s="419" t="s">
        <v>1498</v>
      </c>
      <c r="M13" s="418">
        <v>-167201</v>
      </c>
      <c r="N13" s="249"/>
      <c r="O13" s="249"/>
      <c r="P13" s="233"/>
      <c r="Q13" s="241"/>
      <c r="R13" s="241"/>
    </row>
    <row r="14" spans="1:18" s="228" customFormat="1" x14ac:dyDescent="0.4">
      <c r="A14" s="243" t="s">
        <v>1234</v>
      </c>
      <c r="B14" s="244" t="s">
        <v>1235</v>
      </c>
      <c r="C14" s="245">
        <v>145.26</v>
      </c>
      <c r="D14" s="245"/>
      <c r="E14" s="245"/>
      <c r="F14" s="245"/>
      <c r="G14" s="246">
        <f t="shared" si="0"/>
        <v>145.26</v>
      </c>
      <c r="H14" s="245" t="s">
        <v>1494</v>
      </c>
      <c r="I14" s="246">
        <f t="shared" si="1"/>
        <v>145</v>
      </c>
      <c r="J14" s="247"/>
      <c r="K14" s="245"/>
      <c r="L14" s="419" t="s">
        <v>1499</v>
      </c>
      <c r="M14" s="418">
        <v>-139189</v>
      </c>
      <c r="N14" s="249"/>
      <c r="O14" s="249"/>
      <c r="P14" s="233"/>
      <c r="Q14" s="241"/>
      <c r="R14" s="241"/>
    </row>
    <row r="15" spans="1:18" s="241" customFormat="1" x14ac:dyDescent="0.4">
      <c r="A15" s="243" t="s">
        <v>1063</v>
      </c>
      <c r="B15" s="244" t="s">
        <v>1064</v>
      </c>
      <c r="C15" s="245">
        <v>227205.7</v>
      </c>
      <c r="D15" s="245"/>
      <c r="E15" s="245"/>
      <c r="F15" s="245"/>
      <c r="G15" s="246">
        <f t="shared" si="0"/>
        <v>227205.7</v>
      </c>
      <c r="H15" s="245" t="s">
        <v>1494</v>
      </c>
      <c r="I15" s="246">
        <f t="shared" si="1"/>
        <v>227206</v>
      </c>
      <c r="J15" s="247"/>
      <c r="K15" s="245"/>
      <c r="L15" s="419" t="s">
        <v>1500</v>
      </c>
      <c r="M15" s="418">
        <v>10078</v>
      </c>
      <c r="N15" s="249"/>
      <c r="O15" s="249"/>
      <c r="P15" s="233"/>
    </row>
    <row r="16" spans="1:18" s="241" customFormat="1" x14ac:dyDescent="0.4">
      <c r="A16" s="243" t="s">
        <v>1065</v>
      </c>
      <c r="B16" s="244" t="s">
        <v>1066</v>
      </c>
      <c r="C16" s="245">
        <v>0</v>
      </c>
      <c r="D16" s="245"/>
      <c r="E16" s="245"/>
      <c r="F16" s="245"/>
      <c r="G16" s="246">
        <f t="shared" si="0"/>
        <v>0</v>
      </c>
      <c r="H16" s="245" t="s">
        <v>1494</v>
      </c>
      <c r="I16" s="246">
        <f t="shared" si="1"/>
        <v>0</v>
      </c>
      <c r="J16" s="247"/>
      <c r="K16" s="245"/>
      <c r="L16" s="419" t="s">
        <v>1501</v>
      </c>
      <c r="M16" s="418">
        <v>-12333</v>
      </c>
      <c r="N16" s="249"/>
      <c r="O16" s="249"/>
      <c r="P16" s="233"/>
    </row>
    <row r="17" spans="1:16" s="241" customFormat="1" x14ac:dyDescent="0.4">
      <c r="A17" s="243" t="s">
        <v>1067</v>
      </c>
      <c r="B17" s="244" t="s">
        <v>1068</v>
      </c>
      <c r="C17" s="245">
        <v>21879.25</v>
      </c>
      <c r="D17" s="245"/>
      <c r="E17" s="245"/>
      <c r="F17" s="245"/>
      <c r="G17" s="246">
        <f t="shared" si="0"/>
        <v>21879.25</v>
      </c>
      <c r="H17" s="245" t="s">
        <v>1494</v>
      </c>
      <c r="I17" s="246">
        <f t="shared" si="1"/>
        <v>21879</v>
      </c>
      <c r="J17" s="247">
        <f>SUM(I6:I21)</f>
        <v>4029696</v>
      </c>
      <c r="K17" s="245"/>
      <c r="L17" s="419" t="s">
        <v>283</v>
      </c>
      <c r="M17" s="418">
        <v>365829</v>
      </c>
      <c r="N17" s="249"/>
      <c r="O17" s="249"/>
      <c r="P17" s="233"/>
    </row>
    <row r="18" spans="1:16" s="241" customFormat="1" x14ac:dyDescent="0.4">
      <c r="A18" s="243" t="s">
        <v>1069</v>
      </c>
      <c r="B18" s="244" t="s">
        <v>1070</v>
      </c>
      <c r="C18" s="245">
        <v>0</v>
      </c>
      <c r="D18" s="245"/>
      <c r="E18" s="245"/>
      <c r="F18" s="245"/>
      <c r="G18" s="246">
        <f t="shared" si="0"/>
        <v>0</v>
      </c>
      <c r="H18" s="245" t="s">
        <v>1494</v>
      </c>
      <c r="I18" s="246">
        <f t="shared" si="1"/>
        <v>0</v>
      </c>
      <c r="J18" s="247">
        <v>4029695.27</v>
      </c>
      <c r="K18" s="245"/>
      <c r="L18" s="248"/>
      <c r="M18" s="248"/>
      <c r="N18" s="249"/>
      <c r="O18" s="249"/>
      <c r="P18" s="233"/>
    </row>
    <row r="19" spans="1:16" s="241" customFormat="1" x14ac:dyDescent="0.4">
      <c r="A19" s="243" t="s">
        <v>1071</v>
      </c>
      <c r="B19" s="244" t="s">
        <v>1072</v>
      </c>
      <c r="C19" s="245">
        <v>4344.59</v>
      </c>
      <c r="D19" s="245"/>
      <c r="E19" s="245"/>
      <c r="F19" s="245"/>
      <c r="G19" s="246">
        <f t="shared" si="0"/>
        <v>4344.59</v>
      </c>
      <c r="H19" s="245" t="s">
        <v>1494</v>
      </c>
      <c r="I19" s="246">
        <f t="shared" si="1"/>
        <v>4345</v>
      </c>
      <c r="J19" s="247">
        <f>J17-J18</f>
        <v>0.73</v>
      </c>
      <c r="K19" s="245"/>
      <c r="L19" s="248"/>
      <c r="M19" s="248"/>
      <c r="N19" s="249"/>
      <c r="O19" s="249"/>
      <c r="P19" s="233"/>
    </row>
    <row r="20" spans="1:16" s="241" customFormat="1" x14ac:dyDescent="0.4">
      <c r="A20" s="250" t="s">
        <v>1073</v>
      </c>
      <c r="B20" s="249" t="s">
        <v>1074</v>
      </c>
      <c r="C20" s="245">
        <v>-46.41</v>
      </c>
      <c r="D20" s="245"/>
      <c r="E20" s="245"/>
      <c r="F20" s="245"/>
      <c r="G20" s="246">
        <f t="shared" si="0"/>
        <v>-46.41</v>
      </c>
      <c r="H20" s="245" t="s">
        <v>1494</v>
      </c>
      <c r="I20" s="246">
        <f t="shared" si="1"/>
        <v>-46</v>
      </c>
      <c r="J20" s="247"/>
      <c r="K20" s="245"/>
      <c r="L20" s="248"/>
      <c r="M20" s="248"/>
      <c r="N20" s="249"/>
      <c r="O20" s="249"/>
      <c r="P20" s="233"/>
    </row>
    <row r="21" spans="1:16" s="241" customFormat="1" x14ac:dyDescent="0.4">
      <c r="A21" s="250" t="s">
        <v>1502</v>
      </c>
      <c r="B21" s="249" t="s">
        <v>1503</v>
      </c>
      <c r="C21" s="245">
        <v>0</v>
      </c>
      <c r="D21" s="245"/>
      <c r="E21" s="245"/>
      <c r="F21" s="245"/>
      <c r="G21" s="246">
        <f t="shared" si="0"/>
        <v>0</v>
      </c>
      <c r="H21" s="245" t="s">
        <v>1497</v>
      </c>
      <c r="I21" s="246">
        <f t="shared" si="1"/>
        <v>0</v>
      </c>
      <c r="J21" s="247"/>
      <c r="K21" s="245"/>
      <c r="L21" s="248"/>
      <c r="M21" s="248"/>
      <c r="N21" s="249"/>
      <c r="O21" s="249"/>
      <c r="P21" s="233"/>
    </row>
    <row r="22" spans="1:16" s="241" customFormat="1" x14ac:dyDescent="0.4">
      <c r="A22" s="243" t="s">
        <v>1075</v>
      </c>
      <c r="B22" s="244" t="s">
        <v>1076</v>
      </c>
      <c r="C22" s="245">
        <f>-1443857.47</f>
        <v>-1443857.47</v>
      </c>
      <c r="D22" s="245">
        <v>-230367.65</v>
      </c>
      <c r="E22" s="245"/>
      <c r="F22" s="245"/>
      <c r="G22" s="246">
        <f t="shared" si="0"/>
        <v>-1674225.12</v>
      </c>
      <c r="H22" s="245" t="s">
        <v>1497</v>
      </c>
      <c r="I22" s="246">
        <f t="shared" si="1"/>
        <v>-1674225</v>
      </c>
      <c r="J22" s="247"/>
      <c r="K22" s="245"/>
      <c r="L22" s="248"/>
      <c r="M22" s="248"/>
      <c r="N22" s="249"/>
      <c r="O22" s="249"/>
      <c r="P22" s="233"/>
    </row>
    <row r="23" spans="1:16" s="241" customFormat="1" x14ac:dyDescent="0.4">
      <c r="A23" s="243" t="s">
        <v>509</v>
      </c>
      <c r="B23" s="244" t="s">
        <v>1077</v>
      </c>
      <c r="C23" s="245">
        <v>-109356.83</v>
      </c>
      <c r="D23" s="245">
        <v>230367.65</v>
      </c>
      <c r="E23" s="245"/>
      <c r="F23" s="245"/>
      <c r="G23" s="246">
        <f t="shared" si="0"/>
        <v>121010.82</v>
      </c>
      <c r="H23" s="245" t="s">
        <v>1497</v>
      </c>
      <c r="I23" s="246">
        <f t="shared" si="1"/>
        <v>121011</v>
      </c>
      <c r="J23" s="247"/>
      <c r="K23" s="245"/>
      <c r="L23" s="248"/>
      <c r="M23" s="248"/>
      <c r="N23" s="249"/>
      <c r="O23" s="249"/>
      <c r="P23" s="233"/>
    </row>
    <row r="24" spans="1:16" s="241" customFormat="1" x14ac:dyDescent="0.4">
      <c r="A24" s="243" t="s">
        <v>1078</v>
      </c>
      <c r="B24" s="250" t="s">
        <v>1079</v>
      </c>
      <c r="C24" s="245">
        <v>-45193.37</v>
      </c>
      <c r="D24" s="245"/>
      <c r="E24" s="245"/>
      <c r="F24" s="245"/>
      <c r="G24" s="246">
        <f>SUM(C24:F24)</f>
        <v>-45193.37</v>
      </c>
      <c r="H24" s="245" t="s">
        <v>1497</v>
      </c>
      <c r="I24" s="246">
        <f t="shared" si="1"/>
        <v>-45193</v>
      </c>
      <c r="J24" s="247"/>
      <c r="K24" s="245"/>
      <c r="L24" s="245"/>
      <c r="M24" s="245"/>
      <c r="N24" s="249"/>
      <c r="O24" s="249"/>
      <c r="P24" s="233"/>
    </row>
    <row r="25" spans="1:16" s="241" customFormat="1" x14ac:dyDescent="0.4">
      <c r="A25" s="243" t="s">
        <v>1080</v>
      </c>
      <c r="B25" s="244" t="s">
        <v>1081</v>
      </c>
      <c r="C25" s="245">
        <v>-161924.34</v>
      </c>
      <c r="D25" s="245"/>
      <c r="E25" s="245"/>
      <c r="F25" s="245"/>
      <c r="G25" s="246">
        <f>SUM(C25:F25)</f>
        <v>-161924.34</v>
      </c>
      <c r="H25" s="245" t="s">
        <v>1497</v>
      </c>
      <c r="I25" s="246">
        <f t="shared" si="1"/>
        <v>-161924</v>
      </c>
      <c r="J25" s="247"/>
      <c r="K25" s="245"/>
      <c r="L25" s="245"/>
      <c r="M25" s="245"/>
      <c r="N25" s="249"/>
      <c r="O25" s="249"/>
      <c r="P25" s="233"/>
    </row>
    <row r="26" spans="1:16" s="241" customFormat="1" x14ac:dyDescent="0.4">
      <c r="A26" s="243" t="s">
        <v>1082</v>
      </c>
      <c r="B26" s="244" t="s">
        <v>1083</v>
      </c>
      <c r="C26" s="241">
        <v>-88000</v>
      </c>
      <c r="D26" s="245"/>
      <c r="E26" s="245"/>
      <c r="F26" s="245"/>
      <c r="G26" s="246">
        <f t="shared" si="0"/>
        <v>-88000</v>
      </c>
      <c r="H26" s="245" t="s">
        <v>1497</v>
      </c>
      <c r="I26" s="246">
        <f t="shared" si="1"/>
        <v>-88000</v>
      </c>
      <c r="J26" s="247"/>
      <c r="K26" s="245"/>
      <c r="L26" s="245"/>
      <c r="M26" s="245"/>
      <c r="N26" s="249"/>
      <c r="O26" s="249"/>
      <c r="P26" s="233"/>
    </row>
    <row r="27" spans="1:16" s="241" customFormat="1" x14ac:dyDescent="0.4">
      <c r="A27" s="250" t="s">
        <v>1084</v>
      </c>
      <c r="B27" s="249" t="s">
        <v>1085</v>
      </c>
      <c r="C27" s="245">
        <v>-380</v>
      </c>
      <c r="D27" s="245"/>
      <c r="E27" s="245"/>
      <c r="F27" s="245"/>
      <c r="G27" s="246">
        <f t="shared" si="0"/>
        <v>-380</v>
      </c>
      <c r="H27" s="245" t="s">
        <v>1497</v>
      </c>
      <c r="I27" s="246">
        <f t="shared" si="1"/>
        <v>-380</v>
      </c>
      <c r="J27" s="247"/>
      <c r="K27" s="245"/>
      <c r="L27" s="245"/>
      <c r="M27" s="245"/>
      <c r="N27" s="249"/>
      <c r="O27" s="249"/>
      <c r="P27" s="233"/>
    </row>
    <row r="28" spans="1:16" s="241" customFormat="1" x14ac:dyDescent="0.4">
      <c r="A28" s="243" t="s">
        <v>1086</v>
      </c>
      <c r="B28" s="244" t="s">
        <v>1252</v>
      </c>
      <c r="C28" s="245">
        <v>0</v>
      </c>
      <c r="D28" s="245"/>
      <c r="E28" s="245"/>
      <c r="F28" s="245"/>
      <c r="G28" s="246">
        <f t="shared" si="0"/>
        <v>0</v>
      </c>
      <c r="H28" s="245" t="s">
        <v>1497</v>
      </c>
      <c r="I28" s="246">
        <f t="shared" si="1"/>
        <v>0</v>
      </c>
      <c r="J28" s="251"/>
      <c r="K28" s="242"/>
      <c r="L28" s="245"/>
      <c r="M28" s="245"/>
      <c r="N28" s="249"/>
      <c r="O28" s="249"/>
      <c r="P28" s="233"/>
    </row>
    <row r="29" spans="1:16" s="241" customFormat="1" x14ac:dyDescent="0.4">
      <c r="A29" s="243" t="s">
        <v>1088</v>
      </c>
      <c r="B29" s="244" t="s">
        <v>1089</v>
      </c>
      <c r="C29" s="245">
        <v>-35729.26</v>
      </c>
      <c r="D29" s="245"/>
      <c r="E29" s="245"/>
      <c r="F29" s="245"/>
      <c r="G29" s="246">
        <f t="shared" si="0"/>
        <v>-35729.26</v>
      </c>
      <c r="H29" s="245" t="s">
        <v>1497</v>
      </c>
      <c r="I29" s="246">
        <f t="shared" si="1"/>
        <v>-35729</v>
      </c>
      <c r="J29" s="247"/>
      <c r="K29" s="245"/>
      <c r="L29" s="245"/>
      <c r="M29" s="245"/>
      <c r="N29" s="249"/>
      <c r="O29" s="249"/>
      <c r="P29" s="233"/>
    </row>
    <row r="30" spans="1:16" s="241" customFormat="1" x14ac:dyDescent="0.4">
      <c r="A30" s="243" t="s">
        <v>1090</v>
      </c>
      <c r="B30" s="244" t="s">
        <v>1091</v>
      </c>
      <c r="C30" s="245">
        <v>-8893.2800000000007</v>
      </c>
      <c r="D30" s="245"/>
      <c r="E30" s="245"/>
      <c r="F30" s="245"/>
      <c r="G30" s="246">
        <f t="shared" si="0"/>
        <v>-8893.2800000000007</v>
      </c>
      <c r="H30" s="245" t="s">
        <v>1497</v>
      </c>
      <c r="I30" s="246">
        <f t="shared" si="1"/>
        <v>-8893</v>
      </c>
      <c r="J30" s="247"/>
      <c r="K30" s="245"/>
      <c r="L30" s="245"/>
      <c r="M30" s="245"/>
      <c r="N30" s="249"/>
      <c r="O30" s="249"/>
      <c r="P30" s="233"/>
    </row>
    <row r="31" spans="1:16" s="241" customFormat="1" x14ac:dyDescent="0.4">
      <c r="A31" s="243" t="s">
        <v>1092</v>
      </c>
      <c r="B31" s="244" t="s">
        <v>1093</v>
      </c>
      <c r="C31" s="245">
        <v>0</v>
      </c>
      <c r="D31" s="245"/>
      <c r="E31" s="245"/>
      <c r="F31" s="245"/>
      <c r="G31" s="246">
        <f t="shared" si="0"/>
        <v>0</v>
      </c>
      <c r="H31" s="245" t="s">
        <v>1497</v>
      </c>
      <c r="I31" s="246">
        <f t="shared" si="1"/>
        <v>0</v>
      </c>
      <c r="J31" s="247"/>
      <c r="K31" s="245"/>
      <c r="L31" s="245"/>
      <c r="M31" s="245"/>
      <c r="N31" s="249"/>
      <c r="O31" s="249"/>
      <c r="P31" s="233"/>
    </row>
    <row r="32" spans="1:16" s="241" customFormat="1" x14ac:dyDescent="0.4">
      <c r="A32" s="243" t="s">
        <v>1094</v>
      </c>
      <c r="B32" s="244" t="s">
        <v>1095</v>
      </c>
      <c r="C32" s="245">
        <v>0</v>
      </c>
      <c r="D32" s="245"/>
      <c r="E32" s="245"/>
      <c r="F32" s="245"/>
      <c r="G32" s="246">
        <f t="shared" si="0"/>
        <v>0</v>
      </c>
      <c r="H32" s="245" t="s">
        <v>1499</v>
      </c>
      <c r="I32" s="246">
        <f t="shared" si="1"/>
        <v>0</v>
      </c>
      <c r="J32" s="247">
        <f>SUM(I22:I34)</f>
        <v>-2096621</v>
      </c>
      <c r="K32" s="245"/>
      <c r="L32" s="245"/>
      <c r="M32" s="245"/>
      <c r="N32" s="249"/>
      <c r="O32" s="249"/>
      <c r="P32" s="233"/>
    </row>
    <row r="33" spans="1:19" s="241" customFormat="1" x14ac:dyDescent="0.4">
      <c r="A33" s="243" t="s">
        <v>1096</v>
      </c>
      <c r="B33" s="244" t="s">
        <v>1097</v>
      </c>
      <c r="C33" s="245">
        <v>-76264.28</v>
      </c>
      <c r="E33" s="245"/>
      <c r="F33" s="245"/>
      <c r="G33" s="246">
        <f>SUM(C33:F33)</f>
        <v>-76264.28</v>
      </c>
      <c r="H33" s="245" t="s">
        <v>1497</v>
      </c>
      <c r="I33" s="246">
        <f t="shared" si="1"/>
        <v>-76264</v>
      </c>
      <c r="J33" s="247">
        <v>2096622.69</v>
      </c>
      <c r="K33" s="245"/>
      <c r="L33" s="245"/>
      <c r="M33" s="245"/>
      <c r="N33" s="249"/>
      <c r="O33" s="249"/>
      <c r="P33" s="233"/>
    </row>
    <row r="34" spans="1:19" s="241" customFormat="1" x14ac:dyDescent="0.4">
      <c r="A34" s="243" t="s">
        <v>1098</v>
      </c>
      <c r="B34" s="244" t="s">
        <v>1099</v>
      </c>
      <c r="C34" s="245">
        <v>-127023.86</v>
      </c>
      <c r="D34" s="245"/>
      <c r="E34" s="245"/>
      <c r="F34" s="245"/>
      <c r="G34" s="246">
        <f t="shared" si="0"/>
        <v>-127023.86</v>
      </c>
      <c r="H34" s="245" t="s">
        <v>1498</v>
      </c>
      <c r="I34" s="246">
        <f t="shared" si="1"/>
        <v>-127024</v>
      </c>
      <c r="J34" s="247">
        <f>SUM(J32:J33)</f>
        <v>1.69</v>
      </c>
      <c r="K34" s="245"/>
      <c r="L34" s="245"/>
      <c r="M34" s="245"/>
      <c r="N34" s="249"/>
      <c r="O34" s="249"/>
      <c r="P34" s="252"/>
    </row>
    <row r="35" spans="1:19" s="241" customFormat="1" x14ac:dyDescent="0.4">
      <c r="A35" s="243" t="s">
        <v>1267</v>
      </c>
      <c r="B35" s="244" t="s">
        <v>292</v>
      </c>
      <c r="C35" s="245">
        <v>-67387.289999999994</v>
      </c>
      <c r="D35" s="245"/>
      <c r="E35" s="245"/>
      <c r="F35" s="245"/>
      <c r="G35" s="246">
        <f>SUM(C35:F35)</f>
        <v>-67387.289999999994</v>
      </c>
      <c r="H35" s="245" t="s">
        <v>292</v>
      </c>
      <c r="I35" s="246">
        <f t="shared" si="1"/>
        <v>-67387</v>
      </c>
      <c r="J35" s="247"/>
      <c r="K35" s="245"/>
      <c r="L35" s="245"/>
      <c r="M35" s="245"/>
      <c r="N35" s="249"/>
      <c r="O35" s="249"/>
      <c r="P35" s="252"/>
    </row>
    <row r="36" spans="1:19" s="228" customFormat="1" x14ac:dyDescent="0.4">
      <c r="A36" s="243" t="s">
        <v>1100</v>
      </c>
      <c r="B36" s="244" t="s">
        <v>1101</v>
      </c>
      <c r="C36" s="245">
        <v>-67090.67</v>
      </c>
      <c r="D36" s="245"/>
      <c r="E36" s="245"/>
      <c r="F36" s="245"/>
      <c r="G36" s="246">
        <f t="shared" si="0"/>
        <v>-67090.67</v>
      </c>
      <c r="H36" s="245" t="s">
        <v>292</v>
      </c>
      <c r="I36" s="246">
        <f t="shared" si="1"/>
        <v>-67091</v>
      </c>
      <c r="J36" s="247"/>
      <c r="K36" s="245"/>
      <c r="L36" s="245"/>
      <c r="M36" s="245"/>
      <c r="N36" s="249"/>
      <c r="O36" s="249"/>
      <c r="P36" s="252"/>
      <c r="Q36" s="241"/>
      <c r="R36" s="241"/>
      <c r="S36" s="241"/>
    </row>
    <row r="37" spans="1:19" s="228" customFormat="1" x14ac:dyDescent="0.4">
      <c r="A37" s="243" t="s">
        <v>1102</v>
      </c>
      <c r="B37" s="244" t="s">
        <v>1103</v>
      </c>
      <c r="C37" s="245">
        <v>-51993.38</v>
      </c>
      <c r="D37" s="245"/>
      <c r="E37" s="245"/>
      <c r="F37" s="245"/>
      <c r="G37" s="246">
        <f t="shared" si="0"/>
        <v>-51993.38</v>
      </c>
      <c r="H37" s="245" t="s">
        <v>1499</v>
      </c>
      <c r="I37" s="246">
        <f t="shared" si="1"/>
        <v>-51993</v>
      </c>
      <c r="J37" s="247"/>
      <c r="K37" s="245"/>
      <c r="L37" s="245"/>
      <c r="M37" s="245"/>
      <c r="N37" s="249"/>
      <c r="O37" s="249"/>
      <c r="P37" s="252"/>
      <c r="Q37" s="241"/>
      <c r="R37" s="241"/>
      <c r="S37" s="241"/>
    </row>
    <row r="38" spans="1:19" s="241" customFormat="1" x14ac:dyDescent="0.4">
      <c r="A38" s="243" t="s">
        <v>1104</v>
      </c>
      <c r="B38" s="244" t="s">
        <v>1105</v>
      </c>
      <c r="C38" s="245">
        <v>-27841.07</v>
      </c>
      <c r="D38" s="245"/>
      <c r="E38" s="245"/>
      <c r="F38" s="245"/>
      <c r="G38" s="246">
        <f t="shared" si="0"/>
        <v>-27841.07</v>
      </c>
      <c r="H38" s="245" t="s">
        <v>1497</v>
      </c>
      <c r="I38" s="246">
        <f t="shared" si="1"/>
        <v>-27841</v>
      </c>
      <c r="J38" s="247"/>
      <c r="K38" s="245"/>
      <c r="L38" s="245"/>
      <c r="M38" s="245"/>
      <c r="N38" s="249"/>
      <c r="O38" s="249"/>
      <c r="P38" s="252"/>
    </row>
    <row r="39" spans="1:19" s="241" customFormat="1" x14ac:dyDescent="0.4">
      <c r="A39" s="243" t="s">
        <v>1106</v>
      </c>
      <c r="B39" s="244" t="s">
        <v>1107</v>
      </c>
      <c r="C39" s="245">
        <v>-62041.95</v>
      </c>
      <c r="D39" s="245"/>
      <c r="E39" s="245"/>
      <c r="F39" s="245"/>
      <c r="G39" s="246">
        <f t="shared" si="0"/>
        <v>-62041.95</v>
      </c>
      <c r="H39" s="245" t="s">
        <v>1497</v>
      </c>
      <c r="I39" s="246">
        <f t="shared" si="1"/>
        <v>-62042</v>
      </c>
      <c r="J39" s="247"/>
      <c r="K39" s="245"/>
      <c r="L39" s="245"/>
      <c r="M39" s="245"/>
      <c r="N39" s="249"/>
      <c r="O39" s="249"/>
      <c r="P39" s="252"/>
    </row>
    <row r="40" spans="1:19" s="241" customFormat="1" x14ac:dyDescent="0.4">
      <c r="A40" s="243" t="s">
        <v>1108</v>
      </c>
      <c r="B40" s="244" t="s">
        <v>1109</v>
      </c>
      <c r="C40" s="245">
        <v>-156685.42000000001</v>
      </c>
      <c r="D40" s="245"/>
      <c r="E40" s="245"/>
      <c r="F40" s="245"/>
      <c r="G40" s="246">
        <f t="shared" si="0"/>
        <v>-156685.42000000001</v>
      </c>
      <c r="H40" s="245" t="s">
        <v>1497</v>
      </c>
      <c r="I40" s="246">
        <f t="shared" si="1"/>
        <v>-156685</v>
      </c>
      <c r="J40" s="247"/>
      <c r="K40" s="245"/>
      <c r="L40" s="245"/>
      <c r="M40" s="245"/>
      <c r="N40" s="249"/>
      <c r="O40" s="249"/>
      <c r="P40" s="252"/>
    </row>
    <row r="41" spans="1:19" s="241" customFormat="1" x14ac:dyDescent="0.4">
      <c r="A41" s="253" t="s">
        <v>1110</v>
      </c>
      <c r="B41" s="244" t="s">
        <v>1111</v>
      </c>
      <c r="C41" s="245"/>
      <c r="D41" s="245"/>
      <c r="E41" s="245"/>
      <c r="F41" s="245"/>
      <c r="G41" s="246">
        <f t="shared" si="0"/>
        <v>0</v>
      </c>
      <c r="H41" s="245" t="s">
        <v>1497</v>
      </c>
      <c r="I41" s="246">
        <f t="shared" si="1"/>
        <v>0</v>
      </c>
      <c r="J41" s="247"/>
      <c r="K41" s="245"/>
      <c r="L41" s="245"/>
      <c r="M41" s="245"/>
      <c r="N41" s="249"/>
      <c r="O41" s="249"/>
      <c r="P41" s="252"/>
    </row>
    <row r="42" spans="1:19" s="241" customFormat="1" x14ac:dyDescent="0.4">
      <c r="A42" s="243" t="s">
        <v>1112</v>
      </c>
      <c r="B42" s="244" t="s">
        <v>1113</v>
      </c>
      <c r="C42" s="245">
        <v>-204.24</v>
      </c>
      <c r="D42" s="245"/>
      <c r="E42" s="245"/>
      <c r="F42" s="245"/>
      <c r="G42" s="246">
        <f>SUM(C42:F42)</f>
        <v>-204.24</v>
      </c>
      <c r="H42" s="245" t="s">
        <v>1497</v>
      </c>
      <c r="I42" s="246">
        <f t="shared" si="1"/>
        <v>-204</v>
      </c>
      <c r="J42" s="247"/>
      <c r="K42" s="245"/>
      <c r="L42" s="245"/>
      <c r="M42" s="245"/>
      <c r="N42" s="249"/>
      <c r="O42" s="249"/>
      <c r="P42" s="252"/>
    </row>
    <row r="43" spans="1:19" s="241" customFormat="1" x14ac:dyDescent="0.4">
      <c r="A43" s="253" t="s">
        <v>1114</v>
      </c>
      <c r="B43" s="244" t="s">
        <v>225</v>
      </c>
      <c r="C43" s="245">
        <v>0</v>
      </c>
      <c r="D43" s="245"/>
      <c r="E43" s="245"/>
      <c r="F43" s="245"/>
      <c r="G43" s="246">
        <f>SUM(C43:F43)</f>
        <v>0</v>
      </c>
      <c r="H43" s="245" t="s">
        <v>1497</v>
      </c>
      <c r="I43" s="246">
        <f t="shared" si="1"/>
        <v>0</v>
      </c>
      <c r="J43" s="247"/>
      <c r="K43" s="245"/>
      <c r="L43" s="245"/>
      <c r="M43" s="245"/>
      <c r="N43" s="249"/>
      <c r="O43" s="249"/>
      <c r="P43" s="252"/>
    </row>
    <row r="44" spans="1:19" s="241" customFormat="1" x14ac:dyDescent="0.4">
      <c r="A44" s="243" t="s">
        <v>1116</v>
      </c>
      <c r="B44" s="244" t="s">
        <v>1117</v>
      </c>
      <c r="C44" s="245">
        <v>-21482.41</v>
      </c>
      <c r="D44" s="245"/>
      <c r="E44" s="245"/>
      <c r="F44" s="245"/>
      <c r="G44" s="246">
        <f t="shared" si="0"/>
        <v>-21482.41</v>
      </c>
      <c r="H44" s="245" t="s">
        <v>1499</v>
      </c>
      <c r="I44" s="246">
        <f t="shared" si="1"/>
        <v>-21482</v>
      </c>
      <c r="J44" s="254"/>
      <c r="K44" s="245"/>
      <c r="L44" s="246"/>
      <c r="M44" s="246"/>
      <c r="N44" s="249"/>
      <c r="O44" s="249"/>
      <c r="P44" s="252"/>
    </row>
    <row r="45" spans="1:19" s="241" customFormat="1" x14ac:dyDescent="0.4">
      <c r="A45" s="243" t="s">
        <v>1521</v>
      </c>
      <c r="B45" s="244" t="s">
        <v>1522</v>
      </c>
      <c r="C45" s="245">
        <v>0</v>
      </c>
      <c r="D45" s="245"/>
      <c r="E45" s="245"/>
      <c r="F45" s="245"/>
      <c r="G45" s="246">
        <f t="shared" si="0"/>
        <v>0</v>
      </c>
      <c r="H45" s="245" t="s">
        <v>1499</v>
      </c>
      <c r="I45" s="246">
        <f t="shared" si="1"/>
        <v>0</v>
      </c>
      <c r="J45" s="254"/>
      <c r="K45" s="245"/>
      <c r="L45" s="246"/>
      <c r="M45" s="246"/>
      <c r="N45" s="249"/>
      <c r="O45" s="249"/>
      <c r="P45" s="252"/>
    </row>
    <row r="46" spans="1:19" s="241" customFormat="1" x14ac:dyDescent="0.4">
      <c r="A46" s="243" t="s">
        <v>1118</v>
      </c>
      <c r="B46" s="244" t="s">
        <v>1119</v>
      </c>
      <c r="C46" s="245">
        <v>-3500.01</v>
      </c>
      <c r="D46" s="245"/>
      <c r="E46" s="245"/>
      <c r="F46" s="245"/>
      <c r="G46" s="246">
        <f t="shared" si="0"/>
        <v>-3500.01</v>
      </c>
      <c r="H46" s="245" t="s">
        <v>1499</v>
      </c>
      <c r="I46" s="246">
        <f t="shared" si="1"/>
        <v>-3500</v>
      </c>
      <c r="J46" s="247"/>
      <c r="K46" s="246"/>
      <c r="L46" s="245"/>
      <c r="M46" s="245"/>
      <c r="N46" s="249"/>
      <c r="O46" s="249"/>
      <c r="P46" s="252"/>
    </row>
    <row r="47" spans="1:19" s="241" customFormat="1" x14ac:dyDescent="0.4">
      <c r="A47" s="243" t="s">
        <v>1120</v>
      </c>
      <c r="B47" s="244" t="s">
        <v>1121</v>
      </c>
      <c r="C47" s="245">
        <v>0</v>
      </c>
      <c r="D47" s="245"/>
      <c r="E47" s="245"/>
      <c r="F47" s="245"/>
      <c r="G47" s="246">
        <f t="shared" si="0"/>
        <v>0</v>
      </c>
      <c r="H47" s="245" t="s">
        <v>1497</v>
      </c>
      <c r="I47" s="246">
        <f t="shared" si="1"/>
        <v>0</v>
      </c>
      <c r="J47" s="247"/>
      <c r="K47" s="245"/>
      <c r="L47" s="245"/>
      <c r="M47" s="245"/>
      <c r="N47" s="249"/>
      <c r="O47" s="249"/>
      <c r="P47" s="252"/>
    </row>
    <row r="48" spans="1:19" s="241" customFormat="1" x14ac:dyDescent="0.4">
      <c r="A48" s="243" t="s">
        <v>1122</v>
      </c>
      <c r="B48" s="244" t="s">
        <v>1123</v>
      </c>
      <c r="C48" s="245">
        <v>-12074.58</v>
      </c>
      <c r="D48" s="245"/>
      <c r="E48" s="245"/>
      <c r="F48" s="245"/>
      <c r="G48" s="246">
        <f t="shared" si="0"/>
        <v>-12074.58</v>
      </c>
      <c r="H48" s="245" t="s">
        <v>1497</v>
      </c>
      <c r="I48" s="246">
        <f t="shared" si="1"/>
        <v>-12075</v>
      </c>
      <c r="J48" s="247"/>
      <c r="K48" s="245"/>
      <c r="L48" s="245"/>
      <c r="M48" s="245"/>
      <c r="N48" s="249"/>
      <c r="O48" s="249"/>
      <c r="P48" s="252"/>
    </row>
    <row r="49" spans="1:16" s="241" customFormat="1" x14ac:dyDescent="0.4">
      <c r="A49" s="253" t="s">
        <v>1124</v>
      </c>
      <c r="B49" s="244" t="s">
        <v>1125</v>
      </c>
      <c r="C49" s="245"/>
      <c r="D49" s="245"/>
      <c r="E49" s="245"/>
      <c r="F49" s="245"/>
      <c r="G49" s="246">
        <f t="shared" si="0"/>
        <v>0</v>
      </c>
      <c r="H49" s="245" t="s">
        <v>1497</v>
      </c>
      <c r="I49" s="246">
        <f t="shared" si="1"/>
        <v>0</v>
      </c>
      <c r="J49" s="247"/>
      <c r="K49" s="245"/>
      <c r="L49" s="245"/>
      <c r="M49" s="245"/>
      <c r="N49" s="249"/>
      <c r="O49" s="249"/>
      <c r="P49" s="252"/>
    </row>
    <row r="50" spans="1:16" s="241" customFormat="1" x14ac:dyDescent="0.4">
      <c r="A50" s="243" t="s">
        <v>1126</v>
      </c>
      <c r="B50" s="244" t="s">
        <v>1127</v>
      </c>
      <c r="C50" s="245">
        <v>-27204.86</v>
      </c>
      <c r="D50" s="245"/>
      <c r="E50" s="245"/>
      <c r="F50" s="245"/>
      <c r="G50" s="246">
        <f>SUM(C50:F50)</f>
        <v>-27204.86</v>
      </c>
      <c r="H50" s="245" t="s">
        <v>1497</v>
      </c>
      <c r="I50" s="246">
        <f t="shared" si="1"/>
        <v>-27205</v>
      </c>
      <c r="J50" s="247"/>
      <c r="K50" s="245"/>
      <c r="L50" s="245"/>
      <c r="M50" s="245"/>
      <c r="N50" s="249"/>
      <c r="O50" s="249"/>
      <c r="P50" s="252"/>
    </row>
    <row r="51" spans="1:16" s="241" customFormat="1" x14ac:dyDescent="0.4">
      <c r="A51" s="243" t="s">
        <v>1128</v>
      </c>
      <c r="B51" s="244" t="s">
        <v>1129</v>
      </c>
      <c r="C51" s="245">
        <v>-11880.32</v>
      </c>
      <c r="D51" s="245"/>
      <c r="E51" s="245"/>
      <c r="F51" s="245"/>
      <c r="G51" s="246">
        <f t="shared" si="0"/>
        <v>-11880.32</v>
      </c>
      <c r="H51" s="245" t="s">
        <v>292</v>
      </c>
      <c r="I51" s="246">
        <f t="shared" si="1"/>
        <v>-11880</v>
      </c>
      <c r="J51" s="247"/>
      <c r="K51" s="245"/>
      <c r="L51" s="245"/>
      <c r="M51" s="245"/>
      <c r="N51" s="249"/>
      <c r="O51" s="249"/>
      <c r="P51" s="252"/>
    </row>
    <row r="52" spans="1:16" s="241" customFormat="1" x14ac:dyDescent="0.4">
      <c r="A52" s="253" t="s">
        <v>1269</v>
      </c>
      <c r="B52" s="244" t="s">
        <v>1270</v>
      </c>
      <c r="C52" s="245">
        <v>-7209.59</v>
      </c>
      <c r="D52" s="245"/>
      <c r="E52" s="245"/>
      <c r="F52" s="245"/>
      <c r="G52" s="246">
        <f t="shared" si="0"/>
        <v>-7209.59</v>
      </c>
      <c r="H52" s="245" t="s">
        <v>292</v>
      </c>
      <c r="I52" s="246">
        <f t="shared" si="1"/>
        <v>-7210</v>
      </c>
      <c r="J52" s="247"/>
      <c r="K52" s="245"/>
      <c r="L52" s="245"/>
      <c r="M52" s="245"/>
      <c r="N52" s="249"/>
      <c r="O52" s="249"/>
      <c r="P52" s="252"/>
    </row>
    <row r="53" spans="1:16" s="241" customFormat="1" x14ac:dyDescent="0.4">
      <c r="A53" s="243" t="s">
        <v>1130</v>
      </c>
      <c r="B53" s="244" t="s">
        <v>1131</v>
      </c>
      <c r="C53" s="245">
        <v>-5707.08</v>
      </c>
      <c r="D53" s="245"/>
      <c r="E53" s="245"/>
      <c r="F53" s="245"/>
      <c r="G53" s="246">
        <f t="shared" si="0"/>
        <v>-5707.08</v>
      </c>
      <c r="H53" s="245" t="s">
        <v>292</v>
      </c>
      <c r="I53" s="246">
        <f t="shared" si="1"/>
        <v>-5707</v>
      </c>
      <c r="J53" s="247"/>
      <c r="K53" s="245"/>
      <c r="L53" s="245"/>
      <c r="M53" s="245"/>
      <c r="N53" s="249"/>
      <c r="O53" s="249"/>
      <c r="P53" s="252"/>
    </row>
    <row r="54" spans="1:16" s="241" customFormat="1" x14ac:dyDescent="0.4">
      <c r="A54" s="243" t="s">
        <v>1132</v>
      </c>
      <c r="B54" s="244" t="s">
        <v>186</v>
      </c>
      <c r="C54" s="245">
        <v>-2182.9899999999998</v>
      </c>
      <c r="D54" s="245"/>
      <c r="E54" s="245"/>
      <c r="F54" s="245"/>
      <c r="G54" s="246">
        <f t="shared" si="0"/>
        <v>-2182.9899999999998</v>
      </c>
      <c r="H54" s="245" t="s">
        <v>292</v>
      </c>
      <c r="I54" s="246">
        <f t="shared" si="1"/>
        <v>-2183</v>
      </c>
      <c r="J54" s="247"/>
      <c r="K54" s="245"/>
      <c r="L54" s="245"/>
      <c r="M54" s="245"/>
      <c r="N54" s="249"/>
      <c r="O54" s="249"/>
      <c r="P54" s="252"/>
    </row>
    <row r="55" spans="1:16" s="241" customFormat="1" x14ac:dyDescent="0.4">
      <c r="A55" s="243" t="s">
        <v>1133</v>
      </c>
      <c r="B55" s="244" t="s">
        <v>1134</v>
      </c>
      <c r="C55" s="245">
        <v>-1594.75</v>
      </c>
      <c r="D55" s="245"/>
      <c r="E55" s="245"/>
      <c r="F55" s="245"/>
      <c r="G55" s="246">
        <f t="shared" si="0"/>
        <v>-1594.75</v>
      </c>
      <c r="H55" s="245" t="s">
        <v>292</v>
      </c>
      <c r="I55" s="246">
        <f t="shared" si="1"/>
        <v>-1595</v>
      </c>
      <c r="J55" s="247"/>
      <c r="K55" s="245"/>
      <c r="L55" s="245"/>
      <c r="M55" s="245"/>
      <c r="N55" s="249"/>
      <c r="O55" s="249"/>
      <c r="P55" s="252"/>
    </row>
    <row r="56" spans="1:16" s="241" customFormat="1" x14ac:dyDescent="0.4">
      <c r="A56" s="243" t="s">
        <v>1135</v>
      </c>
      <c r="B56" s="244" t="s">
        <v>1136</v>
      </c>
      <c r="C56" s="245">
        <v>-6819.3</v>
      </c>
      <c r="D56" s="245"/>
      <c r="E56" s="245"/>
      <c r="F56" s="245"/>
      <c r="G56" s="246">
        <f t="shared" si="0"/>
        <v>-6819.3</v>
      </c>
      <c r="H56" s="245" t="s">
        <v>292</v>
      </c>
      <c r="I56" s="246">
        <f t="shared" si="1"/>
        <v>-6819</v>
      </c>
      <c r="J56" s="247"/>
      <c r="K56" s="245"/>
      <c r="L56" s="245"/>
      <c r="M56" s="245"/>
      <c r="N56" s="249"/>
      <c r="O56" s="249"/>
      <c r="P56" s="252"/>
    </row>
    <row r="57" spans="1:16" s="241" customFormat="1" x14ac:dyDescent="0.4">
      <c r="A57" s="243" t="s">
        <v>1137</v>
      </c>
      <c r="B57" s="244" t="s">
        <v>1138</v>
      </c>
      <c r="C57" s="245">
        <v>6129.91</v>
      </c>
      <c r="D57" s="245"/>
      <c r="E57" s="245"/>
      <c r="F57" s="245"/>
      <c r="G57" s="246">
        <f t="shared" si="0"/>
        <v>6129.91</v>
      </c>
      <c r="H57" s="245" t="s">
        <v>292</v>
      </c>
      <c r="I57" s="246">
        <f t="shared" si="1"/>
        <v>6130</v>
      </c>
      <c r="J57" s="247"/>
      <c r="K57" s="245"/>
      <c r="L57" s="245"/>
      <c r="M57" s="245"/>
      <c r="N57" s="249"/>
      <c r="O57" s="249"/>
      <c r="P57" s="252"/>
    </row>
    <row r="58" spans="1:16" s="228" customFormat="1" x14ac:dyDescent="0.4">
      <c r="A58" s="243" t="s">
        <v>1139</v>
      </c>
      <c r="B58" s="244" t="s">
        <v>1140</v>
      </c>
      <c r="C58" s="245">
        <v>-1000</v>
      </c>
      <c r="D58" s="245"/>
      <c r="E58" s="245"/>
      <c r="F58" s="245"/>
      <c r="G58" s="246">
        <f t="shared" si="0"/>
        <v>-1000</v>
      </c>
      <c r="H58" s="245" t="s">
        <v>292</v>
      </c>
      <c r="I58" s="246">
        <f t="shared" si="1"/>
        <v>-1000</v>
      </c>
      <c r="J58" s="247"/>
      <c r="K58" s="245"/>
      <c r="L58" s="245"/>
      <c r="M58" s="245"/>
      <c r="N58" s="250"/>
      <c r="O58" s="250"/>
      <c r="P58" s="255"/>
    </row>
    <row r="59" spans="1:16" s="241" customFormat="1" x14ac:dyDescent="0.4">
      <c r="A59" s="243" t="s">
        <v>1238</v>
      </c>
      <c r="B59" s="244" t="s">
        <v>1239</v>
      </c>
      <c r="C59" s="245">
        <v>-950</v>
      </c>
      <c r="D59" s="245"/>
      <c r="E59" s="245"/>
      <c r="F59" s="245"/>
      <c r="G59" s="246">
        <f t="shared" si="0"/>
        <v>-950</v>
      </c>
      <c r="H59" s="245" t="s">
        <v>290</v>
      </c>
      <c r="I59" s="246">
        <f t="shared" si="1"/>
        <v>-950</v>
      </c>
      <c r="J59" s="247"/>
      <c r="K59" s="245"/>
      <c r="L59" s="245"/>
      <c r="M59" s="245"/>
      <c r="N59" s="249"/>
      <c r="O59" s="249"/>
      <c r="P59" s="252"/>
    </row>
    <row r="60" spans="1:16" s="241" customFormat="1" x14ac:dyDescent="0.4">
      <c r="A60" s="243" t="s">
        <v>1141</v>
      </c>
      <c r="B60" s="244" t="s">
        <v>1142</v>
      </c>
      <c r="C60" s="245">
        <v>-1639.6</v>
      </c>
      <c r="D60" s="245"/>
      <c r="E60" s="245"/>
      <c r="F60" s="245"/>
      <c r="G60" s="246">
        <f t="shared" si="0"/>
        <v>-1639.6</v>
      </c>
      <c r="H60" s="245" t="s">
        <v>292</v>
      </c>
      <c r="I60" s="246">
        <f t="shared" si="1"/>
        <v>-1640</v>
      </c>
      <c r="J60" s="247"/>
      <c r="K60" s="245"/>
      <c r="L60" s="245"/>
      <c r="M60" s="245"/>
      <c r="N60" s="249"/>
      <c r="O60" s="249"/>
      <c r="P60" s="252"/>
    </row>
    <row r="61" spans="1:16" s="241" customFormat="1" x14ac:dyDescent="0.4">
      <c r="A61" s="243" t="s">
        <v>1143</v>
      </c>
      <c r="B61" s="244" t="s">
        <v>1144</v>
      </c>
      <c r="C61" s="245">
        <v>-221819.39</v>
      </c>
      <c r="D61" s="245"/>
      <c r="E61" s="245"/>
      <c r="F61" s="245"/>
      <c r="G61" s="246">
        <f t="shared" si="0"/>
        <v>-221819.39</v>
      </c>
      <c r="H61" s="245" t="s">
        <v>290</v>
      </c>
      <c r="I61" s="246">
        <f t="shared" si="1"/>
        <v>-221819</v>
      </c>
      <c r="J61" s="247" t="s">
        <v>1595</v>
      </c>
      <c r="K61" s="245"/>
      <c r="L61" s="245"/>
      <c r="M61" s="245"/>
      <c r="N61" s="249"/>
      <c r="O61" s="249"/>
      <c r="P61" s="252"/>
    </row>
    <row r="62" spans="1:16" s="241" customFormat="1" x14ac:dyDescent="0.4">
      <c r="A62" s="253" t="s">
        <v>1275</v>
      </c>
      <c r="B62" s="244" t="s">
        <v>1276</v>
      </c>
      <c r="C62" s="245">
        <v>-12333.23</v>
      </c>
      <c r="D62" s="245"/>
      <c r="E62" s="245"/>
      <c r="F62" s="245"/>
      <c r="G62" s="246">
        <f t="shared" si="0"/>
        <v>-12333.23</v>
      </c>
      <c r="H62" s="245" t="s">
        <v>1501</v>
      </c>
      <c r="I62" s="246">
        <f t="shared" si="1"/>
        <v>-12333</v>
      </c>
      <c r="J62" s="401">
        <f>2100+6883.33+2216.67+12276.25+910</f>
        <v>24386.25</v>
      </c>
      <c r="K62" s="245"/>
      <c r="L62" s="245"/>
      <c r="M62" s="245"/>
      <c r="N62" s="249"/>
      <c r="O62" s="249"/>
      <c r="P62" s="252"/>
    </row>
    <row r="63" spans="1:16" s="241" customFormat="1" x14ac:dyDescent="0.4">
      <c r="A63" s="243" t="s">
        <v>1145</v>
      </c>
      <c r="B63" s="244" t="s">
        <v>1146</v>
      </c>
      <c r="C63" s="245">
        <v>-2894.99</v>
      </c>
      <c r="D63" s="245"/>
      <c r="E63" s="245"/>
      <c r="F63" s="245"/>
      <c r="G63" s="246">
        <f t="shared" si="0"/>
        <v>-2894.99</v>
      </c>
      <c r="H63" s="245" t="s">
        <v>290</v>
      </c>
      <c r="I63" s="246">
        <f t="shared" si="1"/>
        <v>-2895</v>
      </c>
      <c r="J63" s="247"/>
      <c r="K63" s="245"/>
      <c r="L63" s="245"/>
      <c r="M63" s="245"/>
      <c r="N63" s="249"/>
      <c r="O63" s="249"/>
      <c r="P63" s="252"/>
    </row>
    <row r="64" spans="1:16" s="241" customFormat="1" x14ac:dyDescent="0.4">
      <c r="A64" s="253" t="s">
        <v>1147</v>
      </c>
      <c r="B64" s="244" t="s">
        <v>1148</v>
      </c>
      <c r="C64" s="245">
        <v>-20975.81</v>
      </c>
      <c r="D64" s="245"/>
      <c r="E64" s="245"/>
      <c r="F64" s="245"/>
      <c r="G64" s="402">
        <f t="shared" si="0"/>
        <v>-20975.81</v>
      </c>
      <c r="H64" s="245" t="s">
        <v>290</v>
      </c>
      <c r="I64" s="246">
        <f t="shared" si="1"/>
        <v>-20976</v>
      </c>
      <c r="J64" s="247"/>
      <c r="K64" s="245"/>
      <c r="L64" s="245"/>
      <c r="M64" s="245"/>
      <c r="N64" s="249"/>
      <c r="O64" s="249"/>
      <c r="P64" s="252"/>
    </row>
    <row r="65" spans="1:16" s="241" customFormat="1" x14ac:dyDescent="0.4">
      <c r="A65" s="250" t="s">
        <v>1149</v>
      </c>
      <c r="B65" s="249" t="s">
        <v>204</v>
      </c>
      <c r="C65" s="245">
        <v>-4494.5200000000004</v>
      </c>
      <c r="D65" s="245"/>
      <c r="E65" s="245"/>
      <c r="F65" s="245"/>
      <c r="G65" s="246">
        <f t="shared" si="0"/>
        <v>-4494.5200000000004</v>
      </c>
      <c r="H65" s="245" t="s">
        <v>292</v>
      </c>
      <c r="I65" s="246">
        <f t="shared" si="1"/>
        <v>-4495</v>
      </c>
      <c r="J65" s="247"/>
      <c r="K65" s="245"/>
      <c r="L65" s="245"/>
      <c r="M65" s="245"/>
      <c r="N65" s="249"/>
      <c r="O65" s="249"/>
      <c r="P65" s="252"/>
    </row>
    <row r="66" spans="1:16" s="241" customFormat="1" x14ac:dyDescent="0.4">
      <c r="A66" s="243" t="s">
        <v>1150</v>
      </c>
      <c r="B66" s="244" t="s">
        <v>1151</v>
      </c>
      <c r="C66" s="245">
        <v>-32061</v>
      </c>
      <c r="D66" s="245"/>
      <c r="E66" s="245"/>
      <c r="F66" s="245"/>
      <c r="G66" s="246">
        <f t="shared" si="0"/>
        <v>-32061</v>
      </c>
      <c r="H66" s="245" t="s">
        <v>292</v>
      </c>
      <c r="I66" s="246">
        <f t="shared" si="1"/>
        <v>-32061</v>
      </c>
      <c r="J66" s="247"/>
      <c r="K66" s="245"/>
      <c r="L66" s="245"/>
      <c r="M66" s="245"/>
      <c r="N66" s="249"/>
      <c r="O66" s="249"/>
      <c r="P66" s="252"/>
    </row>
    <row r="67" spans="1:16" s="241" customFormat="1" x14ac:dyDescent="0.4">
      <c r="A67" s="243" t="s">
        <v>1152</v>
      </c>
      <c r="B67" s="244" t="s">
        <v>1153</v>
      </c>
      <c r="C67" s="245">
        <v>-22885.16</v>
      </c>
      <c r="D67" s="245"/>
      <c r="E67" s="245"/>
      <c r="F67" s="245"/>
      <c r="G67" s="246">
        <f t="shared" si="0"/>
        <v>-22885.16</v>
      </c>
      <c r="H67" s="245" t="s">
        <v>292</v>
      </c>
      <c r="I67" s="246">
        <f t="shared" si="1"/>
        <v>-22885</v>
      </c>
      <c r="J67" s="247"/>
      <c r="K67" s="245"/>
      <c r="L67" s="245"/>
      <c r="M67" s="245"/>
      <c r="N67" s="249"/>
      <c r="O67" s="249"/>
      <c r="P67" s="252"/>
    </row>
    <row r="68" spans="1:16" s="241" customFormat="1" x14ac:dyDescent="0.4">
      <c r="A68" s="243" t="s">
        <v>1154</v>
      </c>
      <c r="B68" s="244" t="s">
        <v>210</v>
      </c>
      <c r="C68" s="245">
        <v>-145.88999999999999</v>
      </c>
      <c r="D68" s="245"/>
      <c r="E68" s="245"/>
      <c r="F68" s="245"/>
      <c r="G68" s="246">
        <f t="shared" si="0"/>
        <v>-145.88999999999999</v>
      </c>
      <c r="H68" s="245" t="s">
        <v>292</v>
      </c>
      <c r="I68" s="246">
        <f t="shared" si="1"/>
        <v>-146</v>
      </c>
      <c r="J68" s="247"/>
      <c r="K68" s="245"/>
      <c r="L68" s="245"/>
      <c r="M68" s="245"/>
      <c r="N68" s="249"/>
      <c r="O68" s="249"/>
      <c r="P68" s="252"/>
    </row>
    <row r="69" spans="1:16" s="241" customFormat="1" x14ac:dyDescent="0.4">
      <c r="A69" s="243" t="s">
        <v>1155</v>
      </c>
      <c r="B69" s="244" t="s">
        <v>1156</v>
      </c>
      <c r="C69" s="245">
        <v>0</v>
      </c>
      <c r="D69" s="245"/>
      <c r="E69" s="245"/>
      <c r="F69" s="245"/>
      <c r="G69" s="246">
        <f t="shared" si="0"/>
        <v>0</v>
      </c>
      <c r="H69" s="245" t="s">
        <v>292</v>
      </c>
      <c r="I69" s="246">
        <f t="shared" si="1"/>
        <v>0</v>
      </c>
      <c r="J69" s="247"/>
      <c r="K69" s="245"/>
      <c r="L69" s="245"/>
      <c r="M69" s="245"/>
      <c r="N69" s="249"/>
      <c r="O69" s="249"/>
      <c r="P69" s="252"/>
    </row>
    <row r="70" spans="1:16" s="241" customFormat="1" x14ac:dyDescent="0.4">
      <c r="A70" s="243" t="s">
        <v>1157</v>
      </c>
      <c r="B70" s="244" t="s">
        <v>1158</v>
      </c>
      <c r="C70" s="245">
        <v>-100</v>
      </c>
      <c r="D70" s="245"/>
      <c r="E70" s="245"/>
      <c r="F70" s="245"/>
      <c r="G70" s="246">
        <f t="shared" si="0"/>
        <v>-100</v>
      </c>
      <c r="H70" s="245" t="s">
        <v>292</v>
      </c>
      <c r="I70" s="246">
        <f t="shared" si="1"/>
        <v>-100</v>
      </c>
      <c r="J70" s="247"/>
      <c r="K70" s="245"/>
      <c r="L70" s="245"/>
      <c r="M70" s="245"/>
      <c r="N70" s="249"/>
      <c r="O70" s="249"/>
      <c r="P70" s="252"/>
    </row>
    <row r="71" spans="1:16" s="241" customFormat="1" x14ac:dyDescent="0.4">
      <c r="A71" s="243" t="s">
        <v>1159</v>
      </c>
      <c r="B71" s="244" t="s">
        <v>181</v>
      </c>
      <c r="C71" s="245">
        <v>0</v>
      </c>
      <c r="D71" s="245"/>
      <c r="E71" s="245"/>
      <c r="F71" s="245"/>
      <c r="G71" s="246">
        <f t="shared" si="0"/>
        <v>0</v>
      </c>
      <c r="H71" s="245" t="s">
        <v>1494</v>
      </c>
      <c r="I71" s="246">
        <f t="shared" si="1"/>
        <v>0</v>
      </c>
      <c r="J71" s="247"/>
      <c r="K71" s="245"/>
      <c r="L71" s="245"/>
      <c r="M71" s="245"/>
      <c r="N71" s="249"/>
      <c r="O71" s="249"/>
      <c r="P71" s="252"/>
    </row>
    <row r="72" spans="1:16" s="241" customFormat="1" x14ac:dyDescent="0.4">
      <c r="A72" s="250" t="s">
        <v>1160</v>
      </c>
      <c r="B72" s="249" t="s">
        <v>203</v>
      </c>
      <c r="C72" s="245">
        <v>-16755.02</v>
      </c>
      <c r="D72" s="245"/>
      <c r="E72" s="245"/>
      <c r="F72" s="245"/>
      <c r="G72" s="246">
        <f t="shared" si="0"/>
        <v>-16755.02</v>
      </c>
      <c r="H72" s="245" t="s">
        <v>292</v>
      </c>
      <c r="I72" s="246">
        <f t="shared" ref="I72:I113" si="2">ROUND(G72,0)</f>
        <v>-16755</v>
      </c>
      <c r="J72" s="247"/>
      <c r="K72" s="245"/>
      <c r="L72" s="245"/>
      <c r="M72" s="245"/>
      <c r="N72" s="249"/>
      <c r="O72" s="249"/>
      <c r="P72" s="252"/>
    </row>
    <row r="73" spans="1:16" s="241" customFormat="1" x14ac:dyDescent="0.4">
      <c r="A73" s="243" t="s">
        <v>1161</v>
      </c>
      <c r="B73" s="244" t="s">
        <v>1162</v>
      </c>
      <c r="C73" s="245">
        <v>-884.41</v>
      </c>
      <c r="D73" s="245"/>
      <c r="E73" s="245"/>
      <c r="F73" s="245"/>
      <c r="G73" s="246">
        <f t="shared" si="0"/>
        <v>-884.41</v>
      </c>
      <c r="H73" s="245" t="s">
        <v>292</v>
      </c>
      <c r="I73" s="246">
        <f t="shared" si="2"/>
        <v>-884</v>
      </c>
      <c r="J73" s="247"/>
      <c r="K73" s="245"/>
      <c r="L73" s="245"/>
      <c r="M73" s="245"/>
      <c r="N73" s="249"/>
      <c r="O73" s="249"/>
      <c r="P73" s="252"/>
    </row>
    <row r="74" spans="1:16" s="241" customFormat="1" x14ac:dyDescent="0.4">
      <c r="A74" s="243" t="s">
        <v>1163</v>
      </c>
      <c r="B74" s="244" t="s">
        <v>250</v>
      </c>
      <c r="C74" s="245">
        <v>-6840</v>
      </c>
      <c r="D74" s="245"/>
      <c r="E74" s="245"/>
      <c r="F74" s="245"/>
      <c r="G74" s="246">
        <f t="shared" si="0"/>
        <v>-6840</v>
      </c>
      <c r="H74" s="245" t="s">
        <v>1499</v>
      </c>
      <c r="I74" s="246">
        <f t="shared" si="2"/>
        <v>-6840</v>
      </c>
      <c r="J74" s="247"/>
      <c r="K74" s="245"/>
      <c r="L74" s="245"/>
      <c r="M74" s="245"/>
      <c r="N74" s="249"/>
      <c r="O74" s="249"/>
      <c r="P74" s="252"/>
    </row>
    <row r="75" spans="1:16" s="241" customFormat="1" x14ac:dyDescent="0.4">
      <c r="A75" s="243" t="s">
        <v>1164</v>
      </c>
      <c r="B75" s="244" t="s">
        <v>1165</v>
      </c>
      <c r="C75" s="245">
        <v>-8345.82</v>
      </c>
      <c r="D75" s="245"/>
      <c r="E75" s="245"/>
      <c r="F75" s="245"/>
      <c r="G75" s="246">
        <f t="shared" si="0"/>
        <v>-8345.82</v>
      </c>
      <c r="H75" s="245" t="s">
        <v>1499</v>
      </c>
      <c r="I75" s="246">
        <f t="shared" si="2"/>
        <v>-8346</v>
      </c>
      <c r="J75" s="247"/>
      <c r="K75" s="245"/>
      <c r="L75" s="245"/>
      <c r="M75" s="245"/>
      <c r="N75" s="249"/>
      <c r="O75" s="249"/>
      <c r="P75" s="252"/>
    </row>
    <row r="76" spans="1:16" s="241" customFormat="1" x14ac:dyDescent="0.4">
      <c r="A76" s="243" t="s">
        <v>1166</v>
      </c>
      <c r="B76" s="244" t="s">
        <v>1167</v>
      </c>
      <c r="C76" s="245">
        <v>-42362.16</v>
      </c>
      <c r="D76" s="245"/>
      <c r="E76" s="245"/>
      <c r="F76" s="245"/>
      <c r="G76" s="246">
        <f t="shared" si="0"/>
        <v>-42362.16</v>
      </c>
      <c r="H76" s="245" t="s">
        <v>1499</v>
      </c>
      <c r="I76" s="246">
        <f t="shared" si="2"/>
        <v>-42362</v>
      </c>
      <c r="J76" s="247"/>
      <c r="K76" s="245"/>
      <c r="L76" s="245"/>
      <c r="M76" s="245"/>
      <c r="N76" s="249"/>
      <c r="O76" s="249"/>
      <c r="P76" s="252"/>
    </row>
    <row r="77" spans="1:16" s="241" customFormat="1" x14ac:dyDescent="0.4">
      <c r="A77" s="243" t="s">
        <v>1168</v>
      </c>
      <c r="B77" s="244" t="s">
        <v>1169</v>
      </c>
      <c r="C77" s="245">
        <v>-4666.42</v>
      </c>
      <c r="D77" s="245"/>
      <c r="E77" s="245"/>
      <c r="F77" s="245"/>
      <c r="G77" s="246">
        <f t="shared" si="0"/>
        <v>-4666.42</v>
      </c>
      <c r="H77" s="245" t="s">
        <v>1499</v>
      </c>
      <c r="I77" s="246">
        <f t="shared" si="2"/>
        <v>-4666</v>
      </c>
      <c r="J77" s="247"/>
      <c r="K77" s="245"/>
      <c r="L77" s="245"/>
      <c r="M77" s="245"/>
      <c r="N77" s="249"/>
      <c r="O77" s="249"/>
      <c r="P77" s="252"/>
    </row>
    <row r="78" spans="1:16" s="241" customFormat="1" x14ac:dyDescent="0.4">
      <c r="A78" s="243" t="s">
        <v>1170</v>
      </c>
      <c r="B78" s="244" t="s">
        <v>1171</v>
      </c>
      <c r="C78" s="245">
        <v>-3741.91</v>
      </c>
      <c r="D78" s="245"/>
      <c r="E78" s="245"/>
      <c r="F78" s="245"/>
      <c r="G78" s="246">
        <f t="shared" ref="G78:G111" si="3">SUM(C78:F78)</f>
        <v>-3741.91</v>
      </c>
      <c r="H78" s="245" t="s">
        <v>292</v>
      </c>
      <c r="I78" s="246">
        <f t="shared" si="2"/>
        <v>-3742</v>
      </c>
      <c r="J78" s="247"/>
      <c r="K78" s="245"/>
      <c r="L78" s="245"/>
      <c r="M78" s="245"/>
      <c r="N78" s="249"/>
      <c r="O78" s="249"/>
      <c r="P78" s="252"/>
    </row>
    <row r="79" spans="1:16" s="241" customFormat="1" x14ac:dyDescent="0.4">
      <c r="A79" s="243" t="s">
        <v>1172</v>
      </c>
      <c r="B79" s="244" t="s">
        <v>1173</v>
      </c>
      <c r="C79" s="245">
        <v>-13987.1</v>
      </c>
      <c r="D79" s="245"/>
      <c r="E79" s="245"/>
      <c r="F79" s="245"/>
      <c r="G79" s="246">
        <f t="shared" si="3"/>
        <v>-13987.1</v>
      </c>
      <c r="H79" s="245" t="s">
        <v>1497</v>
      </c>
      <c r="I79" s="246">
        <f t="shared" si="2"/>
        <v>-13987</v>
      </c>
      <c r="J79" s="247"/>
      <c r="K79" s="245"/>
      <c r="L79" s="245"/>
      <c r="M79" s="245"/>
      <c r="N79" s="249"/>
      <c r="O79" s="249"/>
      <c r="P79" s="252"/>
    </row>
    <row r="80" spans="1:16" s="241" customFormat="1" x14ac:dyDescent="0.4">
      <c r="A80" s="243" t="s">
        <v>1174</v>
      </c>
      <c r="B80" s="244" t="s">
        <v>1175</v>
      </c>
      <c r="C80" s="245">
        <v>-76</v>
      </c>
      <c r="D80" s="245"/>
      <c r="E80" s="245"/>
      <c r="F80" s="245"/>
      <c r="G80" s="246">
        <f t="shared" si="3"/>
        <v>-76</v>
      </c>
      <c r="H80" s="245" t="s">
        <v>292</v>
      </c>
      <c r="I80" s="246">
        <f t="shared" si="2"/>
        <v>-76</v>
      </c>
      <c r="J80" s="247"/>
      <c r="K80" s="245"/>
      <c r="L80" s="245"/>
      <c r="M80" s="245"/>
      <c r="N80" s="249"/>
      <c r="O80" s="249"/>
      <c r="P80" s="252"/>
    </row>
    <row r="81" spans="1:16" s="241" customFormat="1" x14ac:dyDescent="0.4">
      <c r="A81" s="243" t="s">
        <v>1176</v>
      </c>
      <c r="B81" s="244" t="s">
        <v>1177</v>
      </c>
      <c r="C81" s="245">
        <f>-25676.86-14500</f>
        <v>-40176.86</v>
      </c>
      <c r="D81" s="245"/>
      <c r="E81" s="245"/>
      <c r="F81" s="245"/>
      <c r="G81" s="246">
        <f t="shared" si="3"/>
        <v>-40176.86</v>
      </c>
      <c r="H81" s="245" t="s">
        <v>1498</v>
      </c>
      <c r="I81" s="246">
        <f t="shared" si="2"/>
        <v>-40177</v>
      </c>
      <c r="J81" s="247"/>
      <c r="K81" s="245"/>
      <c r="L81" s="245"/>
      <c r="M81" s="245"/>
      <c r="N81" s="249"/>
      <c r="O81" s="249"/>
      <c r="P81" s="252"/>
    </row>
    <row r="82" spans="1:16" s="241" customFormat="1" x14ac:dyDescent="0.4">
      <c r="A82" s="243" t="s">
        <v>1178</v>
      </c>
      <c r="B82" s="244" t="s">
        <v>1179</v>
      </c>
      <c r="C82" s="245">
        <v>115</v>
      </c>
      <c r="D82" s="245"/>
      <c r="E82" s="245"/>
      <c r="F82" s="245"/>
      <c r="G82" s="246">
        <f t="shared" si="3"/>
        <v>115</v>
      </c>
      <c r="H82" s="245" t="s">
        <v>292</v>
      </c>
      <c r="I82" s="246">
        <f t="shared" si="2"/>
        <v>115</v>
      </c>
      <c r="J82" s="247"/>
      <c r="K82" s="245"/>
      <c r="L82" s="245"/>
      <c r="M82" s="245"/>
      <c r="N82" s="249"/>
      <c r="O82" s="249"/>
      <c r="P82" s="252"/>
    </row>
    <row r="83" spans="1:16" s="241" customFormat="1" x14ac:dyDescent="0.4">
      <c r="A83" s="243" t="s">
        <v>1180</v>
      </c>
      <c r="B83" s="244" t="s">
        <v>1181</v>
      </c>
      <c r="C83" s="245">
        <v>-38673.9</v>
      </c>
      <c r="D83" s="245"/>
      <c r="E83" s="245"/>
      <c r="F83" s="245"/>
      <c r="G83" s="246">
        <f t="shared" si="3"/>
        <v>-38673.9</v>
      </c>
      <c r="H83" s="245" t="s">
        <v>1497</v>
      </c>
      <c r="I83" s="246">
        <f t="shared" si="2"/>
        <v>-38674</v>
      </c>
      <c r="J83" s="247"/>
      <c r="K83" s="245"/>
      <c r="L83" s="245"/>
      <c r="M83" s="245"/>
      <c r="N83" s="249"/>
      <c r="O83" s="249"/>
      <c r="P83" s="252"/>
    </row>
    <row r="84" spans="1:16" s="241" customFormat="1" x14ac:dyDescent="0.4">
      <c r="A84" s="250" t="s">
        <v>1182</v>
      </c>
      <c r="B84" s="249" t="s">
        <v>1183</v>
      </c>
      <c r="C84" s="245">
        <v>-36000</v>
      </c>
      <c r="D84" s="245"/>
      <c r="E84" s="245"/>
      <c r="F84" s="245"/>
      <c r="G84" s="246">
        <f t="shared" si="3"/>
        <v>-36000</v>
      </c>
      <c r="H84" s="245" t="s">
        <v>1497</v>
      </c>
      <c r="I84" s="246">
        <f t="shared" si="2"/>
        <v>-36000</v>
      </c>
      <c r="J84" s="247"/>
      <c r="K84" s="245"/>
      <c r="L84" s="245"/>
      <c r="M84" s="245"/>
      <c r="N84" s="249"/>
      <c r="O84" s="249"/>
      <c r="P84" s="252"/>
    </row>
    <row r="85" spans="1:16" s="241" customFormat="1" x14ac:dyDescent="0.4">
      <c r="A85" s="243" t="s">
        <v>1184</v>
      </c>
      <c r="B85" s="244" t="s">
        <v>1185</v>
      </c>
      <c r="C85" s="245">
        <v>-1296.33</v>
      </c>
      <c r="D85" s="245"/>
      <c r="E85" s="245"/>
      <c r="F85" s="245"/>
      <c r="G85" s="246">
        <f t="shared" si="3"/>
        <v>-1296.33</v>
      </c>
      <c r="H85" s="245" t="s">
        <v>292</v>
      </c>
      <c r="I85" s="246">
        <f t="shared" si="2"/>
        <v>-1296</v>
      </c>
      <c r="J85" s="247"/>
      <c r="K85" s="245"/>
      <c r="L85" s="245"/>
      <c r="M85" s="245"/>
      <c r="N85" s="249"/>
      <c r="O85" s="249"/>
      <c r="P85" s="252"/>
    </row>
    <row r="86" spans="1:16" s="241" customFormat="1" x14ac:dyDescent="0.4">
      <c r="A86" s="243" t="s">
        <v>1186</v>
      </c>
      <c r="B86" s="244" t="s">
        <v>252</v>
      </c>
      <c r="C86" s="245">
        <v>-7321.07</v>
      </c>
      <c r="D86" s="245"/>
      <c r="E86" s="245"/>
      <c r="F86" s="245"/>
      <c r="G86" s="246">
        <f t="shared" si="3"/>
        <v>-7321.07</v>
      </c>
      <c r="H86" s="245" t="s">
        <v>1497</v>
      </c>
      <c r="I86" s="246">
        <f t="shared" si="2"/>
        <v>-7321</v>
      </c>
      <c r="J86" s="247"/>
      <c r="K86" s="245"/>
      <c r="L86" s="245"/>
      <c r="M86" s="245"/>
      <c r="N86" s="249"/>
      <c r="O86" s="249"/>
      <c r="P86" s="252"/>
    </row>
    <row r="87" spans="1:16" s="241" customFormat="1" x14ac:dyDescent="0.4">
      <c r="A87" s="243" t="s">
        <v>1187</v>
      </c>
      <c r="B87" s="244" t="s">
        <v>1188</v>
      </c>
      <c r="C87" s="245">
        <v>-3178.76</v>
      </c>
      <c r="D87" s="245"/>
      <c r="E87" s="245"/>
      <c r="F87" s="245"/>
      <c r="G87" s="246">
        <f t="shared" si="3"/>
        <v>-3178.76</v>
      </c>
      <c r="H87" s="245" t="s">
        <v>292</v>
      </c>
      <c r="I87" s="246">
        <f t="shared" si="2"/>
        <v>-3179</v>
      </c>
      <c r="J87" s="247"/>
      <c r="K87" s="245"/>
      <c r="L87" s="245"/>
      <c r="M87" s="245"/>
      <c r="N87" s="249"/>
      <c r="O87" s="249"/>
      <c r="P87" s="252"/>
    </row>
    <row r="88" spans="1:16" s="241" customFormat="1" x14ac:dyDescent="0.4">
      <c r="A88" s="243" t="s">
        <v>1189</v>
      </c>
      <c r="B88" s="244" t="s">
        <v>220</v>
      </c>
      <c r="C88" s="245">
        <v>-385.06</v>
      </c>
      <c r="D88" s="245"/>
      <c r="E88" s="245"/>
      <c r="F88" s="245"/>
      <c r="G88" s="246">
        <f t="shared" si="3"/>
        <v>-385.06</v>
      </c>
      <c r="H88" s="245" t="s">
        <v>292</v>
      </c>
      <c r="I88" s="246">
        <f t="shared" si="2"/>
        <v>-385</v>
      </c>
      <c r="J88" s="247"/>
      <c r="K88" s="245"/>
      <c r="L88" s="245"/>
      <c r="M88" s="245"/>
      <c r="N88" s="249"/>
      <c r="O88" s="249"/>
      <c r="P88" s="252"/>
    </row>
    <row r="89" spans="1:16" s="241" customFormat="1" x14ac:dyDescent="0.4">
      <c r="A89" s="243" t="s">
        <v>1190</v>
      </c>
      <c r="B89" s="244" t="s">
        <v>1191</v>
      </c>
      <c r="C89" s="245">
        <v>-153</v>
      </c>
      <c r="D89" s="245"/>
      <c r="E89" s="245"/>
      <c r="F89" s="245"/>
      <c r="G89" s="246">
        <f t="shared" si="3"/>
        <v>-153</v>
      </c>
      <c r="H89" s="245" t="s">
        <v>292</v>
      </c>
      <c r="I89" s="246">
        <f t="shared" si="2"/>
        <v>-153</v>
      </c>
      <c r="J89" s="247"/>
      <c r="K89" s="245"/>
      <c r="L89" s="245"/>
      <c r="M89" s="245"/>
      <c r="N89" s="249"/>
      <c r="O89" s="249"/>
      <c r="P89" s="252"/>
    </row>
    <row r="90" spans="1:16" s="241" customFormat="1" x14ac:dyDescent="0.4">
      <c r="A90" s="243" t="s">
        <v>1192</v>
      </c>
      <c r="B90" s="244" t="s">
        <v>1193</v>
      </c>
      <c r="C90" s="245">
        <v>-1371.98</v>
      </c>
      <c r="D90" s="245"/>
      <c r="E90" s="245"/>
      <c r="F90" s="245"/>
      <c r="G90" s="246">
        <f t="shared" si="3"/>
        <v>-1371.98</v>
      </c>
      <c r="H90" s="245" t="s">
        <v>1497</v>
      </c>
      <c r="I90" s="246">
        <f t="shared" si="2"/>
        <v>-1372</v>
      </c>
      <c r="J90" s="247"/>
      <c r="K90" s="245"/>
      <c r="L90" s="245"/>
      <c r="M90" s="245"/>
      <c r="N90" s="249"/>
      <c r="O90" s="249"/>
      <c r="P90" s="252"/>
    </row>
    <row r="91" spans="1:16" s="241" customFormat="1" x14ac:dyDescent="0.4">
      <c r="A91" s="243" t="s">
        <v>1562</v>
      </c>
      <c r="B91" s="244" t="s">
        <v>1563</v>
      </c>
      <c r="C91" s="245">
        <v>-5365.71</v>
      </c>
      <c r="D91" s="245"/>
      <c r="E91" s="245"/>
      <c r="F91" s="245"/>
      <c r="G91" s="246">
        <f t="shared" si="3"/>
        <v>-5365.71</v>
      </c>
      <c r="H91" s="245" t="s">
        <v>1497</v>
      </c>
      <c r="I91" s="246">
        <f t="shared" si="2"/>
        <v>-5366</v>
      </c>
      <c r="J91" s="247"/>
      <c r="K91" s="245"/>
      <c r="L91" s="245"/>
      <c r="M91" s="245"/>
      <c r="N91" s="249"/>
      <c r="O91" s="249"/>
      <c r="P91" s="252"/>
    </row>
    <row r="92" spans="1:16" s="241" customFormat="1" x14ac:dyDescent="0.4">
      <c r="A92" s="253" t="s">
        <v>1581</v>
      </c>
      <c r="B92" s="244" t="s">
        <v>1582</v>
      </c>
      <c r="C92" s="245">
        <v>-11445.11</v>
      </c>
      <c r="D92" s="245"/>
      <c r="E92" s="245"/>
      <c r="F92" s="245"/>
      <c r="G92" s="246">
        <f t="shared" si="3"/>
        <v>-11445.11</v>
      </c>
      <c r="H92" s="245" t="s">
        <v>1497</v>
      </c>
      <c r="I92" s="246">
        <f t="shared" si="2"/>
        <v>-11445</v>
      </c>
      <c r="J92" s="247"/>
      <c r="K92" s="245"/>
      <c r="L92" s="245"/>
      <c r="M92" s="245"/>
      <c r="N92" s="249"/>
      <c r="O92" s="249"/>
      <c r="P92" s="252"/>
    </row>
    <row r="93" spans="1:16" s="241" customFormat="1" x14ac:dyDescent="0.4">
      <c r="A93" s="243" t="s">
        <v>1194</v>
      </c>
      <c r="B93" s="244" t="s">
        <v>1195</v>
      </c>
      <c r="C93" s="245">
        <v>-46398.95</v>
      </c>
      <c r="D93" s="245"/>
      <c r="E93" s="245"/>
      <c r="F93" s="245"/>
      <c r="G93" s="246">
        <f t="shared" si="3"/>
        <v>-46398.95</v>
      </c>
      <c r="H93" s="245" t="s">
        <v>1497</v>
      </c>
      <c r="I93" s="246">
        <f t="shared" si="2"/>
        <v>-46399</v>
      </c>
      <c r="J93" s="247"/>
      <c r="K93" s="245"/>
      <c r="L93" s="245"/>
      <c r="M93" s="245"/>
      <c r="N93" s="249"/>
      <c r="O93" s="249"/>
      <c r="P93" s="252"/>
    </row>
    <row r="94" spans="1:16" s="241" customFormat="1" x14ac:dyDescent="0.4">
      <c r="A94" s="253" t="s">
        <v>1579</v>
      </c>
      <c r="B94" s="244" t="s">
        <v>1580</v>
      </c>
      <c r="C94" s="245">
        <v>-78395.3</v>
      </c>
      <c r="D94" s="245"/>
      <c r="E94" s="245"/>
      <c r="F94" s="245"/>
      <c r="G94" s="246">
        <f t="shared" si="3"/>
        <v>-78395.3</v>
      </c>
      <c r="H94" s="245" t="s">
        <v>1497</v>
      </c>
      <c r="I94" s="246">
        <f t="shared" si="2"/>
        <v>-78395</v>
      </c>
      <c r="J94" s="247"/>
      <c r="K94" s="245"/>
      <c r="L94" s="245"/>
      <c r="M94" s="245"/>
      <c r="N94" s="249"/>
      <c r="O94" s="249"/>
      <c r="P94" s="252"/>
    </row>
    <row r="95" spans="1:16" s="241" customFormat="1" x14ac:dyDescent="0.4">
      <c r="A95" s="243" t="s">
        <v>1196</v>
      </c>
      <c r="B95" s="244" t="s">
        <v>1197</v>
      </c>
      <c r="C95" s="245">
        <v>-7865.49</v>
      </c>
      <c r="D95" s="245"/>
      <c r="E95" s="245"/>
      <c r="F95" s="245"/>
      <c r="G95" s="246">
        <f t="shared" si="3"/>
        <v>-7865.49</v>
      </c>
      <c r="H95" s="245" t="s">
        <v>1497</v>
      </c>
      <c r="I95" s="246">
        <f t="shared" si="2"/>
        <v>-7865</v>
      </c>
      <c r="J95" s="247"/>
      <c r="K95" s="245"/>
      <c r="L95" s="245"/>
      <c r="M95" s="245"/>
      <c r="N95" s="249"/>
      <c r="O95" s="249"/>
      <c r="P95" s="252"/>
    </row>
    <row r="96" spans="1:16" s="241" customFormat="1" x14ac:dyDescent="0.4">
      <c r="A96" s="243" t="s">
        <v>1198</v>
      </c>
      <c r="B96" s="244" t="s">
        <v>1199</v>
      </c>
      <c r="C96" s="245">
        <v>-734.1</v>
      </c>
      <c r="D96" s="245"/>
      <c r="E96" s="245"/>
      <c r="F96" s="245"/>
      <c r="G96" s="246">
        <f t="shared" si="3"/>
        <v>-734.1</v>
      </c>
      <c r="H96" s="245" t="s">
        <v>1497</v>
      </c>
      <c r="I96" s="246">
        <f t="shared" si="2"/>
        <v>-734</v>
      </c>
      <c r="J96" s="247"/>
      <c r="K96" s="245"/>
      <c r="L96" s="245"/>
      <c r="M96" s="245"/>
      <c r="N96" s="249"/>
      <c r="O96" s="249"/>
      <c r="P96" s="252"/>
    </row>
    <row r="97" spans="1:19" s="241" customFormat="1" x14ac:dyDescent="0.4">
      <c r="A97" s="243" t="s">
        <v>1200</v>
      </c>
      <c r="B97" s="244" t="s">
        <v>1201</v>
      </c>
      <c r="C97" s="245">
        <v>516</v>
      </c>
      <c r="D97" s="245"/>
      <c r="E97" s="245"/>
      <c r="F97" s="245"/>
      <c r="G97" s="246">
        <f t="shared" si="3"/>
        <v>516</v>
      </c>
      <c r="H97" s="245" t="s">
        <v>1497</v>
      </c>
      <c r="I97" s="246">
        <f t="shared" si="2"/>
        <v>516</v>
      </c>
      <c r="J97" s="247"/>
      <c r="K97" s="245"/>
      <c r="L97" s="245"/>
      <c r="M97" s="245"/>
      <c r="N97" s="249"/>
      <c r="O97" s="249"/>
      <c r="P97" s="252"/>
    </row>
    <row r="98" spans="1:19" s="241" customFormat="1" x14ac:dyDescent="0.4">
      <c r="A98" s="243" t="s">
        <v>1202</v>
      </c>
      <c r="B98" s="244" t="s">
        <v>1203</v>
      </c>
      <c r="C98" s="245">
        <v>-5946.97</v>
      </c>
      <c r="D98" s="245"/>
      <c r="E98" s="245"/>
      <c r="F98" s="245"/>
      <c r="G98" s="246">
        <f t="shared" si="3"/>
        <v>-5946.97</v>
      </c>
      <c r="H98" s="245" t="s">
        <v>1497</v>
      </c>
      <c r="I98" s="246">
        <f t="shared" si="2"/>
        <v>-5947</v>
      </c>
      <c r="J98" s="247"/>
      <c r="K98" s="245"/>
      <c r="L98" s="245"/>
      <c r="M98" s="245"/>
      <c r="N98" s="249"/>
      <c r="O98" s="249"/>
      <c r="P98" s="252"/>
    </row>
    <row r="99" spans="1:19" s="241" customFormat="1" x14ac:dyDescent="0.4">
      <c r="A99" s="243" t="s">
        <v>1204</v>
      </c>
      <c r="B99" s="244" t="s">
        <v>1205</v>
      </c>
      <c r="C99" s="245">
        <v>-69692.34</v>
      </c>
      <c r="D99" s="245"/>
      <c r="E99" s="245"/>
      <c r="F99" s="245"/>
      <c r="G99" s="246">
        <f t="shared" si="3"/>
        <v>-69692.34</v>
      </c>
      <c r="H99" s="245" t="s">
        <v>1497</v>
      </c>
      <c r="I99" s="246">
        <f t="shared" si="2"/>
        <v>-69692</v>
      </c>
      <c r="J99" s="247">
        <f>SUM(I35:I102)</f>
        <v>-1338584</v>
      </c>
      <c r="K99" s="245"/>
      <c r="L99" s="245"/>
      <c r="M99" s="245"/>
      <c r="N99" s="249"/>
      <c r="O99" s="249"/>
      <c r="P99" s="252"/>
    </row>
    <row r="100" spans="1:19" s="241" customFormat="1" x14ac:dyDescent="0.4">
      <c r="A100" s="243" t="s">
        <v>1206</v>
      </c>
      <c r="B100" s="244" t="s">
        <v>1207</v>
      </c>
      <c r="C100" s="245">
        <v>-2660.23</v>
      </c>
      <c r="D100" s="245"/>
      <c r="E100" s="245"/>
      <c r="F100" s="245"/>
      <c r="G100" s="246">
        <f t="shared" si="3"/>
        <v>-2660.23</v>
      </c>
      <c r="H100" s="245" t="s">
        <v>1497</v>
      </c>
      <c r="I100" s="246">
        <f t="shared" si="2"/>
        <v>-2660</v>
      </c>
      <c r="J100" s="247">
        <v>1338586.3400000001</v>
      </c>
      <c r="K100" s="245"/>
      <c r="L100" s="245"/>
      <c r="M100" s="245"/>
      <c r="N100" s="249"/>
      <c r="O100" s="249"/>
      <c r="P100" s="252"/>
    </row>
    <row r="101" spans="1:19" s="241" customFormat="1" x14ac:dyDescent="0.4">
      <c r="A101" s="243" t="s">
        <v>1208</v>
      </c>
      <c r="B101" s="244" t="s">
        <v>1209</v>
      </c>
      <c r="C101" s="245">
        <v>-36427.75</v>
      </c>
      <c r="D101" s="245"/>
      <c r="E101" s="245"/>
      <c r="F101" s="245"/>
      <c r="G101" s="246">
        <f t="shared" si="3"/>
        <v>-36427.75</v>
      </c>
      <c r="H101" s="245" t="s">
        <v>1497</v>
      </c>
      <c r="I101" s="246">
        <f>ROUND(G101,0)</f>
        <v>-36428</v>
      </c>
      <c r="J101" s="247">
        <f>SUM(J99:J100)</f>
        <v>2.34</v>
      </c>
      <c r="K101" s="245"/>
      <c r="L101" s="245"/>
      <c r="M101" s="245"/>
      <c r="N101" s="249"/>
      <c r="O101" s="249"/>
      <c r="P101" s="252"/>
    </row>
    <row r="102" spans="1:19" s="241" customFormat="1" x14ac:dyDescent="0.4">
      <c r="A102" s="243" t="s">
        <v>1523</v>
      </c>
      <c r="B102" s="244" t="s">
        <v>1524</v>
      </c>
      <c r="C102" s="245">
        <v>0</v>
      </c>
      <c r="D102" s="245"/>
      <c r="E102" s="245"/>
      <c r="F102" s="245"/>
      <c r="G102" s="246">
        <f t="shared" si="3"/>
        <v>0</v>
      </c>
      <c r="H102" s="245" t="s">
        <v>1497</v>
      </c>
      <c r="I102" s="246">
        <f t="shared" si="2"/>
        <v>0</v>
      </c>
      <c r="J102" s="247"/>
      <c r="K102" s="245"/>
      <c r="L102" s="245"/>
      <c r="M102" s="245"/>
      <c r="N102" s="249"/>
      <c r="O102" s="249"/>
      <c r="P102" s="252"/>
    </row>
    <row r="103" spans="1:19" s="241" customFormat="1" x14ac:dyDescent="0.4">
      <c r="A103" s="243" t="s">
        <v>1210</v>
      </c>
      <c r="B103" s="244" t="s">
        <v>1211</v>
      </c>
      <c r="C103" s="245">
        <v>0</v>
      </c>
      <c r="D103" s="245"/>
      <c r="E103" s="245"/>
      <c r="F103" s="245"/>
      <c r="G103" s="246">
        <f t="shared" si="3"/>
        <v>0</v>
      </c>
      <c r="H103" s="245" t="s">
        <v>862</v>
      </c>
      <c r="I103" s="246">
        <f t="shared" si="2"/>
        <v>0</v>
      </c>
      <c r="J103" s="247">
        <f>SUM(I103:I105)</f>
        <v>10078</v>
      </c>
      <c r="K103" s="245"/>
      <c r="L103" s="245"/>
      <c r="M103" s="245"/>
      <c r="N103" s="249"/>
      <c r="O103" s="249"/>
      <c r="P103" s="252"/>
    </row>
    <row r="104" spans="1:19" s="241" customFormat="1" x14ac:dyDescent="0.4">
      <c r="A104" s="243" t="s">
        <v>1212</v>
      </c>
      <c r="B104" s="244" t="s">
        <v>161</v>
      </c>
      <c r="C104" s="245">
        <v>10077.86</v>
      </c>
      <c r="D104" s="245">
        <v>0</v>
      </c>
      <c r="E104" s="245"/>
      <c r="F104" s="245"/>
      <c r="G104" s="246">
        <f t="shared" si="3"/>
        <v>10077.86</v>
      </c>
      <c r="H104" s="245" t="s">
        <v>1500</v>
      </c>
      <c r="I104" s="246">
        <f t="shared" si="2"/>
        <v>10078</v>
      </c>
      <c r="J104" s="247">
        <v>-10077.86</v>
      </c>
      <c r="K104" s="245"/>
      <c r="L104" s="245"/>
      <c r="M104" s="245"/>
      <c r="N104" s="249"/>
      <c r="O104" s="249"/>
      <c r="P104" s="252"/>
    </row>
    <row r="105" spans="1:19" s="241" customFormat="1" x14ac:dyDescent="0.4">
      <c r="A105" s="243" t="s">
        <v>1213</v>
      </c>
      <c r="B105" s="244" t="s">
        <v>900</v>
      </c>
      <c r="C105" s="245">
        <v>0</v>
      </c>
      <c r="D105" s="245"/>
      <c r="E105" s="245"/>
      <c r="F105" s="245"/>
      <c r="G105" s="246">
        <f t="shared" si="3"/>
        <v>0</v>
      </c>
      <c r="H105" s="245" t="s">
        <v>1500</v>
      </c>
      <c r="I105" s="246">
        <f t="shared" si="2"/>
        <v>0</v>
      </c>
      <c r="J105" s="247">
        <f>SUM(J103:J104)</f>
        <v>0.14000000000000001</v>
      </c>
      <c r="K105" s="245"/>
      <c r="L105" s="245"/>
      <c r="M105" s="245"/>
      <c r="N105" s="249"/>
      <c r="O105" s="249"/>
      <c r="P105" s="252"/>
    </row>
    <row r="106" spans="1:19" s="241" customFormat="1" x14ac:dyDescent="0.4">
      <c r="A106" s="243" t="s">
        <v>1214</v>
      </c>
      <c r="B106" s="244" t="s">
        <v>1215</v>
      </c>
      <c r="C106" s="245">
        <v>0</v>
      </c>
      <c r="D106" s="245"/>
      <c r="E106" s="245"/>
      <c r="F106" s="245"/>
      <c r="G106" s="246">
        <f t="shared" si="3"/>
        <v>0</v>
      </c>
      <c r="H106" s="245" t="s">
        <v>862</v>
      </c>
      <c r="I106" s="246">
        <f t="shared" si="2"/>
        <v>0</v>
      </c>
      <c r="J106" s="247"/>
      <c r="K106" s="245"/>
      <c r="L106" s="245"/>
      <c r="M106" s="245"/>
      <c r="N106" s="249"/>
      <c r="O106" s="249"/>
      <c r="P106" s="252"/>
    </row>
    <row r="107" spans="1:19" s="241" customFormat="1" x14ac:dyDescent="0.4">
      <c r="A107" s="243" t="s">
        <v>1218</v>
      </c>
      <c r="B107" s="244" t="s">
        <v>1219</v>
      </c>
      <c r="C107" s="245">
        <v>8120.54</v>
      </c>
      <c r="D107" s="245"/>
      <c r="E107" s="245"/>
      <c r="F107" s="245"/>
      <c r="G107" s="246">
        <f t="shared" si="3"/>
        <v>8120.54</v>
      </c>
      <c r="H107" s="245" t="s">
        <v>292</v>
      </c>
      <c r="I107" s="246">
        <f t="shared" si="2"/>
        <v>8121</v>
      </c>
      <c r="J107" s="247"/>
      <c r="K107" s="245"/>
      <c r="L107" s="245"/>
      <c r="M107" s="245"/>
      <c r="N107" s="249"/>
      <c r="O107" s="249"/>
      <c r="P107" s="252"/>
      <c r="S107" s="228"/>
    </row>
    <row r="108" spans="1:19" s="241" customFormat="1" x14ac:dyDescent="0.4">
      <c r="A108" s="243" t="s">
        <v>1220</v>
      </c>
      <c r="B108" s="244" t="s">
        <v>1221</v>
      </c>
      <c r="C108" s="245">
        <v>0</v>
      </c>
      <c r="D108" s="245"/>
      <c r="E108" s="245"/>
      <c r="F108" s="245"/>
      <c r="G108" s="246">
        <f t="shared" si="3"/>
        <v>0</v>
      </c>
      <c r="H108" s="245" t="s">
        <v>292</v>
      </c>
      <c r="I108" s="246">
        <f t="shared" si="2"/>
        <v>0</v>
      </c>
      <c r="J108" s="247"/>
      <c r="K108" s="245"/>
      <c r="L108" s="245"/>
      <c r="M108" s="245"/>
      <c r="N108" s="249"/>
      <c r="O108" s="249"/>
      <c r="P108" s="252"/>
      <c r="S108" s="228"/>
    </row>
    <row r="109" spans="1:19" s="241" customFormat="1" ht="14.35" x14ac:dyDescent="0.5">
      <c r="A109" s="243" t="s">
        <v>1222</v>
      </c>
      <c r="B109" s="244" t="s">
        <v>1223</v>
      </c>
      <c r="C109" s="245">
        <v>-73368.570000000007</v>
      </c>
      <c r="D109" s="245"/>
      <c r="E109" s="245"/>
      <c r="F109" s="245"/>
      <c r="G109" s="246">
        <f t="shared" si="3"/>
        <v>-73368.570000000007</v>
      </c>
      <c r="H109" s="245" t="s">
        <v>1497</v>
      </c>
      <c r="I109" s="246">
        <f t="shared" si="2"/>
        <v>-73369</v>
      </c>
      <c r="J109" s="247">
        <f>SUM(I106:I113)</f>
        <v>-238740</v>
      </c>
      <c r="K109" s="245"/>
      <c r="L109" s="98" t="s">
        <v>1568</v>
      </c>
      <c r="M109" s="10"/>
      <c r="N109" s="10"/>
      <c r="O109" s="10"/>
      <c r="P109" s="252"/>
    </row>
    <row r="110" spans="1:19" s="241" customFormat="1" ht="13" x14ac:dyDescent="0.45">
      <c r="A110" s="253" t="s">
        <v>1273</v>
      </c>
      <c r="B110" s="244" t="s">
        <v>1274</v>
      </c>
      <c r="C110" s="245">
        <v>-20416.59</v>
      </c>
      <c r="D110" s="245"/>
      <c r="E110" s="245"/>
      <c r="F110" s="245"/>
      <c r="G110" s="402">
        <f t="shared" si="3"/>
        <v>-20416.59</v>
      </c>
      <c r="H110" s="245" t="s">
        <v>290</v>
      </c>
      <c r="I110" s="246">
        <f t="shared" si="2"/>
        <v>-20417</v>
      </c>
      <c r="J110" s="247">
        <v>348021.49</v>
      </c>
      <c r="K110" s="245"/>
      <c r="L110" s="399">
        <f>C115*29.5%</f>
        <v>153075.35</v>
      </c>
      <c r="M110" s="411"/>
      <c r="N110" s="10"/>
      <c r="O110" s="10"/>
      <c r="P110" s="252"/>
      <c r="S110" s="228"/>
    </row>
    <row r="111" spans="1:19" s="241" customFormat="1" ht="13" x14ac:dyDescent="0.45">
      <c r="A111" s="243" t="s">
        <v>1226</v>
      </c>
      <c r="B111" s="244" t="s">
        <v>1227</v>
      </c>
      <c r="C111" s="245">
        <v>-61230.14</v>
      </c>
      <c r="D111" s="245"/>
      <c r="E111" s="245"/>
      <c r="F111" s="245"/>
      <c r="G111" s="246">
        <f t="shared" si="3"/>
        <v>-61230.14</v>
      </c>
      <c r="H111" s="245" t="s">
        <v>299</v>
      </c>
      <c r="I111" s="246">
        <f t="shared" si="2"/>
        <v>-61230</v>
      </c>
      <c r="J111" s="247">
        <f>SUM(J109:J110)</f>
        <v>109281.49</v>
      </c>
      <c r="K111" s="245"/>
      <c r="L111" s="412">
        <f>L110*60%</f>
        <v>91845.21</v>
      </c>
      <c r="M111" s="411" t="s">
        <v>1569</v>
      </c>
      <c r="N111" s="10"/>
      <c r="O111" s="10"/>
      <c r="P111" s="252"/>
    </row>
    <row r="112" spans="1:19" s="241" customFormat="1" ht="13" x14ac:dyDescent="0.45">
      <c r="A112" s="243" t="s">
        <v>1228</v>
      </c>
      <c r="B112" s="244" t="s">
        <v>1229</v>
      </c>
      <c r="C112" s="245">
        <v>-91845.21</v>
      </c>
      <c r="D112" s="245">
        <v>0</v>
      </c>
      <c r="E112" s="245"/>
      <c r="F112" s="245"/>
      <c r="G112" s="246">
        <f>SUM(C112:F112)</f>
        <v>-91845.21</v>
      </c>
      <c r="H112" s="245" t="s">
        <v>299</v>
      </c>
      <c r="I112" s="246">
        <f>ROUND(G112,0)</f>
        <v>-91845</v>
      </c>
      <c r="J112" s="247"/>
      <c r="K112" s="245"/>
      <c r="L112" s="399">
        <f>L110*40%</f>
        <v>61230.14</v>
      </c>
      <c r="M112" s="411" t="s">
        <v>1570</v>
      </c>
      <c r="N112" s="10"/>
      <c r="O112" s="10"/>
      <c r="P112" s="252"/>
    </row>
    <row r="113" spans="1:19" s="241" customFormat="1" x14ac:dyDescent="0.4">
      <c r="A113" s="243" t="s">
        <v>1230</v>
      </c>
      <c r="B113" s="244" t="s">
        <v>1231</v>
      </c>
      <c r="C113" s="245">
        <v>0</v>
      </c>
      <c r="D113" s="245"/>
      <c r="E113" s="245"/>
      <c r="F113" s="245"/>
      <c r="G113" s="246">
        <f>SUM(C113:F113)</f>
        <v>0</v>
      </c>
      <c r="H113" s="245" t="s">
        <v>292</v>
      </c>
      <c r="I113" s="246">
        <f t="shared" si="2"/>
        <v>0</v>
      </c>
      <c r="J113" s="247"/>
      <c r="K113" s="245"/>
      <c r="L113" s="245"/>
      <c r="M113" s="245"/>
      <c r="N113" s="249"/>
      <c r="O113" s="249"/>
      <c r="P113" s="252"/>
    </row>
    <row r="114" spans="1:19" s="241" customFormat="1" x14ac:dyDescent="0.4">
      <c r="A114" s="230"/>
      <c r="B114" s="237"/>
      <c r="C114" s="256">
        <f>SUM(C6:C113)</f>
        <v>365824.13</v>
      </c>
      <c r="D114" s="256">
        <f>SUM(D6:D113)</f>
        <v>0</v>
      </c>
      <c r="E114" s="256">
        <f>SUM(E6:E113)</f>
        <v>0</v>
      </c>
      <c r="F114" s="256">
        <f>SUM(F6:F113)</f>
        <v>0</v>
      </c>
      <c r="G114" s="256">
        <f>SUM(G6:G113)</f>
        <v>365824.13</v>
      </c>
      <c r="H114" s="257"/>
      <c r="I114" s="256">
        <f>SUM(I6:I113)</f>
        <v>365829</v>
      </c>
      <c r="J114" s="247"/>
      <c r="K114" s="245"/>
      <c r="L114" s="245"/>
      <c r="M114" s="245"/>
      <c r="N114" s="249"/>
      <c r="O114" s="249"/>
      <c r="P114" s="252"/>
    </row>
    <row r="115" spans="1:19" s="241" customFormat="1" x14ac:dyDescent="0.4">
      <c r="A115" s="230"/>
      <c r="B115" s="237"/>
      <c r="C115" s="258">
        <f>SUM(C6:C110)</f>
        <v>518899.48</v>
      </c>
      <c r="D115" s="228"/>
      <c r="E115" s="228"/>
      <c r="F115" s="228"/>
      <c r="G115" s="229"/>
      <c r="H115" s="230"/>
      <c r="I115" s="229"/>
      <c r="J115" s="259"/>
      <c r="K115" s="228"/>
      <c r="L115" s="228">
        <f>G111+L112</f>
        <v>0</v>
      </c>
      <c r="M115" s="228"/>
      <c r="N115" s="249"/>
      <c r="O115" s="249"/>
      <c r="P115" s="252"/>
    </row>
    <row r="116" spans="1:19" s="241" customFormat="1" x14ac:dyDescent="0.4">
      <c r="A116" s="230"/>
      <c r="B116" s="237"/>
      <c r="C116" s="228">
        <f>C115-C114</f>
        <v>153075.35</v>
      </c>
      <c r="D116" s="228"/>
      <c r="E116" s="228"/>
      <c r="F116" s="228"/>
      <c r="G116" s="229"/>
      <c r="H116" s="230"/>
      <c r="I116" s="229"/>
      <c r="J116" s="259"/>
      <c r="K116" s="228"/>
      <c r="L116" s="228">
        <f>G112+L111</f>
        <v>0</v>
      </c>
      <c r="M116" s="228"/>
      <c r="N116" s="249"/>
      <c r="O116" s="249"/>
      <c r="P116" s="252"/>
    </row>
    <row r="117" spans="1:19" s="228" customFormat="1" x14ac:dyDescent="0.4">
      <c r="A117" s="230"/>
      <c r="B117" s="237"/>
      <c r="C117" s="258"/>
      <c r="D117" s="238"/>
      <c r="E117" s="238"/>
      <c r="F117" s="238"/>
      <c r="G117" s="229"/>
      <c r="H117" s="230"/>
      <c r="I117" s="229"/>
      <c r="J117" s="259"/>
      <c r="N117" s="249"/>
      <c r="O117" s="249"/>
      <c r="P117" s="252"/>
      <c r="Q117" s="241"/>
      <c r="R117" s="241"/>
      <c r="S117" s="241"/>
    </row>
    <row r="118" spans="1:19" s="228" customFormat="1" x14ac:dyDescent="0.4">
      <c r="A118" s="230"/>
      <c r="B118" s="237"/>
      <c r="C118" s="258"/>
      <c r="G118" s="229"/>
      <c r="H118" s="230"/>
      <c r="I118" s="260"/>
      <c r="J118" s="231"/>
      <c r="N118" s="249"/>
      <c r="O118" s="249"/>
      <c r="P118" s="252"/>
      <c r="Q118" s="241"/>
      <c r="R118" s="241"/>
      <c r="S118" s="241"/>
    </row>
    <row r="119" spans="1:19" s="241" customFormat="1" x14ac:dyDescent="0.4">
      <c r="A119" s="230"/>
      <c r="B119" s="232"/>
      <c r="C119" s="258"/>
      <c r="D119" s="228"/>
      <c r="E119" s="228"/>
      <c r="F119" s="228"/>
      <c r="G119" s="229"/>
      <c r="H119" s="230"/>
      <c r="I119" s="229"/>
      <c r="J119" s="261"/>
      <c r="K119" s="228"/>
      <c r="L119" s="228"/>
      <c r="M119" s="228"/>
      <c r="N119" s="249"/>
      <c r="O119" s="249"/>
      <c r="P119" s="252"/>
    </row>
    <row r="120" spans="1:19" s="228" customFormat="1" x14ac:dyDescent="0.4">
      <c r="A120" s="230"/>
      <c r="B120" s="232"/>
      <c r="C120" s="258"/>
      <c r="G120" s="229"/>
      <c r="H120" s="230"/>
      <c r="I120" s="229"/>
      <c r="J120" s="261"/>
      <c r="N120" s="249"/>
      <c r="O120" s="249"/>
      <c r="P120" s="252"/>
      <c r="Q120" s="241"/>
      <c r="R120" s="241"/>
      <c r="S120" s="241"/>
    </row>
    <row r="121" spans="1:19" s="241" customFormat="1" x14ac:dyDescent="0.4">
      <c r="A121" s="230"/>
      <c r="B121" s="232"/>
      <c r="C121" s="258" t="s">
        <v>261</v>
      </c>
      <c r="D121" s="228"/>
      <c r="E121" s="228"/>
      <c r="F121" s="228"/>
      <c r="G121" s="229"/>
      <c r="H121" s="230"/>
      <c r="I121" s="229"/>
      <c r="J121" s="261"/>
      <c r="K121" s="228"/>
      <c r="L121" s="228"/>
      <c r="M121" s="228"/>
      <c r="N121" s="249"/>
      <c r="O121" s="249"/>
      <c r="P121" s="252"/>
    </row>
    <row r="122" spans="1:19" s="241" customFormat="1" x14ac:dyDescent="0.4">
      <c r="A122" s="230"/>
      <c r="B122" s="232"/>
      <c r="C122" s="258"/>
      <c r="D122" s="228"/>
      <c r="E122" s="228"/>
      <c r="F122" s="228"/>
      <c r="G122" s="229"/>
      <c r="H122" s="230"/>
      <c r="I122" s="229"/>
      <c r="J122" s="261"/>
      <c r="K122" s="228"/>
      <c r="L122" s="228"/>
      <c r="M122" s="228"/>
      <c r="N122" s="249"/>
      <c r="O122" s="249"/>
      <c r="P122" s="252"/>
    </row>
    <row r="123" spans="1:19" s="241" customFormat="1" x14ac:dyDescent="0.4">
      <c r="A123" s="230"/>
      <c r="B123" s="232"/>
      <c r="C123" s="258"/>
      <c r="D123" s="228"/>
      <c r="E123" s="228"/>
      <c r="F123" s="228"/>
      <c r="G123" s="229"/>
      <c r="H123" s="230"/>
      <c r="I123" s="229"/>
      <c r="J123" s="261"/>
      <c r="K123" s="228"/>
      <c r="L123" s="228"/>
      <c r="M123" s="228"/>
      <c r="N123" s="249"/>
      <c r="O123" s="249"/>
      <c r="P123" s="252"/>
    </row>
    <row r="124" spans="1:19" s="241" customFormat="1" x14ac:dyDescent="0.4">
      <c r="A124" s="230"/>
      <c r="B124" s="232"/>
      <c r="C124" s="258"/>
      <c r="D124" s="228"/>
      <c r="E124" s="228"/>
      <c r="F124" s="228"/>
      <c r="G124" s="229"/>
      <c r="H124" s="230"/>
      <c r="I124" s="229"/>
      <c r="J124" s="261"/>
      <c r="K124" s="228"/>
      <c r="L124" s="228"/>
      <c r="M124" s="228"/>
      <c r="N124" s="249"/>
      <c r="O124" s="249"/>
      <c r="P124" s="252"/>
    </row>
    <row r="125" spans="1:19" s="241" customFormat="1" x14ac:dyDescent="0.4">
      <c r="A125" s="230"/>
      <c r="B125" s="232"/>
      <c r="C125" s="228"/>
      <c r="D125" s="228"/>
      <c r="E125" s="228"/>
      <c r="F125" s="228"/>
      <c r="G125" s="229"/>
      <c r="H125" s="230"/>
      <c r="I125" s="229"/>
      <c r="J125" s="261"/>
      <c r="K125" s="228"/>
      <c r="L125" s="228"/>
      <c r="M125" s="228"/>
      <c r="N125" s="249"/>
      <c r="O125" s="249"/>
      <c r="P125" s="252"/>
    </row>
    <row r="126" spans="1:19" s="241" customFormat="1" x14ac:dyDescent="0.4">
      <c r="A126" s="230"/>
      <c r="B126" s="232"/>
      <c r="C126" s="228"/>
      <c r="D126" s="228"/>
      <c r="E126" s="228"/>
      <c r="F126" s="228"/>
      <c r="G126" s="229"/>
      <c r="H126" s="230"/>
      <c r="I126" s="229"/>
      <c r="J126" s="261"/>
      <c r="K126" s="228"/>
      <c r="L126" s="228"/>
      <c r="M126" s="228"/>
      <c r="N126" s="249"/>
      <c r="O126" s="249"/>
      <c r="P126" s="252"/>
    </row>
    <row r="127" spans="1:19" s="241" customFormat="1" x14ac:dyDescent="0.4">
      <c r="A127" s="230"/>
      <c r="B127" s="232"/>
      <c r="C127" s="228"/>
      <c r="D127" s="228"/>
      <c r="E127" s="228"/>
      <c r="F127" s="228"/>
      <c r="G127" s="229"/>
      <c r="H127" s="230"/>
      <c r="I127" s="229"/>
      <c r="J127" s="261"/>
      <c r="K127" s="228"/>
      <c r="L127" s="228"/>
      <c r="M127" s="228"/>
      <c r="N127" s="249"/>
      <c r="O127" s="249"/>
      <c r="P127" s="252"/>
    </row>
    <row r="128" spans="1:19" s="241" customFormat="1" x14ac:dyDescent="0.4">
      <c r="A128" s="230"/>
      <c r="B128" s="232"/>
      <c r="C128" s="228"/>
      <c r="D128" s="228"/>
      <c r="E128" s="228"/>
      <c r="F128" s="228"/>
      <c r="G128" s="229"/>
      <c r="H128" s="230"/>
      <c r="I128" s="229"/>
      <c r="J128" s="261"/>
      <c r="K128" s="228"/>
      <c r="L128" s="228"/>
      <c r="M128" s="228"/>
      <c r="N128" s="249"/>
      <c r="O128" s="249"/>
      <c r="P128" s="252"/>
    </row>
    <row r="129" spans="1:19" s="241" customFormat="1" x14ac:dyDescent="0.4">
      <c r="A129" s="230"/>
      <c r="B129" s="237"/>
      <c r="C129" s="228"/>
      <c r="D129" s="228"/>
      <c r="E129" s="228"/>
      <c r="F129" s="228"/>
      <c r="G129" s="229"/>
      <c r="H129" s="230"/>
      <c r="I129" s="229"/>
      <c r="J129" s="261"/>
      <c r="K129" s="228"/>
      <c r="L129" s="228"/>
      <c r="M129" s="228"/>
      <c r="N129" s="249"/>
      <c r="O129" s="249"/>
      <c r="P129" s="252"/>
    </row>
    <row r="130" spans="1:19" s="241" customFormat="1" x14ac:dyDescent="0.4">
      <c r="A130" s="230"/>
      <c r="B130" s="237"/>
      <c r="C130" s="228"/>
      <c r="D130" s="228"/>
      <c r="E130" s="228"/>
      <c r="F130" s="228"/>
      <c r="G130" s="229"/>
      <c r="H130" s="230"/>
      <c r="I130" s="229"/>
      <c r="J130" s="261"/>
      <c r="K130" s="228"/>
      <c r="L130" s="228"/>
      <c r="M130" s="228"/>
      <c r="N130" s="249"/>
      <c r="O130" s="249"/>
      <c r="P130" s="252"/>
      <c r="S130" s="232"/>
    </row>
    <row r="131" spans="1:19" s="241" customFormat="1" x14ac:dyDescent="0.4">
      <c r="A131" s="230"/>
      <c r="B131" s="237"/>
      <c r="C131" s="228"/>
      <c r="D131" s="228"/>
      <c r="E131" s="228"/>
      <c r="F131" s="228"/>
      <c r="G131" s="229"/>
      <c r="H131" s="230"/>
      <c r="I131" s="229"/>
      <c r="J131" s="231"/>
      <c r="K131" s="228"/>
      <c r="L131" s="228"/>
      <c r="M131" s="228"/>
      <c r="N131" s="249"/>
      <c r="O131" s="249"/>
      <c r="P131" s="252"/>
      <c r="S131" s="232"/>
    </row>
    <row r="132" spans="1:19" s="241" customFormat="1" x14ac:dyDescent="0.4">
      <c r="A132" s="230"/>
      <c r="B132" s="237"/>
      <c r="C132" s="228"/>
      <c r="D132" s="228"/>
      <c r="E132" s="228"/>
      <c r="F132" s="228"/>
      <c r="G132" s="229"/>
      <c r="H132" s="230"/>
      <c r="I132" s="229"/>
      <c r="J132" s="231"/>
      <c r="K132" s="228"/>
      <c r="L132" s="228"/>
      <c r="M132" s="228"/>
      <c r="N132" s="249"/>
      <c r="O132" s="249"/>
      <c r="P132" s="252"/>
      <c r="S132" s="232"/>
    </row>
    <row r="133" spans="1:19" s="241" customFormat="1" x14ac:dyDescent="0.4">
      <c r="A133" s="230"/>
      <c r="B133" s="237"/>
      <c r="C133" s="228"/>
      <c r="D133" s="228"/>
      <c r="E133" s="228"/>
      <c r="F133" s="228"/>
      <c r="G133" s="229"/>
      <c r="H133" s="230"/>
      <c r="I133" s="229"/>
      <c r="J133" s="231"/>
      <c r="K133" s="228"/>
      <c r="L133" s="228"/>
      <c r="M133" s="228"/>
      <c r="N133" s="249"/>
      <c r="O133" s="249"/>
      <c r="P133" s="252"/>
      <c r="S133" s="232"/>
    </row>
    <row r="134" spans="1:19" s="241" customFormat="1" x14ac:dyDescent="0.4">
      <c r="A134" s="230"/>
      <c r="B134" s="237"/>
      <c r="C134" s="228"/>
      <c r="D134" s="228"/>
      <c r="E134" s="228"/>
      <c r="F134" s="228"/>
      <c r="G134" s="229"/>
      <c r="H134" s="230"/>
      <c r="I134" s="229"/>
      <c r="J134" s="231"/>
      <c r="K134" s="228"/>
      <c r="L134" s="228"/>
      <c r="M134" s="228"/>
      <c r="N134" s="249"/>
      <c r="O134" s="249"/>
      <c r="P134" s="252"/>
      <c r="S134" s="232"/>
    </row>
    <row r="135" spans="1:19" s="241" customFormat="1" x14ac:dyDescent="0.4">
      <c r="A135" s="230"/>
      <c r="B135" s="237"/>
      <c r="C135" s="228"/>
      <c r="D135" s="228"/>
      <c r="E135" s="228"/>
      <c r="F135" s="228"/>
      <c r="G135" s="229"/>
      <c r="H135" s="230"/>
      <c r="I135" s="229"/>
      <c r="J135" s="231"/>
      <c r="K135" s="228"/>
      <c r="L135" s="228"/>
      <c r="M135" s="228"/>
      <c r="N135" s="249"/>
      <c r="O135" s="249"/>
      <c r="P135" s="252"/>
      <c r="S135" s="232"/>
    </row>
    <row r="136" spans="1:19" s="241" customFormat="1" x14ac:dyDescent="0.4">
      <c r="A136" s="230"/>
      <c r="B136" s="237"/>
      <c r="C136" s="228"/>
      <c r="D136" s="228"/>
      <c r="E136" s="228"/>
      <c r="F136" s="228"/>
      <c r="G136" s="229"/>
      <c r="H136" s="230"/>
      <c r="I136" s="229"/>
      <c r="J136" s="231"/>
      <c r="K136" s="228"/>
      <c r="L136" s="228"/>
      <c r="M136" s="228"/>
      <c r="N136" s="249"/>
      <c r="O136" s="249"/>
      <c r="P136" s="252"/>
      <c r="S136" s="232"/>
    </row>
    <row r="137" spans="1:19" s="241" customFormat="1" x14ac:dyDescent="0.4">
      <c r="A137" s="230"/>
      <c r="B137" s="237"/>
      <c r="C137" s="228"/>
      <c r="D137" s="228"/>
      <c r="E137" s="228"/>
      <c r="F137" s="228"/>
      <c r="G137" s="229"/>
      <c r="H137" s="230"/>
      <c r="I137" s="229"/>
      <c r="J137" s="231"/>
      <c r="K137" s="228"/>
      <c r="L137" s="228"/>
      <c r="M137" s="228"/>
      <c r="N137" s="249"/>
      <c r="O137" s="249"/>
      <c r="P137" s="252"/>
      <c r="S137" s="232"/>
    </row>
    <row r="138" spans="1:19" s="241" customFormat="1" x14ac:dyDescent="0.4">
      <c r="A138" s="230"/>
      <c r="B138" s="237"/>
      <c r="C138" s="228"/>
      <c r="D138" s="228"/>
      <c r="E138" s="228"/>
      <c r="F138" s="228"/>
      <c r="G138" s="229"/>
      <c r="H138" s="230"/>
      <c r="I138" s="229"/>
      <c r="J138" s="231"/>
      <c r="K138" s="228"/>
      <c r="L138" s="228"/>
      <c r="M138" s="228"/>
      <c r="N138" s="249"/>
      <c r="O138" s="249"/>
      <c r="P138" s="252"/>
      <c r="S138" s="232"/>
    </row>
    <row r="139" spans="1:19" s="241" customFormat="1" x14ac:dyDescent="0.4">
      <c r="A139" s="230"/>
      <c r="B139" s="237"/>
      <c r="C139" s="228"/>
      <c r="D139" s="228"/>
      <c r="E139" s="228"/>
      <c r="F139" s="228"/>
      <c r="G139" s="229"/>
      <c r="H139" s="230"/>
      <c r="I139" s="229"/>
      <c r="J139" s="231"/>
      <c r="K139" s="228"/>
      <c r="L139" s="228"/>
      <c r="M139" s="228"/>
      <c r="N139" s="249"/>
      <c r="O139" s="249"/>
      <c r="P139" s="252"/>
      <c r="S139" s="232"/>
    </row>
    <row r="140" spans="1:19" x14ac:dyDescent="0.4">
      <c r="K140" s="228"/>
      <c r="L140" s="228"/>
      <c r="M140" s="228"/>
      <c r="N140" s="249"/>
      <c r="O140" s="249"/>
      <c r="P140" s="252"/>
      <c r="Q140" s="241"/>
      <c r="R140" s="241"/>
    </row>
    <row r="141" spans="1:19" x14ac:dyDescent="0.4">
      <c r="K141" s="228"/>
      <c r="L141" s="228"/>
      <c r="M141" s="228"/>
      <c r="N141" s="249"/>
      <c r="O141" s="249"/>
      <c r="P141" s="252"/>
      <c r="Q141" s="241"/>
      <c r="R141" s="241"/>
    </row>
    <row r="142" spans="1:19" x14ac:dyDescent="0.4">
      <c r="K142" s="228"/>
      <c r="L142" s="228"/>
      <c r="M142" s="228"/>
      <c r="N142" s="249"/>
      <c r="O142" s="249"/>
      <c r="P142" s="252"/>
      <c r="Q142" s="241"/>
      <c r="R142" s="241"/>
    </row>
    <row r="143" spans="1:19" x14ac:dyDescent="0.4">
      <c r="K143" s="228"/>
      <c r="L143" s="228"/>
      <c r="N143" s="249"/>
      <c r="O143" s="249"/>
      <c r="P143" s="252"/>
      <c r="Q143" s="241"/>
      <c r="R143" s="241"/>
    </row>
    <row r="144" spans="1:19" x14ac:dyDescent="0.4">
      <c r="K144" s="228"/>
      <c r="N144" s="249"/>
      <c r="O144" s="249"/>
      <c r="P144" s="252"/>
      <c r="Q144" s="241"/>
      <c r="R144" s="241"/>
    </row>
    <row r="145" spans="11:18" x14ac:dyDescent="0.4">
      <c r="K145" s="228"/>
      <c r="N145" s="249"/>
      <c r="O145" s="249"/>
      <c r="P145" s="252"/>
      <c r="Q145" s="241"/>
      <c r="R145" s="241"/>
    </row>
    <row r="146" spans="11:18" x14ac:dyDescent="0.4">
      <c r="K146" s="228"/>
      <c r="N146" s="249"/>
      <c r="O146" s="249"/>
      <c r="P146" s="252"/>
      <c r="Q146" s="241"/>
      <c r="R146" s="241"/>
    </row>
    <row r="147" spans="11:18" x14ac:dyDescent="0.4">
      <c r="K147" s="228"/>
      <c r="N147" s="249"/>
      <c r="O147" s="249"/>
      <c r="P147" s="252"/>
      <c r="Q147" s="241"/>
      <c r="R147" s="241"/>
    </row>
    <row r="148" spans="11:18" x14ac:dyDescent="0.4">
      <c r="K148" s="228"/>
    </row>
  </sheetData>
  <pageMargins left="0.7" right="0.7" top="0.75" bottom="0.75" header="0.3" footer="0.3"/>
  <pageSetup orientation="portrait"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3"/>
  <dimension ref="A1:M328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1.05859375" style="2" customWidth="1"/>
    <col min="2" max="2" width="31" style="2" bestFit="1" customWidth="1"/>
    <col min="3" max="3" width="14.05859375" style="17" hidden="1" customWidth="1" outlineLevel="1"/>
    <col min="4" max="4" width="11.64453125" style="17" hidden="1" customWidth="1" outlineLevel="1"/>
    <col min="5" max="5" width="13.52734375" style="17" hidden="1" customWidth="1" outlineLevel="1"/>
    <col min="6" max="6" width="12" style="17" hidden="1" customWidth="1" outlineLevel="1"/>
    <col min="7" max="7" width="14.87890625" style="18" hidden="1" customWidth="1" outlineLevel="1"/>
    <col min="8" max="8" width="19" style="76" hidden="1" customWidth="1" outlineLevel="1"/>
    <col min="9" max="9" width="14.52734375" style="18" customWidth="1" collapsed="1"/>
    <col min="10" max="10" width="14.52734375" style="2" customWidth="1"/>
    <col min="11" max="11" width="13.87890625" style="2" customWidth="1"/>
    <col min="12" max="12" width="17.29296875" style="2" customWidth="1"/>
    <col min="13" max="13" width="14.17578125" style="2" customWidth="1"/>
    <col min="14" max="16384" width="9.05859375" style="2"/>
  </cols>
  <sheetData>
    <row r="1" spans="1:13" x14ac:dyDescent="0.4">
      <c r="A1" s="1" t="s">
        <v>901</v>
      </c>
    </row>
    <row r="2" spans="1:13" x14ac:dyDescent="0.4">
      <c r="A2" s="1" t="s">
        <v>482</v>
      </c>
    </row>
    <row r="3" spans="1:13" x14ac:dyDescent="0.4">
      <c r="A3" s="3">
        <v>43159</v>
      </c>
      <c r="D3" s="14" t="s">
        <v>261</v>
      </c>
      <c r="E3" s="14"/>
      <c r="F3" s="14"/>
      <c r="G3" s="19"/>
      <c r="H3" s="4"/>
    </row>
    <row r="4" spans="1:13" x14ac:dyDescent="0.4">
      <c r="B4" s="5" t="s">
        <v>261</v>
      </c>
    </row>
    <row r="5" spans="1:13" x14ac:dyDescent="0.4">
      <c r="A5" s="2" t="s">
        <v>484</v>
      </c>
      <c r="B5" s="68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18" t="s">
        <v>1</v>
      </c>
      <c r="H5" s="76" t="s">
        <v>280</v>
      </c>
      <c r="I5" s="19" t="s">
        <v>281</v>
      </c>
      <c r="L5" s="416" t="s">
        <v>282</v>
      </c>
      <c r="M5" s="416" t="s">
        <v>284</v>
      </c>
    </row>
    <row r="6" spans="1:13" x14ac:dyDescent="0.4">
      <c r="A6" s="68" t="s">
        <v>971</v>
      </c>
      <c r="B6" s="68" t="s">
        <v>903</v>
      </c>
      <c r="C6" s="82">
        <v>27019.53</v>
      </c>
      <c r="D6" s="78"/>
      <c r="E6" s="78"/>
      <c r="F6" s="78"/>
      <c r="G6" s="79">
        <f t="shared" ref="G6:G69" si="0">SUM(C6:F6)</f>
        <v>27019.53</v>
      </c>
      <c r="H6" s="78" t="s">
        <v>264</v>
      </c>
      <c r="I6" s="79">
        <f>G6</f>
        <v>27019.53</v>
      </c>
      <c r="L6" s="417" t="s">
        <v>264</v>
      </c>
      <c r="M6" s="418">
        <v>55122.37</v>
      </c>
    </row>
    <row r="7" spans="1:13" x14ac:dyDescent="0.4">
      <c r="A7" s="68" t="s">
        <v>972</v>
      </c>
      <c r="B7" s="68" t="s">
        <v>904</v>
      </c>
      <c r="C7" s="82">
        <v>16654.03</v>
      </c>
      <c r="D7" s="78"/>
      <c r="E7" s="78"/>
      <c r="F7" s="78"/>
      <c r="G7" s="79">
        <f t="shared" si="0"/>
        <v>16654.03</v>
      </c>
      <c r="H7" s="78" t="s">
        <v>264</v>
      </c>
      <c r="I7" s="79">
        <f t="shared" ref="I7:I70" si="1">G7</f>
        <v>16654.03</v>
      </c>
      <c r="L7" s="417" t="s">
        <v>265</v>
      </c>
      <c r="M7" s="418">
        <v>838210.08</v>
      </c>
    </row>
    <row r="8" spans="1:13" x14ac:dyDescent="0.4">
      <c r="A8" s="68" t="s">
        <v>973</v>
      </c>
      <c r="B8" s="68" t="s">
        <v>905</v>
      </c>
      <c r="C8" s="82">
        <v>0</v>
      </c>
      <c r="D8" s="78"/>
      <c r="E8" s="78"/>
      <c r="F8" s="78"/>
      <c r="G8" s="79">
        <f t="shared" si="0"/>
        <v>0</v>
      </c>
      <c r="H8" s="78" t="s">
        <v>264</v>
      </c>
      <c r="I8" s="79">
        <f t="shared" si="1"/>
        <v>0</v>
      </c>
      <c r="L8" s="417" t="s">
        <v>268</v>
      </c>
      <c r="M8" s="418">
        <v>17799.150000000001</v>
      </c>
    </row>
    <row r="9" spans="1:13" x14ac:dyDescent="0.4">
      <c r="A9" s="68" t="s">
        <v>974</v>
      </c>
      <c r="B9" s="68" t="s">
        <v>906</v>
      </c>
      <c r="C9" s="82">
        <v>18.68</v>
      </c>
      <c r="D9" s="78"/>
      <c r="E9" s="78"/>
      <c r="F9" s="78"/>
      <c r="G9" s="79">
        <f t="shared" si="0"/>
        <v>18.68</v>
      </c>
      <c r="H9" s="78" t="s">
        <v>264</v>
      </c>
      <c r="I9" s="79">
        <f t="shared" si="1"/>
        <v>18.68</v>
      </c>
      <c r="L9" s="417" t="s">
        <v>271</v>
      </c>
      <c r="M9" s="418">
        <v>301653.92</v>
      </c>
    </row>
    <row r="10" spans="1:13" x14ac:dyDescent="0.4">
      <c r="A10" s="68" t="s">
        <v>975</v>
      </c>
      <c r="B10" s="68" t="s">
        <v>907</v>
      </c>
      <c r="C10" s="82">
        <v>10426.379999999999</v>
      </c>
      <c r="D10" s="78"/>
      <c r="E10" s="78"/>
      <c r="F10" s="78"/>
      <c r="G10" s="79">
        <f t="shared" si="0"/>
        <v>10426.379999999999</v>
      </c>
      <c r="H10" s="78" t="s">
        <v>264</v>
      </c>
      <c r="I10" s="79">
        <f t="shared" si="1"/>
        <v>10426.379999999999</v>
      </c>
      <c r="L10" s="417" t="s">
        <v>266</v>
      </c>
      <c r="M10" s="418">
        <v>5986591.96</v>
      </c>
    </row>
    <row r="11" spans="1:13" x14ac:dyDescent="0.4">
      <c r="A11" s="68" t="s">
        <v>976</v>
      </c>
      <c r="B11" s="125" t="s">
        <v>908</v>
      </c>
      <c r="C11" s="82">
        <v>0.53</v>
      </c>
      <c r="D11" s="78"/>
      <c r="E11" s="78"/>
      <c r="F11" s="78"/>
      <c r="G11" s="79">
        <f t="shared" si="0"/>
        <v>0.53</v>
      </c>
      <c r="H11" s="78" t="s">
        <v>264</v>
      </c>
      <c r="I11" s="79">
        <f t="shared" si="1"/>
        <v>0.53</v>
      </c>
      <c r="L11" s="417" t="s">
        <v>272</v>
      </c>
      <c r="M11" s="418">
        <v>-3149212.23</v>
      </c>
    </row>
    <row r="12" spans="1:13" x14ac:dyDescent="0.4">
      <c r="A12" s="68" t="s">
        <v>977</v>
      </c>
      <c r="B12" s="125" t="s">
        <v>909</v>
      </c>
      <c r="C12" s="82">
        <v>645.73</v>
      </c>
      <c r="D12" s="78"/>
      <c r="E12" s="78"/>
      <c r="F12" s="78"/>
      <c r="G12" s="79">
        <f t="shared" si="0"/>
        <v>645.73</v>
      </c>
      <c r="H12" s="78" t="s">
        <v>264</v>
      </c>
      <c r="I12" s="79">
        <f t="shared" si="1"/>
        <v>645.73</v>
      </c>
      <c r="L12" s="417" t="s">
        <v>274</v>
      </c>
      <c r="M12" s="418">
        <v>-4181722.87</v>
      </c>
    </row>
    <row r="13" spans="1:13" x14ac:dyDescent="0.4">
      <c r="A13" s="68" t="s">
        <v>312</v>
      </c>
      <c r="B13" s="68" t="s">
        <v>910</v>
      </c>
      <c r="C13" s="82">
        <v>894935.08</v>
      </c>
      <c r="D13" s="78"/>
      <c r="E13" s="78"/>
      <c r="F13" s="78"/>
      <c r="G13" s="79">
        <f t="shared" si="0"/>
        <v>894935.08</v>
      </c>
      <c r="H13" s="78" t="s">
        <v>265</v>
      </c>
      <c r="I13" s="79">
        <f t="shared" si="1"/>
        <v>894935.08</v>
      </c>
      <c r="L13" s="417" t="s">
        <v>650</v>
      </c>
      <c r="M13" s="418">
        <v>2404813.0299999998</v>
      </c>
    </row>
    <row r="14" spans="1:13" x14ac:dyDescent="0.4">
      <c r="A14" s="68" t="s">
        <v>978</v>
      </c>
      <c r="B14" s="68" t="s">
        <v>14</v>
      </c>
      <c r="C14" s="82">
        <v>-56725</v>
      </c>
      <c r="D14" s="78"/>
      <c r="E14" s="78"/>
      <c r="F14" s="78"/>
      <c r="G14" s="79">
        <f t="shared" si="0"/>
        <v>-56725</v>
      </c>
      <c r="H14" s="78" t="s">
        <v>265</v>
      </c>
      <c r="I14" s="79">
        <f t="shared" si="1"/>
        <v>-56725</v>
      </c>
      <c r="L14" s="417" t="s">
        <v>278</v>
      </c>
      <c r="M14" s="418">
        <v>20335823.27</v>
      </c>
    </row>
    <row r="15" spans="1:13" x14ac:dyDescent="0.4">
      <c r="A15" s="68" t="s">
        <v>1043</v>
      </c>
      <c r="B15" s="68" t="s">
        <v>1044</v>
      </c>
      <c r="C15" s="82">
        <v>0</v>
      </c>
      <c r="D15" s="78"/>
      <c r="E15" s="78"/>
      <c r="F15" s="78"/>
      <c r="G15" s="79">
        <f t="shared" si="0"/>
        <v>0</v>
      </c>
      <c r="H15" s="78" t="s">
        <v>271</v>
      </c>
      <c r="I15" s="79">
        <f t="shared" si="1"/>
        <v>0</v>
      </c>
      <c r="L15" s="417" t="s">
        <v>276</v>
      </c>
      <c r="M15" s="418">
        <v>-754016.84</v>
      </c>
    </row>
    <row r="16" spans="1:13" x14ac:dyDescent="0.4">
      <c r="A16" s="68" t="s">
        <v>979</v>
      </c>
      <c r="B16" s="68" t="s">
        <v>911</v>
      </c>
      <c r="C16" s="82">
        <v>5455.58</v>
      </c>
      <c r="D16" s="78"/>
      <c r="E16" s="78"/>
      <c r="F16" s="78"/>
      <c r="G16" s="79">
        <f t="shared" si="0"/>
        <v>5455.58</v>
      </c>
      <c r="H16" s="78" t="s">
        <v>271</v>
      </c>
      <c r="I16" s="79">
        <f t="shared" si="1"/>
        <v>5455.58</v>
      </c>
      <c r="L16" s="417" t="s">
        <v>275</v>
      </c>
      <c r="M16" s="418">
        <v>5437.5</v>
      </c>
    </row>
    <row r="17" spans="1:13" x14ac:dyDescent="0.4">
      <c r="A17" s="68" t="s">
        <v>980</v>
      </c>
      <c r="B17" s="68" t="s">
        <v>912</v>
      </c>
      <c r="C17" s="82">
        <v>406763.31</v>
      </c>
      <c r="D17" s="78"/>
      <c r="E17" s="78"/>
      <c r="F17" s="78"/>
      <c r="G17" s="79">
        <f t="shared" si="0"/>
        <v>406763.31</v>
      </c>
      <c r="H17" s="78" t="s">
        <v>650</v>
      </c>
      <c r="I17" s="79">
        <f t="shared" si="1"/>
        <v>406763.31</v>
      </c>
      <c r="K17" s="16"/>
      <c r="L17" s="417" t="s">
        <v>277</v>
      </c>
      <c r="M17" s="418">
        <v>-20785924.02</v>
      </c>
    </row>
    <row r="18" spans="1:13" x14ac:dyDescent="0.4">
      <c r="A18" s="125" t="s">
        <v>981</v>
      </c>
      <c r="B18" s="125" t="s">
        <v>913</v>
      </c>
      <c r="C18" s="82">
        <v>1871650.44</v>
      </c>
      <c r="D18" s="78"/>
      <c r="E18" s="78"/>
      <c r="F18" s="78"/>
      <c r="G18" s="79">
        <f t="shared" si="0"/>
        <v>1871650.44</v>
      </c>
      <c r="H18" s="78" t="s">
        <v>650</v>
      </c>
      <c r="I18" s="79">
        <f t="shared" si="1"/>
        <v>1871650.44</v>
      </c>
      <c r="K18" s="16"/>
      <c r="L18" s="417" t="s">
        <v>859</v>
      </c>
      <c r="M18" s="418">
        <v>-944124.12</v>
      </c>
    </row>
    <row r="19" spans="1:13" x14ac:dyDescent="0.4">
      <c r="A19" s="125" t="s">
        <v>982</v>
      </c>
      <c r="B19" s="125" t="s">
        <v>914</v>
      </c>
      <c r="C19" s="82">
        <v>557674</v>
      </c>
      <c r="D19" s="78"/>
      <c r="E19" s="78"/>
      <c r="F19" s="78"/>
      <c r="G19" s="79">
        <f t="shared" si="0"/>
        <v>557674</v>
      </c>
      <c r="H19" s="78" t="s">
        <v>650</v>
      </c>
      <c r="I19" s="79">
        <f t="shared" si="1"/>
        <v>557674</v>
      </c>
      <c r="L19" s="417" t="s">
        <v>860</v>
      </c>
      <c r="M19" s="418">
        <v>-130451.2</v>
      </c>
    </row>
    <row r="20" spans="1:13" x14ac:dyDescent="0.4">
      <c r="A20" s="68" t="s">
        <v>983</v>
      </c>
      <c r="B20" s="68" t="s">
        <v>915</v>
      </c>
      <c r="C20" s="82">
        <v>31613.9</v>
      </c>
      <c r="D20" s="78"/>
      <c r="E20" s="78"/>
      <c r="F20" s="78"/>
      <c r="G20" s="79">
        <f t="shared" si="0"/>
        <v>31613.9</v>
      </c>
      <c r="H20" s="78" t="s">
        <v>650</v>
      </c>
      <c r="I20" s="79">
        <f t="shared" si="1"/>
        <v>31613.9</v>
      </c>
      <c r="L20" s="417" t="s">
        <v>283</v>
      </c>
      <c r="M20" s="418">
        <v>0</v>
      </c>
    </row>
    <row r="21" spans="1:13" ht="14.35" x14ac:dyDescent="0.5">
      <c r="A21" s="68" t="s">
        <v>984</v>
      </c>
      <c r="B21" s="68" t="s">
        <v>916</v>
      </c>
      <c r="C21" s="82">
        <v>60000</v>
      </c>
      <c r="D21" s="78"/>
      <c r="E21" s="78"/>
      <c r="F21" s="78"/>
      <c r="G21" s="79">
        <f t="shared" si="0"/>
        <v>60000</v>
      </c>
      <c r="H21" s="78" t="s">
        <v>271</v>
      </c>
      <c r="I21" s="79">
        <f t="shared" si="1"/>
        <v>60000</v>
      </c>
      <c r="L21"/>
      <c r="M21"/>
    </row>
    <row r="22" spans="1:13" ht="14.35" x14ac:dyDescent="0.5">
      <c r="A22" s="68" t="s">
        <v>985</v>
      </c>
      <c r="B22" s="68" t="s">
        <v>917</v>
      </c>
      <c r="C22" s="82">
        <v>-27854.86</v>
      </c>
      <c r="D22" s="78"/>
      <c r="E22" s="78"/>
      <c r="F22" s="78"/>
      <c r="G22" s="79">
        <f t="shared" si="0"/>
        <v>-27854.86</v>
      </c>
      <c r="H22" s="78" t="s">
        <v>650</v>
      </c>
      <c r="I22" s="79">
        <f t="shared" si="1"/>
        <v>-27854.86</v>
      </c>
      <c r="L22"/>
      <c r="M22"/>
    </row>
    <row r="23" spans="1:13" ht="14.35" x14ac:dyDescent="0.5">
      <c r="A23" s="68" t="s">
        <v>986</v>
      </c>
      <c r="B23" s="68" t="s">
        <v>918</v>
      </c>
      <c r="C23" s="82">
        <v>-454729.95</v>
      </c>
      <c r="D23" s="78"/>
      <c r="E23" s="78"/>
      <c r="F23" s="78"/>
      <c r="G23" s="79">
        <f t="shared" si="0"/>
        <v>-454729.95</v>
      </c>
      <c r="H23" s="78" t="s">
        <v>650</v>
      </c>
      <c r="I23" s="79">
        <f t="shared" si="1"/>
        <v>-454729.95</v>
      </c>
      <c r="L23"/>
      <c r="M23"/>
    </row>
    <row r="24" spans="1:13" ht="14.35" x14ac:dyDescent="0.5">
      <c r="A24" s="68" t="s">
        <v>987</v>
      </c>
      <c r="B24" s="68" t="s">
        <v>919</v>
      </c>
      <c r="C24" s="82">
        <v>19696.189999999999</v>
      </c>
      <c r="D24" s="78"/>
      <c r="E24" s="78"/>
      <c r="F24" s="78"/>
      <c r="G24" s="79">
        <f t="shared" si="0"/>
        <v>19696.189999999999</v>
      </c>
      <c r="H24" s="78" t="s">
        <v>650</v>
      </c>
      <c r="I24" s="79">
        <f t="shared" si="1"/>
        <v>19696.189999999999</v>
      </c>
      <c r="L24"/>
      <c r="M24"/>
    </row>
    <row r="25" spans="1:13" ht="14.35" x14ac:dyDescent="0.5">
      <c r="A25" s="68" t="s">
        <v>988</v>
      </c>
      <c r="B25" s="68" t="s">
        <v>55</v>
      </c>
      <c r="C25" s="82">
        <v>356104.48</v>
      </c>
      <c r="D25" s="78"/>
      <c r="E25" s="78"/>
      <c r="F25" s="78"/>
      <c r="G25" s="79">
        <f t="shared" si="0"/>
        <v>356104.48</v>
      </c>
      <c r="H25" s="78" t="s">
        <v>266</v>
      </c>
      <c r="I25" s="79">
        <f t="shared" si="1"/>
        <v>356104.48</v>
      </c>
      <c r="L25"/>
      <c r="M25"/>
    </row>
    <row r="26" spans="1:13" ht="14.35" x14ac:dyDescent="0.5">
      <c r="A26" s="68" t="s">
        <v>989</v>
      </c>
      <c r="B26" s="68" t="s">
        <v>920</v>
      </c>
      <c r="C26" s="82">
        <v>-150367.18</v>
      </c>
      <c r="D26" s="78"/>
      <c r="E26" s="78"/>
      <c r="F26" s="78"/>
      <c r="G26" s="79">
        <f t="shared" si="0"/>
        <v>-150367.18</v>
      </c>
      <c r="H26" s="78" t="s">
        <v>266</v>
      </c>
      <c r="I26" s="79">
        <f t="shared" si="1"/>
        <v>-150367.18</v>
      </c>
      <c r="L26"/>
      <c r="M26"/>
    </row>
    <row r="27" spans="1:13" ht="14.35" x14ac:dyDescent="0.5">
      <c r="A27" s="68" t="s">
        <v>990</v>
      </c>
      <c r="B27" s="68" t="s">
        <v>921</v>
      </c>
      <c r="C27" s="82">
        <v>22222.54</v>
      </c>
      <c r="D27" s="78"/>
      <c r="E27" s="78"/>
      <c r="F27" s="78"/>
      <c r="G27" s="79">
        <f t="shared" si="0"/>
        <v>22222.54</v>
      </c>
      <c r="H27" s="78" t="s">
        <v>266</v>
      </c>
      <c r="I27" s="79">
        <f t="shared" si="1"/>
        <v>22222.54</v>
      </c>
      <c r="L27" s="70"/>
      <c r="M27" s="70"/>
    </row>
    <row r="28" spans="1:13" ht="14.35" x14ac:dyDescent="0.5">
      <c r="A28" s="68" t="s">
        <v>991</v>
      </c>
      <c r="B28" s="68" t="s">
        <v>922</v>
      </c>
      <c r="C28" s="82">
        <v>-20809.759999999998</v>
      </c>
      <c r="D28" s="78"/>
      <c r="E28" s="78"/>
      <c r="F28" s="78"/>
      <c r="G28" s="79">
        <f t="shared" si="0"/>
        <v>-20809.759999999998</v>
      </c>
      <c r="H28" s="78" t="s">
        <v>266</v>
      </c>
      <c r="I28" s="79">
        <f t="shared" si="1"/>
        <v>-20809.759999999998</v>
      </c>
      <c r="L28" s="70"/>
      <c r="M28" s="70"/>
    </row>
    <row r="29" spans="1:13" ht="14.35" x14ac:dyDescent="0.5">
      <c r="A29" s="68" t="s">
        <v>992</v>
      </c>
      <c r="B29" s="68" t="s">
        <v>923</v>
      </c>
      <c r="C29" s="82">
        <v>42000.76</v>
      </c>
      <c r="D29" s="78"/>
      <c r="E29" s="78"/>
      <c r="F29" s="78"/>
      <c r="G29" s="79">
        <f t="shared" si="0"/>
        <v>42000.76</v>
      </c>
      <c r="H29" s="78" t="s">
        <v>266</v>
      </c>
      <c r="I29" s="79">
        <f t="shared" si="1"/>
        <v>42000.76</v>
      </c>
      <c r="L29" s="70"/>
      <c r="M29" s="70"/>
    </row>
    <row r="30" spans="1:13" x14ac:dyDescent="0.4">
      <c r="A30" s="68" t="s">
        <v>993</v>
      </c>
      <c r="B30" s="68" t="s">
        <v>924</v>
      </c>
      <c r="C30" s="82">
        <v>-29311.53</v>
      </c>
      <c r="D30" s="78"/>
      <c r="E30" s="78"/>
      <c r="F30" s="78"/>
      <c r="G30" s="79">
        <f t="shared" si="0"/>
        <v>-29311.53</v>
      </c>
      <c r="H30" s="78" t="s">
        <v>266</v>
      </c>
      <c r="I30" s="79">
        <f t="shared" si="1"/>
        <v>-29311.53</v>
      </c>
    </row>
    <row r="31" spans="1:13" x14ac:dyDescent="0.4">
      <c r="A31" s="68" t="s">
        <v>994</v>
      </c>
      <c r="B31" s="68" t="s">
        <v>925</v>
      </c>
      <c r="C31" s="82">
        <v>1747984.96</v>
      </c>
      <c r="D31" s="78"/>
      <c r="E31" s="78"/>
      <c r="F31" s="78"/>
      <c r="G31" s="79">
        <f t="shared" si="0"/>
        <v>1747984.96</v>
      </c>
      <c r="H31" s="78" t="s">
        <v>266</v>
      </c>
      <c r="I31" s="79">
        <f t="shared" si="1"/>
        <v>1747984.96</v>
      </c>
    </row>
    <row r="32" spans="1:13" x14ac:dyDescent="0.4">
      <c r="A32" s="125" t="s">
        <v>995</v>
      </c>
      <c r="B32" s="125" t="s">
        <v>926</v>
      </c>
      <c r="C32" s="82">
        <v>4705788.3499999996</v>
      </c>
      <c r="D32" s="78"/>
      <c r="E32" s="78"/>
      <c r="F32" s="78"/>
      <c r="G32" s="79">
        <f t="shared" si="0"/>
        <v>4705788.3499999996</v>
      </c>
      <c r="H32" s="78" t="s">
        <v>266</v>
      </c>
      <c r="I32" s="79">
        <f t="shared" si="1"/>
        <v>4705788.3499999996</v>
      </c>
      <c r="J32" s="76"/>
      <c r="K32" s="76"/>
      <c r="L32" s="76"/>
      <c r="M32" s="76"/>
    </row>
    <row r="33" spans="1:13" x14ac:dyDescent="0.4">
      <c r="A33" s="125" t="s">
        <v>996</v>
      </c>
      <c r="B33" s="125" t="s">
        <v>45</v>
      </c>
      <c r="C33" s="82">
        <v>-1236484.1100000001</v>
      </c>
      <c r="D33" s="78"/>
      <c r="E33" s="78"/>
      <c r="F33" s="78"/>
      <c r="G33" s="79">
        <f t="shared" si="0"/>
        <v>-1236484.1100000001</v>
      </c>
      <c r="H33" s="78" t="s">
        <v>266</v>
      </c>
      <c r="I33" s="79">
        <f t="shared" si="1"/>
        <v>-1236484.1100000001</v>
      </c>
    </row>
    <row r="34" spans="1:13" x14ac:dyDescent="0.4">
      <c r="A34" s="68" t="s">
        <v>997</v>
      </c>
      <c r="B34" s="68" t="s">
        <v>927</v>
      </c>
      <c r="C34" s="82">
        <v>225185</v>
      </c>
      <c r="D34" s="78"/>
      <c r="E34" s="78"/>
      <c r="F34" s="78"/>
      <c r="G34" s="79">
        <f t="shared" si="0"/>
        <v>225185</v>
      </c>
      <c r="H34" s="78" t="s">
        <v>266</v>
      </c>
      <c r="I34" s="79">
        <f t="shared" si="1"/>
        <v>225185</v>
      </c>
    </row>
    <row r="35" spans="1:13" x14ac:dyDescent="0.4">
      <c r="A35" s="68" t="s">
        <v>998</v>
      </c>
      <c r="B35" s="68" t="s">
        <v>928</v>
      </c>
      <c r="C35" s="82">
        <v>-121646.42</v>
      </c>
      <c r="D35" s="78"/>
      <c r="E35" s="78"/>
      <c r="F35" s="78"/>
      <c r="G35" s="79">
        <f t="shared" si="0"/>
        <v>-121646.42</v>
      </c>
      <c r="H35" s="78" t="s">
        <v>266</v>
      </c>
      <c r="I35" s="79">
        <f t="shared" si="1"/>
        <v>-121646.42</v>
      </c>
      <c r="K35" s="16"/>
    </row>
    <row r="36" spans="1:13" x14ac:dyDescent="0.4">
      <c r="A36" s="68" t="s">
        <v>999</v>
      </c>
      <c r="B36" s="68" t="s">
        <v>929</v>
      </c>
      <c r="C36" s="82">
        <v>711541.39</v>
      </c>
      <c r="D36" s="78"/>
      <c r="E36" s="78"/>
      <c r="F36" s="78"/>
      <c r="G36" s="79">
        <f t="shared" si="0"/>
        <v>711541.39</v>
      </c>
      <c r="H36" s="78" t="s">
        <v>266</v>
      </c>
      <c r="I36" s="79">
        <f t="shared" si="1"/>
        <v>711541.39</v>
      </c>
    </row>
    <row r="37" spans="1:13" x14ac:dyDescent="0.4">
      <c r="A37" s="68" t="s">
        <v>1000</v>
      </c>
      <c r="B37" s="68" t="s">
        <v>930</v>
      </c>
      <c r="C37" s="82">
        <v>-276800.48</v>
      </c>
      <c r="D37" s="78"/>
      <c r="E37" s="78"/>
      <c r="F37" s="78"/>
      <c r="G37" s="79">
        <f t="shared" si="0"/>
        <v>-276800.48</v>
      </c>
      <c r="H37" s="78" t="s">
        <v>266</v>
      </c>
      <c r="I37" s="79">
        <f t="shared" si="1"/>
        <v>-276800.48</v>
      </c>
    </row>
    <row r="38" spans="1:13" x14ac:dyDescent="0.4">
      <c r="A38" s="68" t="s">
        <v>1001</v>
      </c>
      <c r="B38" s="68" t="s">
        <v>931</v>
      </c>
      <c r="C38" s="82">
        <v>19737.259999999998</v>
      </c>
      <c r="D38" s="78"/>
      <c r="E38" s="78"/>
      <c r="F38" s="78"/>
      <c r="G38" s="79">
        <f t="shared" si="0"/>
        <v>19737.259999999998</v>
      </c>
      <c r="H38" s="78" t="s">
        <v>266</v>
      </c>
      <c r="I38" s="79">
        <f t="shared" si="1"/>
        <v>19737.259999999998</v>
      </c>
      <c r="J38" s="76"/>
      <c r="K38" s="76"/>
      <c r="L38" s="76"/>
      <c r="M38" s="76"/>
    </row>
    <row r="39" spans="1:13" x14ac:dyDescent="0.4">
      <c r="A39" s="125" t="s">
        <v>1002</v>
      </c>
      <c r="B39" s="125" t="s">
        <v>932</v>
      </c>
      <c r="C39" s="82">
        <v>-8553.2999999999993</v>
      </c>
      <c r="D39" s="78"/>
      <c r="E39" s="78"/>
      <c r="F39" s="78"/>
      <c r="G39" s="79">
        <f t="shared" si="0"/>
        <v>-8553.2999999999993</v>
      </c>
      <c r="H39" s="78" t="s">
        <v>266</v>
      </c>
      <c r="I39" s="79">
        <f t="shared" si="1"/>
        <v>-8553.2999999999993</v>
      </c>
    </row>
    <row r="40" spans="1:13" x14ac:dyDescent="0.4">
      <c r="A40" s="68" t="s">
        <v>1003</v>
      </c>
      <c r="B40" s="68" t="s">
        <v>933</v>
      </c>
      <c r="C40" s="82">
        <v>17799.150000000001</v>
      </c>
      <c r="D40" s="78"/>
      <c r="E40" s="78"/>
      <c r="F40" s="78"/>
      <c r="G40" s="79">
        <f t="shared" si="0"/>
        <v>17799.150000000001</v>
      </c>
      <c r="H40" s="78" t="s">
        <v>268</v>
      </c>
      <c r="I40" s="79">
        <f t="shared" si="1"/>
        <v>17799.150000000001</v>
      </c>
    </row>
    <row r="41" spans="1:13" x14ac:dyDescent="0.4">
      <c r="A41" s="68" t="s">
        <v>1004</v>
      </c>
      <c r="B41" s="68" t="s">
        <v>934</v>
      </c>
      <c r="C41" s="82">
        <f>1650+473.88</f>
        <v>2123.88</v>
      </c>
      <c r="D41" s="78"/>
      <c r="E41" s="78"/>
      <c r="F41" s="78"/>
      <c r="G41" s="79">
        <f t="shared" si="0"/>
        <v>2123.88</v>
      </c>
      <c r="H41" s="78" t="s">
        <v>271</v>
      </c>
      <c r="I41" s="79">
        <f t="shared" si="1"/>
        <v>2123.88</v>
      </c>
    </row>
    <row r="42" spans="1:13" x14ac:dyDescent="0.4">
      <c r="A42" s="68" t="s">
        <v>1005</v>
      </c>
      <c r="B42" s="68" t="s">
        <v>935</v>
      </c>
      <c r="C42" s="82">
        <v>49513.04</v>
      </c>
      <c r="D42" s="78"/>
      <c r="E42" s="78"/>
      <c r="F42" s="78"/>
      <c r="G42" s="79">
        <f t="shared" si="0"/>
        <v>49513.04</v>
      </c>
      <c r="H42" s="78" t="s">
        <v>271</v>
      </c>
      <c r="I42" s="79">
        <f t="shared" si="1"/>
        <v>49513.04</v>
      </c>
    </row>
    <row r="43" spans="1:13" x14ac:dyDescent="0.4">
      <c r="A43" s="68" t="s">
        <v>1006</v>
      </c>
      <c r="B43" s="68" t="s">
        <v>936</v>
      </c>
      <c r="C43" s="82">
        <v>67820.13</v>
      </c>
      <c r="D43" s="78"/>
      <c r="E43" s="78"/>
      <c r="F43" s="78"/>
      <c r="G43" s="79">
        <f t="shared" si="0"/>
        <v>67820.13</v>
      </c>
      <c r="H43" s="78" t="s">
        <v>271</v>
      </c>
      <c r="I43" s="79">
        <f t="shared" si="1"/>
        <v>67820.13</v>
      </c>
    </row>
    <row r="44" spans="1:13" x14ac:dyDescent="0.4">
      <c r="A44" s="68" t="s">
        <v>1007</v>
      </c>
      <c r="B44" s="68" t="s">
        <v>937</v>
      </c>
      <c r="C44" s="82">
        <v>62701.68</v>
      </c>
      <c r="D44" s="78"/>
      <c r="E44" s="78"/>
      <c r="F44" s="78"/>
      <c r="G44" s="79">
        <f t="shared" si="0"/>
        <v>62701.68</v>
      </c>
      <c r="H44" s="78" t="s">
        <v>271</v>
      </c>
      <c r="I44" s="79">
        <f t="shared" si="1"/>
        <v>62701.68</v>
      </c>
      <c r="K44" s="77">
        <f>SUM(C40:C47)</f>
        <v>254354.98</v>
      </c>
    </row>
    <row r="45" spans="1:13" x14ac:dyDescent="0.4">
      <c r="A45" s="125" t="s">
        <v>1008</v>
      </c>
      <c r="B45" s="68" t="s">
        <v>938</v>
      </c>
      <c r="C45" s="82">
        <v>41444</v>
      </c>
      <c r="D45" s="78"/>
      <c r="E45" s="78"/>
      <c r="F45" s="78"/>
      <c r="G45" s="79">
        <f t="shared" si="0"/>
        <v>41444</v>
      </c>
      <c r="H45" s="78" t="s">
        <v>271</v>
      </c>
      <c r="I45" s="79">
        <f t="shared" si="1"/>
        <v>41444</v>
      </c>
      <c r="J45" s="76"/>
      <c r="K45" s="76">
        <v>253881.1</v>
      </c>
      <c r="L45" s="76"/>
      <c r="M45" s="76"/>
    </row>
    <row r="46" spans="1:13" x14ac:dyDescent="0.4">
      <c r="A46" s="68" t="s">
        <v>1009</v>
      </c>
      <c r="B46" s="68" t="s">
        <v>939</v>
      </c>
      <c r="C46" s="82">
        <v>12595.61</v>
      </c>
      <c r="D46" s="78"/>
      <c r="E46" s="78"/>
      <c r="F46" s="78"/>
      <c r="G46" s="79">
        <f t="shared" si="0"/>
        <v>12595.61</v>
      </c>
      <c r="H46" s="78" t="s">
        <v>271</v>
      </c>
      <c r="I46" s="79">
        <f t="shared" si="1"/>
        <v>12595.61</v>
      </c>
      <c r="K46" s="77">
        <f>K44-K45</f>
        <v>473.88</v>
      </c>
    </row>
    <row r="47" spans="1:13" x14ac:dyDescent="0.4">
      <c r="A47" s="68" t="s">
        <v>1010</v>
      </c>
      <c r="B47" s="68" t="s">
        <v>940</v>
      </c>
      <c r="C47" s="82">
        <v>357.49</v>
      </c>
      <c r="D47" s="78"/>
      <c r="E47" s="78"/>
      <c r="F47" s="78"/>
      <c r="G47" s="79">
        <f t="shared" si="0"/>
        <v>357.49</v>
      </c>
      <c r="H47" s="78" t="s">
        <v>264</v>
      </c>
      <c r="I47" s="79">
        <f t="shared" si="1"/>
        <v>357.49</v>
      </c>
      <c r="K47" s="77">
        <f>SUM(C50:C52)</f>
        <v>-3279663.43</v>
      </c>
    </row>
    <row r="48" spans="1:13" x14ac:dyDescent="0.4">
      <c r="A48" s="68" t="s">
        <v>363</v>
      </c>
      <c r="B48" s="68" t="s">
        <v>64</v>
      </c>
      <c r="C48" s="77">
        <v>-892526.09</v>
      </c>
      <c r="D48" s="78"/>
      <c r="E48" s="78"/>
      <c r="F48" s="78"/>
      <c r="G48" s="79">
        <f t="shared" si="0"/>
        <v>-892526.09</v>
      </c>
      <c r="H48" s="78" t="s">
        <v>859</v>
      </c>
      <c r="I48" s="79">
        <f t="shared" si="1"/>
        <v>-892526.09</v>
      </c>
      <c r="K48" s="77">
        <f>SUM(K46:K47)</f>
        <v>-3279189.55</v>
      </c>
    </row>
    <row r="49" spans="1:13" x14ac:dyDescent="0.4">
      <c r="A49" s="68" t="s">
        <v>1011</v>
      </c>
      <c r="B49" s="68" t="s">
        <v>941</v>
      </c>
      <c r="C49" s="77">
        <v>-51598.03</v>
      </c>
      <c r="D49" s="76"/>
      <c r="E49" s="78"/>
      <c r="F49" s="78"/>
      <c r="G49" s="79">
        <f t="shared" si="0"/>
        <v>-51598.03</v>
      </c>
      <c r="H49" s="78" t="s">
        <v>859</v>
      </c>
      <c r="I49" s="79">
        <f t="shared" si="1"/>
        <v>-51598.03</v>
      </c>
    </row>
    <row r="50" spans="1:13" x14ac:dyDescent="0.4">
      <c r="A50" s="68" t="s">
        <v>1012</v>
      </c>
      <c r="B50" s="68" t="s">
        <v>125</v>
      </c>
      <c r="C50" s="77">
        <v>-3149212.23</v>
      </c>
      <c r="D50" s="78"/>
      <c r="E50" s="78"/>
      <c r="F50" s="78"/>
      <c r="G50" s="79">
        <f t="shared" si="0"/>
        <v>-3149212.23</v>
      </c>
      <c r="H50" s="78" t="s">
        <v>272</v>
      </c>
      <c r="I50" s="79">
        <f t="shared" si="1"/>
        <v>-3149212.23</v>
      </c>
    </row>
    <row r="51" spans="1:13" x14ac:dyDescent="0.4">
      <c r="A51" s="125" t="s">
        <v>1013</v>
      </c>
      <c r="B51" s="125" t="s">
        <v>942</v>
      </c>
      <c r="C51" s="77">
        <v>-23691.200000000001</v>
      </c>
      <c r="D51" s="78"/>
      <c r="E51" s="78"/>
      <c r="F51" s="78"/>
      <c r="G51" s="79">
        <f t="shared" si="0"/>
        <v>-23691.200000000001</v>
      </c>
      <c r="H51" s="78" t="s">
        <v>860</v>
      </c>
      <c r="I51" s="79">
        <f t="shared" si="1"/>
        <v>-23691.200000000001</v>
      </c>
      <c r="J51" s="76"/>
      <c r="K51" s="76"/>
      <c r="L51" s="76"/>
      <c r="M51" s="76"/>
    </row>
    <row r="52" spans="1:13" x14ac:dyDescent="0.4">
      <c r="A52" s="68" t="s">
        <v>1014</v>
      </c>
      <c r="B52" s="68" t="s">
        <v>943</v>
      </c>
      <c r="C52" s="77">
        <v>-106760</v>
      </c>
      <c r="D52" s="78"/>
      <c r="E52" s="78"/>
      <c r="F52" s="78"/>
      <c r="G52" s="79">
        <f t="shared" si="0"/>
        <v>-106760</v>
      </c>
      <c r="H52" s="78" t="s">
        <v>860</v>
      </c>
      <c r="I52" s="79">
        <f t="shared" si="1"/>
        <v>-106760</v>
      </c>
    </row>
    <row r="53" spans="1:13" x14ac:dyDescent="0.4">
      <c r="A53" s="68" t="s">
        <v>1015</v>
      </c>
      <c r="B53" s="68" t="s">
        <v>944</v>
      </c>
      <c r="C53" s="77">
        <v>-112444.25</v>
      </c>
      <c r="D53" s="78"/>
      <c r="E53" s="78"/>
      <c r="F53" s="78"/>
      <c r="G53" s="79">
        <f t="shared" si="0"/>
        <v>-112444.25</v>
      </c>
      <c r="H53" s="78" t="s">
        <v>274</v>
      </c>
      <c r="I53" s="79">
        <f t="shared" si="1"/>
        <v>-112444.25</v>
      </c>
    </row>
    <row r="54" spans="1:13" x14ac:dyDescent="0.4">
      <c r="A54" s="68" t="s">
        <v>1016</v>
      </c>
      <c r="B54" s="68" t="s">
        <v>945</v>
      </c>
      <c r="C54" s="77">
        <v>-112588.96</v>
      </c>
      <c r="D54" s="78"/>
      <c r="E54" s="78"/>
      <c r="F54" s="78"/>
      <c r="G54" s="79">
        <f t="shared" si="0"/>
        <v>-112588.96</v>
      </c>
      <c r="H54" s="78" t="s">
        <v>274</v>
      </c>
      <c r="I54" s="79">
        <f t="shared" si="1"/>
        <v>-112588.96</v>
      </c>
      <c r="K54" s="16"/>
    </row>
    <row r="55" spans="1:13" x14ac:dyDescent="0.4">
      <c r="A55" s="68" t="s">
        <v>1017</v>
      </c>
      <c r="B55" s="68" t="s">
        <v>946</v>
      </c>
      <c r="C55" s="77">
        <v>-399694.31</v>
      </c>
      <c r="D55" s="78"/>
      <c r="E55" s="78"/>
      <c r="F55" s="78"/>
      <c r="G55" s="79">
        <f t="shared" si="0"/>
        <v>-399694.31</v>
      </c>
      <c r="H55" s="78" t="s">
        <v>274</v>
      </c>
      <c r="I55" s="79">
        <f t="shared" si="1"/>
        <v>-399694.31</v>
      </c>
    </row>
    <row r="56" spans="1:13" x14ac:dyDescent="0.4">
      <c r="A56" s="68" t="s">
        <v>1018</v>
      </c>
      <c r="B56" s="68" t="s">
        <v>947</v>
      </c>
      <c r="C56" s="77">
        <v>-39316.980000000003</v>
      </c>
      <c r="D56" s="78"/>
      <c r="E56" s="78"/>
      <c r="F56" s="78"/>
      <c r="G56" s="79">
        <f t="shared" si="0"/>
        <v>-39316.980000000003</v>
      </c>
      <c r="H56" s="78" t="s">
        <v>274</v>
      </c>
      <c r="I56" s="79">
        <f t="shared" si="1"/>
        <v>-39316.980000000003</v>
      </c>
    </row>
    <row r="57" spans="1:13" x14ac:dyDescent="0.4">
      <c r="A57" s="68" t="s">
        <v>1019</v>
      </c>
      <c r="B57" s="68" t="s">
        <v>948</v>
      </c>
      <c r="C57" s="77">
        <v>-12071.9</v>
      </c>
      <c r="D57" s="78"/>
      <c r="E57" s="78"/>
      <c r="F57" s="78"/>
      <c r="G57" s="79">
        <f t="shared" si="0"/>
        <v>-12071.9</v>
      </c>
      <c r="H57" s="78" t="s">
        <v>274</v>
      </c>
      <c r="I57" s="79">
        <f t="shared" si="1"/>
        <v>-12071.9</v>
      </c>
    </row>
    <row r="58" spans="1:13" x14ac:dyDescent="0.4">
      <c r="A58" s="68" t="s">
        <v>1020</v>
      </c>
      <c r="B58" s="68" t="s">
        <v>949</v>
      </c>
      <c r="C58" s="77">
        <v>-38227.75</v>
      </c>
      <c r="D58" s="78"/>
      <c r="E58" s="78"/>
      <c r="F58" s="78"/>
      <c r="G58" s="79">
        <f t="shared" si="0"/>
        <v>-38227.75</v>
      </c>
      <c r="H58" s="78" t="s">
        <v>274</v>
      </c>
      <c r="I58" s="79">
        <f t="shared" si="1"/>
        <v>-38227.75</v>
      </c>
    </row>
    <row r="59" spans="1:13" x14ac:dyDescent="0.4">
      <c r="A59" s="68" t="s">
        <v>1021</v>
      </c>
      <c r="B59" s="68" t="s">
        <v>950</v>
      </c>
      <c r="C59" s="77">
        <v>-51704</v>
      </c>
      <c r="D59" s="78"/>
      <c r="E59" s="78"/>
      <c r="F59" s="78"/>
      <c r="G59" s="79">
        <f t="shared" si="0"/>
        <v>-51704</v>
      </c>
      <c r="H59" s="78" t="s">
        <v>274</v>
      </c>
      <c r="I59" s="79">
        <f t="shared" si="1"/>
        <v>-51704</v>
      </c>
      <c r="K59" s="16"/>
    </row>
    <row r="60" spans="1:13" x14ac:dyDescent="0.4">
      <c r="A60" s="68" t="s">
        <v>1022</v>
      </c>
      <c r="B60" s="68" t="s">
        <v>951</v>
      </c>
      <c r="C60" s="77">
        <v>-11566.15</v>
      </c>
      <c r="D60" s="78"/>
      <c r="E60" s="78"/>
      <c r="F60" s="78"/>
      <c r="G60" s="79">
        <f t="shared" si="0"/>
        <v>-11566.15</v>
      </c>
      <c r="H60" s="78" t="s">
        <v>274</v>
      </c>
      <c r="I60" s="79">
        <f t="shared" si="1"/>
        <v>-11566.15</v>
      </c>
      <c r="K60" s="16"/>
    </row>
    <row r="61" spans="1:13" x14ac:dyDescent="0.4">
      <c r="A61" s="68" t="s">
        <v>1023</v>
      </c>
      <c r="B61" s="68" t="s">
        <v>1248</v>
      </c>
      <c r="C61" s="77">
        <v>-31539.57</v>
      </c>
      <c r="D61" s="78"/>
      <c r="E61" s="78"/>
      <c r="F61" s="78"/>
      <c r="G61" s="79">
        <f t="shared" si="0"/>
        <v>-31539.57</v>
      </c>
      <c r="H61" s="78" t="s">
        <v>274</v>
      </c>
      <c r="I61" s="79">
        <f t="shared" si="1"/>
        <v>-31539.57</v>
      </c>
      <c r="J61" s="76"/>
      <c r="K61" s="77"/>
      <c r="L61" s="76"/>
      <c r="M61" s="76"/>
    </row>
    <row r="62" spans="1:13" x14ac:dyDescent="0.4">
      <c r="A62" s="68" t="s">
        <v>1024</v>
      </c>
      <c r="B62" s="68" t="s">
        <v>953</v>
      </c>
      <c r="C62" s="77">
        <v>-111194.41</v>
      </c>
      <c r="D62" s="78"/>
      <c r="E62" s="78"/>
      <c r="F62" s="78"/>
      <c r="G62" s="79">
        <f t="shared" si="0"/>
        <v>-111194.41</v>
      </c>
      <c r="H62" s="78" t="s">
        <v>274</v>
      </c>
      <c r="I62" s="79">
        <f t="shared" si="1"/>
        <v>-111194.41</v>
      </c>
      <c r="K62" s="16"/>
    </row>
    <row r="63" spans="1:13" x14ac:dyDescent="0.4">
      <c r="A63" s="68" t="s">
        <v>1025</v>
      </c>
      <c r="B63" s="68" t="s">
        <v>954</v>
      </c>
      <c r="C63" s="77">
        <v>-175000</v>
      </c>
      <c r="D63" s="78"/>
      <c r="E63" s="78"/>
      <c r="F63" s="78"/>
      <c r="G63" s="79">
        <f t="shared" si="0"/>
        <v>-175000</v>
      </c>
      <c r="H63" s="78" t="s">
        <v>274</v>
      </c>
      <c r="I63" s="79">
        <f t="shared" si="1"/>
        <v>-175000</v>
      </c>
      <c r="K63" s="16"/>
    </row>
    <row r="64" spans="1:13" x14ac:dyDescent="0.4">
      <c r="A64" s="68" t="s">
        <v>1026</v>
      </c>
      <c r="B64" s="68" t="s">
        <v>955</v>
      </c>
      <c r="C64" s="77">
        <v>-33942.22</v>
      </c>
      <c r="D64" s="78"/>
      <c r="E64" s="78"/>
      <c r="F64" s="78"/>
      <c r="G64" s="79">
        <f t="shared" si="0"/>
        <v>-33942.22</v>
      </c>
      <c r="H64" s="78" t="s">
        <v>274</v>
      </c>
      <c r="I64" s="79">
        <f t="shared" si="1"/>
        <v>-33942.22</v>
      </c>
    </row>
    <row r="65" spans="1:13" x14ac:dyDescent="0.4">
      <c r="A65" s="68" t="s">
        <v>1027</v>
      </c>
      <c r="B65" s="68" t="s">
        <v>956</v>
      </c>
      <c r="C65" s="77">
        <v>-365500</v>
      </c>
      <c r="D65" s="78"/>
      <c r="E65" s="78"/>
      <c r="F65" s="78"/>
      <c r="G65" s="79">
        <f t="shared" si="0"/>
        <v>-365500</v>
      </c>
      <c r="H65" s="78" t="s">
        <v>274</v>
      </c>
      <c r="I65" s="79">
        <f t="shared" si="1"/>
        <v>-365500</v>
      </c>
    </row>
    <row r="66" spans="1:13" x14ac:dyDescent="0.4">
      <c r="A66" s="68" t="s">
        <v>1028</v>
      </c>
      <c r="B66" s="68" t="s">
        <v>957</v>
      </c>
      <c r="C66" s="77">
        <v>-48268.46</v>
      </c>
      <c r="D66" s="78"/>
      <c r="E66" s="78"/>
      <c r="F66" s="78"/>
      <c r="G66" s="79">
        <f t="shared" si="0"/>
        <v>-48268.46</v>
      </c>
      <c r="H66" s="78" t="s">
        <v>274</v>
      </c>
      <c r="I66" s="79">
        <f t="shared" si="1"/>
        <v>-48268.46</v>
      </c>
    </row>
    <row r="67" spans="1:13" x14ac:dyDescent="0.4">
      <c r="A67" s="68" t="s">
        <v>1029</v>
      </c>
      <c r="B67" s="68" t="s">
        <v>958</v>
      </c>
      <c r="C67" s="77">
        <v>-55835.54</v>
      </c>
      <c r="D67" s="78"/>
      <c r="E67" s="78"/>
      <c r="F67" s="78"/>
      <c r="G67" s="79">
        <f t="shared" si="0"/>
        <v>-55835.54</v>
      </c>
      <c r="H67" s="78" t="s">
        <v>274</v>
      </c>
      <c r="I67" s="79">
        <f t="shared" si="1"/>
        <v>-55835.54</v>
      </c>
      <c r="J67" s="76"/>
      <c r="K67" s="76"/>
      <c r="L67" s="76"/>
      <c r="M67" s="76"/>
    </row>
    <row r="68" spans="1:13" x14ac:dyDescent="0.4">
      <c r="A68" s="68" t="s">
        <v>1030</v>
      </c>
      <c r="B68" s="68" t="s">
        <v>959</v>
      </c>
      <c r="C68" s="77">
        <v>-261500</v>
      </c>
      <c r="D68" s="78"/>
      <c r="E68" s="78"/>
      <c r="F68" s="78"/>
      <c r="G68" s="79">
        <f t="shared" si="0"/>
        <v>-261500</v>
      </c>
      <c r="H68" s="78" t="s">
        <v>274</v>
      </c>
      <c r="I68" s="79">
        <f t="shared" si="1"/>
        <v>-261500</v>
      </c>
    </row>
    <row r="69" spans="1:13" x14ac:dyDescent="0.4">
      <c r="A69" s="68" t="s">
        <v>1031</v>
      </c>
      <c r="B69" s="68" t="s">
        <v>960</v>
      </c>
      <c r="C69" s="77">
        <v>-177503.51</v>
      </c>
      <c r="D69" s="78"/>
      <c r="E69" s="78"/>
      <c r="F69" s="78"/>
      <c r="G69" s="79">
        <f t="shared" si="0"/>
        <v>-177503.51</v>
      </c>
      <c r="H69" s="78" t="s">
        <v>274</v>
      </c>
      <c r="I69" s="79">
        <f t="shared" si="1"/>
        <v>-177503.51</v>
      </c>
      <c r="K69" s="16"/>
    </row>
    <row r="70" spans="1:13" x14ac:dyDescent="0.4">
      <c r="A70" s="68" t="s">
        <v>1032</v>
      </c>
      <c r="B70" s="68" t="s">
        <v>961</v>
      </c>
      <c r="C70" s="77">
        <v>-89214.63</v>
      </c>
      <c r="D70" s="78"/>
      <c r="E70" s="78"/>
      <c r="F70" s="78"/>
      <c r="G70" s="79">
        <f t="shared" ref="G70:G84" si="2">SUM(C70:F70)</f>
        <v>-89214.63</v>
      </c>
      <c r="H70" s="78" t="s">
        <v>274</v>
      </c>
      <c r="I70" s="79">
        <f t="shared" si="1"/>
        <v>-89214.63</v>
      </c>
    </row>
    <row r="71" spans="1:13" x14ac:dyDescent="0.4">
      <c r="A71" s="68" t="s">
        <v>1033</v>
      </c>
      <c r="B71" s="68" t="s">
        <v>962</v>
      </c>
      <c r="C71" s="77">
        <v>-74416.070000000007</v>
      </c>
      <c r="D71" s="78"/>
      <c r="E71" s="78"/>
      <c r="F71" s="78"/>
      <c r="G71" s="79">
        <f t="shared" si="2"/>
        <v>-74416.070000000007</v>
      </c>
      <c r="H71" s="78" t="s">
        <v>274</v>
      </c>
      <c r="I71" s="79">
        <f t="shared" ref="I71:I84" si="3">G71</f>
        <v>-74416.070000000007</v>
      </c>
    </row>
    <row r="72" spans="1:13" x14ac:dyDescent="0.4">
      <c r="A72" s="68" t="s">
        <v>1034</v>
      </c>
      <c r="B72" s="68" t="s">
        <v>963</v>
      </c>
      <c r="C72" s="77">
        <v>-78185.289999999994</v>
      </c>
      <c r="D72" s="78"/>
      <c r="E72" s="78"/>
      <c r="F72" s="78"/>
      <c r="G72" s="79">
        <f t="shared" si="2"/>
        <v>-78185.289999999994</v>
      </c>
      <c r="H72" s="78" t="s">
        <v>274</v>
      </c>
      <c r="I72" s="79">
        <f t="shared" si="3"/>
        <v>-78185.289999999994</v>
      </c>
    </row>
    <row r="73" spans="1:13" x14ac:dyDescent="0.4">
      <c r="A73" s="68" t="s">
        <v>1035</v>
      </c>
      <c r="B73" s="68" t="s">
        <v>964</v>
      </c>
      <c r="C73" s="77">
        <v>-86427.57</v>
      </c>
      <c r="D73" s="78"/>
      <c r="E73" s="78"/>
      <c r="F73" s="78"/>
      <c r="G73" s="79">
        <f t="shared" si="2"/>
        <v>-86427.57</v>
      </c>
      <c r="H73" s="78" t="s">
        <v>274</v>
      </c>
      <c r="I73" s="79">
        <f t="shared" si="3"/>
        <v>-86427.57</v>
      </c>
    </row>
    <row r="74" spans="1:13" x14ac:dyDescent="0.4">
      <c r="A74" s="68" t="s">
        <v>1036</v>
      </c>
      <c r="B74" s="68" t="s">
        <v>965</v>
      </c>
      <c r="C74" s="77">
        <v>-130000</v>
      </c>
      <c r="D74" s="78"/>
      <c r="E74" s="78"/>
      <c r="F74" s="78"/>
      <c r="G74" s="79">
        <f t="shared" si="2"/>
        <v>-130000</v>
      </c>
      <c r="H74" s="78" t="s">
        <v>274</v>
      </c>
      <c r="I74" s="79">
        <f t="shared" si="3"/>
        <v>-130000</v>
      </c>
    </row>
    <row r="75" spans="1:13" x14ac:dyDescent="0.4">
      <c r="A75" s="68" t="s">
        <v>1045</v>
      </c>
      <c r="B75" s="68" t="s">
        <v>1046</v>
      </c>
      <c r="C75" s="77">
        <v>-46757.58</v>
      </c>
      <c r="D75" s="78"/>
      <c r="E75" s="78"/>
      <c r="F75" s="78"/>
      <c r="G75" s="79">
        <f t="shared" si="2"/>
        <v>-46757.58</v>
      </c>
      <c r="H75" s="78" t="s">
        <v>274</v>
      </c>
      <c r="I75" s="79">
        <f t="shared" si="3"/>
        <v>-46757.58</v>
      </c>
    </row>
    <row r="76" spans="1:13" x14ac:dyDescent="0.4">
      <c r="A76" s="68" t="s">
        <v>1037</v>
      </c>
      <c r="B76" s="68" t="s">
        <v>966</v>
      </c>
      <c r="C76" s="77">
        <v>-110558.22</v>
      </c>
      <c r="D76" s="78"/>
      <c r="E76" s="78"/>
      <c r="F76" s="78"/>
      <c r="G76" s="79">
        <f t="shared" si="2"/>
        <v>-110558.22</v>
      </c>
      <c r="H76" s="78" t="s">
        <v>274</v>
      </c>
      <c r="I76" s="79">
        <f t="shared" si="3"/>
        <v>-110558.22</v>
      </c>
    </row>
    <row r="77" spans="1:13" s="76" customFormat="1" x14ac:dyDescent="0.4">
      <c r="A77" s="68" t="s">
        <v>1249</v>
      </c>
      <c r="B77" s="68" t="s">
        <v>926</v>
      </c>
      <c r="C77" s="77">
        <v>-1001066</v>
      </c>
      <c r="D77" s="78"/>
      <c r="E77" s="78"/>
      <c r="F77" s="78"/>
      <c r="G77" s="79">
        <f t="shared" si="2"/>
        <v>-1001066</v>
      </c>
      <c r="H77" s="78" t="s">
        <v>274</v>
      </c>
      <c r="I77" s="79">
        <f t="shared" si="3"/>
        <v>-1001066</v>
      </c>
    </row>
    <row r="78" spans="1:13" x14ac:dyDescent="0.4">
      <c r="A78" s="68" t="s">
        <v>1038</v>
      </c>
      <c r="B78" s="68" t="s">
        <v>967</v>
      </c>
      <c r="C78" s="77">
        <v>-380000</v>
      </c>
      <c r="D78" s="78"/>
      <c r="E78" s="78"/>
      <c r="F78" s="78"/>
      <c r="G78" s="79">
        <f t="shared" si="2"/>
        <v>-380000</v>
      </c>
      <c r="H78" s="78" t="s">
        <v>274</v>
      </c>
      <c r="I78" s="79">
        <f t="shared" si="3"/>
        <v>-380000</v>
      </c>
    </row>
    <row r="79" spans="1:13" s="76" customFormat="1" x14ac:dyDescent="0.4">
      <c r="A79" s="68" t="s">
        <v>1232</v>
      </c>
      <c r="B79" s="68" t="s">
        <v>1233</v>
      </c>
      <c r="C79" s="77">
        <v>-147199.5</v>
      </c>
      <c r="D79" s="78"/>
      <c r="E79" s="78"/>
      <c r="F79" s="78"/>
      <c r="G79" s="79">
        <f t="shared" si="2"/>
        <v>-147199.5</v>
      </c>
      <c r="H79" s="78" t="s">
        <v>274</v>
      </c>
      <c r="I79" s="79">
        <f t="shared" si="3"/>
        <v>-147199.5</v>
      </c>
    </row>
    <row r="80" spans="1:13" x14ac:dyDescent="0.4">
      <c r="A80" s="68" t="s">
        <v>1039</v>
      </c>
      <c r="B80" s="68" t="s">
        <v>138</v>
      </c>
      <c r="C80" s="77">
        <v>20808269.530000001</v>
      </c>
      <c r="D80" s="78"/>
      <c r="E80" s="78"/>
      <c r="F80" s="78"/>
      <c r="G80" s="79">
        <f t="shared" si="2"/>
        <v>20808269.530000001</v>
      </c>
      <c r="H80" s="78" t="s">
        <v>278</v>
      </c>
      <c r="I80" s="79">
        <f t="shared" si="3"/>
        <v>20808269.530000001</v>
      </c>
      <c r="K80" s="16">
        <f>SUM(C53:C79)</f>
        <v>-4181722.87</v>
      </c>
    </row>
    <row r="81" spans="1:13" x14ac:dyDescent="0.4">
      <c r="A81" s="68" t="s">
        <v>1040</v>
      </c>
      <c r="B81" s="68" t="s">
        <v>968</v>
      </c>
      <c r="C81" s="77">
        <v>-754016.84</v>
      </c>
      <c r="D81" s="78"/>
      <c r="E81" s="78"/>
      <c r="F81" s="78"/>
      <c r="G81" s="79">
        <f t="shared" si="2"/>
        <v>-754016.84</v>
      </c>
      <c r="H81" s="78" t="s">
        <v>276</v>
      </c>
      <c r="I81" s="79">
        <f t="shared" si="3"/>
        <v>-754016.84</v>
      </c>
      <c r="K81" s="2">
        <v>4181722.87</v>
      </c>
    </row>
    <row r="82" spans="1:13" x14ac:dyDescent="0.4">
      <c r="A82" s="68" t="s">
        <v>1041</v>
      </c>
      <c r="B82" s="68" t="s">
        <v>969</v>
      </c>
      <c r="C82" s="77">
        <v>5437.5</v>
      </c>
      <c r="D82" s="78"/>
      <c r="E82" s="78"/>
      <c r="F82" s="78"/>
      <c r="G82" s="79">
        <f t="shared" si="2"/>
        <v>5437.5</v>
      </c>
      <c r="H82" s="78" t="s">
        <v>275</v>
      </c>
      <c r="I82" s="79">
        <f t="shared" si="3"/>
        <v>5437.5</v>
      </c>
      <c r="K82" s="77">
        <f>SUM(K80:K81)</f>
        <v>0</v>
      </c>
    </row>
    <row r="83" spans="1:13" x14ac:dyDescent="0.4">
      <c r="A83" s="68" t="s">
        <v>1042</v>
      </c>
      <c r="B83" s="68" t="s">
        <v>970</v>
      </c>
      <c r="C83" s="77">
        <v>-20785924.02</v>
      </c>
      <c r="D83" s="78"/>
      <c r="E83" s="78"/>
      <c r="F83" s="78"/>
      <c r="G83" s="79">
        <f t="shared" si="2"/>
        <v>-20785924.02</v>
      </c>
      <c r="H83" s="78" t="s">
        <v>277</v>
      </c>
      <c r="I83" s="79">
        <f t="shared" si="3"/>
        <v>-20785924.02</v>
      </c>
      <c r="J83" s="103"/>
      <c r="K83" s="103"/>
      <c r="L83" s="103"/>
      <c r="M83" s="103"/>
    </row>
    <row r="84" spans="1:13" x14ac:dyDescent="0.4">
      <c r="A84" s="68" t="s">
        <v>304</v>
      </c>
      <c r="B84" s="68" t="s">
        <v>142</v>
      </c>
      <c r="C84" s="77">
        <v>-472446.26</v>
      </c>
      <c r="D84" s="78"/>
      <c r="E84" s="78"/>
      <c r="F84" s="78"/>
      <c r="G84" s="79">
        <f t="shared" si="2"/>
        <v>-472446.26</v>
      </c>
      <c r="H84" s="78" t="s">
        <v>278</v>
      </c>
      <c r="I84" s="79">
        <f t="shared" si="3"/>
        <v>-472446.26</v>
      </c>
      <c r="J84" s="103"/>
      <c r="K84" s="103"/>
      <c r="L84" s="103"/>
      <c r="M84" s="103"/>
    </row>
    <row r="85" spans="1:13" s="18" customFormat="1" x14ac:dyDescent="0.4">
      <c r="A85" s="2" t="s">
        <v>483</v>
      </c>
      <c r="B85" s="8"/>
      <c r="C85" s="20">
        <f t="shared" ref="C85:I85" si="4">SUM(C6:C47)+SUM(C48:C84)</f>
        <v>0</v>
      </c>
      <c r="D85" s="20">
        <f t="shared" si="4"/>
        <v>0</v>
      </c>
      <c r="E85" s="20">
        <f t="shared" si="4"/>
        <v>0</v>
      </c>
      <c r="F85" s="20">
        <f t="shared" si="4"/>
        <v>0</v>
      </c>
      <c r="G85" s="20">
        <f t="shared" si="4"/>
        <v>0</v>
      </c>
      <c r="H85" s="20">
        <f t="shared" si="4"/>
        <v>0</v>
      </c>
      <c r="I85" s="20">
        <f t="shared" si="4"/>
        <v>0</v>
      </c>
      <c r="J85" s="92"/>
      <c r="K85" s="92"/>
      <c r="L85" s="92"/>
      <c r="M85" s="92"/>
    </row>
    <row r="86" spans="1:13" s="18" customFormat="1" x14ac:dyDescent="0.4">
      <c r="A86" s="2"/>
      <c r="B86" s="8"/>
      <c r="C86" s="78"/>
      <c r="D86" s="78"/>
      <c r="E86" s="78"/>
      <c r="F86" s="78"/>
      <c r="G86" s="79"/>
      <c r="H86" s="78"/>
      <c r="I86" s="79"/>
      <c r="J86" s="103"/>
      <c r="K86" s="103"/>
      <c r="L86" s="103"/>
      <c r="M86" s="103"/>
    </row>
    <row r="87" spans="1:13" s="18" customFormat="1" x14ac:dyDescent="0.4">
      <c r="A87" s="2"/>
      <c r="B87" s="8" t="s">
        <v>261</v>
      </c>
      <c r="C87" s="78"/>
      <c r="D87" s="78"/>
      <c r="E87" s="78"/>
      <c r="F87" s="78"/>
      <c r="G87" s="79"/>
      <c r="H87" s="78"/>
      <c r="I87" s="79"/>
      <c r="J87" s="103"/>
      <c r="K87" s="103"/>
      <c r="L87" s="103"/>
      <c r="M87" s="103"/>
    </row>
    <row r="88" spans="1:13" s="18" customFormat="1" x14ac:dyDescent="0.4">
      <c r="A88" s="2"/>
      <c r="B88" s="2" t="s">
        <v>285</v>
      </c>
      <c r="C88" s="78">
        <f>SUM(C6:C47)</f>
        <v>9604190.5099999998</v>
      </c>
      <c r="D88" s="78">
        <f t="shared" ref="D88:I88" si="5">SUM(D6:D47)</f>
        <v>0</v>
      </c>
      <c r="E88" s="78">
        <f t="shared" si="5"/>
        <v>0</v>
      </c>
      <c r="F88" s="78">
        <f t="shared" si="5"/>
        <v>0</v>
      </c>
      <c r="G88" s="78">
        <f t="shared" si="5"/>
        <v>9604190.5099999998</v>
      </c>
      <c r="H88" s="78">
        <f t="shared" si="5"/>
        <v>0</v>
      </c>
      <c r="I88" s="78">
        <f t="shared" si="5"/>
        <v>9604190.5099999998</v>
      </c>
      <c r="J88" s="122"/>
      <c r="K88" s="103"/>
      <c r="L88" s="103"/>
      <c r="M88" s="103"/>
    </row>
    <row r="89" spans="1:13" s="18" customFormat="1" x14ac:dyDescent="0.4">
      <c r="A89" s="2"/>
      <c r="B89" s="2" t="s">
        <v>286</v>
      </c>
      <c r="C89" s="78">
        <f>SUM(C48:C79)</f>
        <v>-8405510.4199999999</v>
      </c>
      <c r="D89" s="78">
        <f t="shared" ref="D89:I89" si="6">SUM(D48:D79)</f>
        <v>0</v>
      </c>
      <c r="E89" s="78">
        <f t="shared" si="6"/>
        <v>0</v>
      </c>
      <c r="F89" s="78">
        <f t="shared" si="6"/>
        <v>0</v>
      </c>
      <c r="G89" s="78">
        <f t="shared" si="6"/>
        <v>-8405510.4199999999</v>
      </c>
      <c r="H89" s="78">
        <f t="shared" si="6"/>
        <v>0</v>
      </c>
      <c r="I89" s="78">
        <f t="shared" si="6"/>
        <v>-8405510.4199999999</v>
      </c>
      <c r="J89" s="16"/>
      <c r="K89" s="2"/>
      <c r="L89" s="2"/>
      <c r="M89" s="2"/>
    </row>
    <row r="90" spans="1:13" s="18" customFormat="1" x14ac:dyDescent="0.4">
      <c r="A90" s="2"/>
      <c r="B90" s="2" t="s">
        <v>607</v>
      </c>
      <c r="C90" s="78">
        <f>SUM(C80:C84)</f>
        <v>-1198680.0900000001</v>
      </c>
      <c r="D90" s="78">
        <f t="shared" ref="D90:I90" si="7">SUM(D80:D84)</f>
        <v>0</v>
      </c>
      <c r="E90" s="78">
        <f t="shared" si="7"/>
        <v>0</v>
      </c>
      <c r="F90" s="78">
        <f t="shared" si="7"/>
        <v>0</v>
      </c>
      <c r="G90" s="78">
        <f t="shared" si="7"/>
        <v>-1198680.0900000001</v>
      </c>
      <c r="H90" s="78">
        <f t="shared" si="7"/>
        <v>0</v>
      </c>
      <c r="I90" s="78">
        <f t="shared" si="7"/>
        <v>-1198680.0900000001</v>
      </c>
      <c r="J90" s="16"/>
      <c r="K90" s="2"/>
      <c r="L90" s="2"/>
      <c r="M90" s="2"/>
    </row>
    <row r="91" spans="1:13" s="18" customFormat="1" x14ac:dyDescent="0.4">
      <c r="A91" s="2"/>
      <c r="B91" s="2" t="s">
        <v>483</v>
      </c>
      <c r="C91" s="78">
        <f>SUM(C88:C90)</f>
        <v>0</v>
      </c>
      <c r="D91" s="78">
        <f t="shared" ref="D91:I91" si="8">SUM(D88:D90)</f>
        <v>0</v>
      </c>
      <c r="E91" s="78">
        <f t="shared" si="8"/>
        <v>0</v>
      </c>
      <c r="F91" s="78">
        <f t="shared" si="8"/>
        <v>0</v>
      </c>
      <c r="G91" s="78">
        <f t="shared" si="8"/>
        <v>0</v>
      </c>
      <c r="H91" s="78">
        <f t="shared" si="8"/>
        <v>0</v>
      </c>
      <c r="I91" s="78">
        <f t="shared" si="8"/>
        <v>0</v>
      </c>
      <c r="J91" s="16"/>
      <c r="K91" s="2"/>
      <c r="L91" s="2"/>
      <c r="M91" s="2"/>
    </row>
    <row r="92" spans="1:13" s="18" customFormat="1" x14ac:dyDescent="0.4">
      <c r="A92" s="2"/>
      <c r="B92" s="2"/>
      <c r="C92" s="17"/>
      <c r="D92" s="17"/>
      <c r="E92" s="17"/>
      <c r="F92" s="17"/>
      <c r="H92" s="78"/>
      <c r="J92" s="2"/>
      <c r="K92" s="2"/>
      <c r="L92" s="2"/>
      <c r="M92" s="2"/>
    </row>
    <row r="93" spans="1:13" s="18" customFormat="1" x14ac:dyDescent="0.4">
      <c r="A93" s="2"/>
      <c r="B93" s="2"/>
      <c r="C93" s="17"/>
      <c r="D93" s="77"/>
      <c r="E93" s="76"/>
      <c r="F93" s="17"/>
      <c r="H93" s="78"/>
      <c r="J93" s="2"/>
      <c r="K93" s="2"/>
      <c r="L93" s="2"/>
      <c r="M93" s="2"/>
    </row>
    <row r="94" spans="1:13" s="18" customFormat="1" x14ac:dyDescent="0.4">
      <c r="A94" s="2"/>
      <c r="B94" s="2"/>
      <c r="C94" s="17"/>
      <c r="D94" s="76"/>
      <c r="E94" s="76"/>
      <c r="F94" s="17"/>
      <c r="H94" s="78"/>
      <c r="J94" s="2"/>
      <c r="K94" s="2"/>
      <c r="L94" s="2"/>
      <c r="M94" s="2"/>
    </row>
    <row r="95" spans="1:13" s="18" customFormat="1" x14ac:dyDescent="0.4">
      <c r="A95" s="2"/>
      <c r="B95" s="2"/>
      <c r="C95" s="17"/>
      <c r="D95" s="76"/>
      <c r="E95" s="76"/>
      <c r="F95" s="17"/>
      <c r="H95" s="78"/>
      <c r="J95" s="2"/>
      <c r="K95" s="2"/>
      <c r="L95" s="2"/>
      <c r="M95" s="2"/>
    </row>
    <row r="96" spans="1:13" s="18" customFormat="1" x14ac:dyDescent="0.4">
      <c r="A96" s="2"/>
      <c r="B96" s="2"/>
      <c r="C96" s="17"/>
      <c r="D96" s="77"/>
      <c r="E96" s="76"/>
      <c r="F96" s="17"/>
      <c r="H96" s="78"/>
      <c r="J96" s="2"/>
      <c r="K96" s="2"/>
      <c r="L96" s="2"/>
      <c r="M96" s="2"/>
    </row>
    <row r="97" spans="1:13" s="18" customFormat="1" x14ac:dyDescent="0.4">
      <c r="A97" s="2"/>
      <c r="B97" s="2"/>
      <c r="C97" s="17"/>
      <c r="D97" s="76"/>
      <c r="E97" s="76"/>
      <c r="F97" s="17"/>
      <c r="H97" s="78"/>
      <c r="J97" s="2"/>
      <c r="K97" s="2"/>
      <c r="L97" s="2"/>
      <c r="M97" s="2"/>
    </row>
    <row r="98" spans="1:13" s="18" customFormat="1" x14ac:dyDescent="0.4">
      <c r="A98" s="2"/>
      <c r="B98" s="2"/>
      <c r="C98" s="17"/>
      <c r="D98" s="17"/>
      <c r="E98" s="17"/>
      <c r="F98" s="17"/>
      <c r="H98" s="78"/>
      <c r="J98" s="16" t="s">
        <v>261</v>
      </c>
      <c r="K98" s="2"/>
      <c r="L98" s="2"/>
      <c r="M98" s="2"/>
    </row>
    <row r="99" spans="1:13" s="18" customFormat="1" x14ac:dyDescent="0.4">
      <c r="A99" s="2"/>
      <c r="B99" s="2"/>
      <c r="C99" s="17"/>
      <c r="D99" s="17"/>
      <c r="E99" s="17"/>
      <c r="F99" s="17"/>
      <c r="H99" s="78"/>
      <c r="J99" s="2"/>
      <c r="K99" s="2"/>
      <c r="L99" s="2"/>
      <c r="M99" s="2"/>
    </row>
    <row r="100" spans="1:13" s="18" customFormat="1" x14ac:dyDescent="0.4">
      <c r="A100" s="2"/>
      <c r="B100" s="2"/>
      <c r="C100" s="17"/>
      <c r="D100" s="17"/>
      <c r="E100" s="17"/>
      <c r="F100" s="17"/>
      <c r="H100" s="78"/>
      <c r="J100" s="2"/>
      <c r="K100" s="2"/>
      <c r="L100" s="2"/>
      <c r="M100" s="2"/>
    </row>
    <row r="101" spans="1:13" s="18" customFormat="1" x14ac:dyDescent="0.4">
      <c r="A101" s="2"/>
      <c r="B101" s="2"/>
      <c r="C101" s="17"/>
      <c r="D101" s="17"/>
      <c r="E101" s="17"/>
      <c r="F101" s="17"/>
      <c r="H101" s="78"/>
      <c r="J101" s="2"/>
      <c r="K101" s="2"/>
      <c r="L101" s="2"/>
      <c r="M101" s="2"/>
    </row>
    <row r="102" spans="1:13" s="18" customFormat="1" x14ac:dyDescent="0.4">
      <c r="A102" s="2"/>
      <c r="B102" s="2"/>
      <c r="C102" s="17"/>
      <c r="D102" s="17"/>
      <c r="E102" s="17"/>
      <c r="F102" s="17"/>
      <c r="H102" s="78"/>
      <c r="J102" s="2"/>
      <c r="K102" s="2"/>
      <c r="L102" s="2"/>
      <c r="M102" s="2"/>
    </row>
    <row r="103" spans="1:13" s="18" customFormat="1" x14ac:dyDescent="0.4">
      <c r="A103" s="2"/>
      <c r="B103" s="2"/>
      <c r="C103" s="17"/>
      <c r="D103" s="17"/>
      <c r="E103" s="17"/>
      <c r="F103" s="17"/>
      <c r="H103" s="78"/>
      <c r="J103" s="2"/>
      <c r="K103" s="2"/>
      <c r="L103" s="2"/>
      <c r="M103" s="2"/>
    </row>
    <row r="104" spans="1:13" s="18" customFormat="1" x14ac:dyDescent="0.4">
      <c r="A104" s="2"/>
      <c r="B104" s="2"/>
      <c r="C104" s="17"/>
      <c r="D104" s="17"/>
      <c r="E104" s="17"/>
      <c r="F104" s="17"/>
      <c r="H104" s="78"/>
      <c r="J104" s="2"/>
      <c r="K104" s="2"/>
      <c r="L104" s="2"/>
      <c r="M104" s="2"/>
    </row>
    <row r="105" spans="1:13" s="18" customFormat="1" x14ac:dyDescent="0.4">
      <c r="A105" s="2"/>
      <c r="B105" s="2"/>
      <c r="C105" s="17"/>
      <c r="D105" s="17"/>
      <c r="E105" s="17"/>
      <c r="F105" s="17"/>
      <c r="H105" s="78"/>
      <c r="J105" s="2"/>
      <c r="K105" s="2"/>
      <c r="L105" s="2"/>
      <c r="M105" s="2"/>
    </row>
    <row r="106" spans="1:13" s="18" customFormat="1" x14ac:dyDescent="0.4">
      <c r="A106" s="2"/>
      <c r="B106" s="2"/>
      <c r="C106" s="17"/>
      <c r="D106" s="17"/>
      <c r="E106" s="17"/>
      <c r="F106" s="17"/>
      <c r="H106" s="78"/>
      <c r="J106" s="2"/>
      <c r="K106" s="2"/>
      <c r="L106" s="2"/>
      <c r="M106" s="2"/>
    </row>
    <row r="107" spans="1:13" s="18" customFormat="1" x14ac:dyDescent="0.4">
      <c r="A107" s="2"/>
      <c r="B107" s="2"/>
      <c r="C107" s="17"/>
      <c r="D107" s="17"/>
      <c r="E107" s="17"/>
      <c r="F107" s="17"/>
      <c r="H107" s="78"/>
      <c r="J107" s="2"/>
      <c r="K107" s="2"/>
      <c r="L107" s="2"/>
      <c r="M107" s="2"/>
    </row>
    <row r="108" spans="1:13" s="18" customFormat="1" x14ac:dyDescent="0.4">
      <c r="A108" s="2"/>
      <c r="B108" s="2"/>
      <c r="C108" s="17"/>
      <c r="D108" s="17"/>
      <c r="E108" s="17"/>
      <c r="F108" s="17"/>
      <c r="H108" s="78"/>
      <c r="J108" s="2"/>
      <c r="K108" s="2"/>
      <c r="L108" s="2"/>
      <c r="M108" s="2"/>
    </row>
    <row r="109" spans="1:13" s="18" customFormat="1" x14ac:dyDescent="0.4">
      <c r="A109" s="2"/>
      <c r="B109" s="2"/>
      <c r="C109" s="17"/>
      <c r="D109" s="17"/>
      <c r="E109" s="17"/>
      <c r="F109" s="17"/>
      <c r="H109" s="78"/>
      <c r="J109" s="2"/>
      <c r="K109" s="2"/>
      <c r="L109" s="2"/>
      <c r="M109" s="2"/>
    </row>
    <row r="110" spans="1:13" s="18" customFormat="1" x14ac:dyDescent="0.4">
      <c r="A110" s="2"/>
      <c r="B110" s="2"/>
      <c r="C110" s="17"/>
      <c r="D110" s="17"/>
      <c r="E110" s="17"/>
      <c r="F110" s="17"/>
      <c r="H110" s="78"/>
      <c r="J110" s="2"/>
      <c r="K110" s="2"/>
      <c r="L110" s="2"/>
      <c r="M110" s="2"/>
    </row>
    <row r="111" spans="1:13" s="18" customFormat="1" x14ac:dyDescent="0.4">
      <c r="A111" s="2"/>
      <c r="B111" s="2"/>
      <c r="C111" s="17"/>
      <c r="D111" s="17"/>
      <c r="E111" s="17"/>
      <c r="F111" s="17"/>
      <c r="H111" s="78"/>
      <c r="J111" s="2"/>
      <c r="K111" s="2"/>
      <c r="L111" s="2"/>
      <c r="M111" s="2"/>
    </row>
    <row r="112" spans="1:13" s="18" customFormat="1" x14ac:dyDescent="0.4">
      <c r="A112" s="2"/>
      <c r="B112" s="2"/>
      <c r="C112" s="17"/>
      <c r="D112" s="17"/>
      <c r="E112" s="17"/>
      <c r="F112" s="17"/>
      <c r="H112" s="78"/>
      <c r="J112" s="2"/>
      <c r="K112" s="2"/>
      <c r="L112" s="2"/>
      <c r="M112" s="2"/>
    </row>
    <row r="113" spans="1:13" s="18" customFormat="1" x14ac:dyDescent="0.4">
      <c r="A113" s="2"/>
      <c r="B113" s="2"/>
      <c r="C113" s="17"/>
      <c r="D113" s="17"/>
      <c r="E113" s="17"/>
      <c r="F113" s="17"/>
      <c r="H113" s="78"/>
      <c r="J113" s="2"/>
      <c r="K113" s="2"/>
      <c r="L113" s="2"/>
      <c r="M113" s="2"/>
    </row>
    <row r="114" spans="1:13" s="18" customFormat="1" x14ac:dyDescent="0.4">
      <c r="A114" s="2"/>
      <c r="B114" s="2"/>
      <c r="C114" s="17"/>
      <c r="D114" s="17"/>
      <c r="E114" s="17"/>
      <c r="F114" s="17"/>
      <c r="H114" s="78"/>
      <c r="J114" s="2"/>
      <c r="K114" s="2"/>
      <c r="L114" s="2"/>
      <c r="M114" s="2"/>
    </row>
    <row r="115" spans="1:13" s="18" customFormat="1" x14ac:dyDescent="0.4">
      <c r="A115" s="2"/>
      <c r="B115" s="2"/>
      <c r="C115" s="17"/>
      <c r="D115" s="17"/>
      <c r="E115" s="17"/>
      <c r="F115" s="17"/>
      <c r="H115" s="78"/>
      <c r="J115" s="2"/>
      <c r="K115" s="2"/>
      <c r="L115" s="2"/>
      <c r="M115" s="2"/>
    </row>
    <row r="116" spans="1:13" s="18" customFormat="1" x14ac:dyDescent="0.4">
      <c r="A116" s="2"/>
      <c r="B116" s="2"/>
      <c r="C116" s="17"/>
      <c r="D116" s="17"/>
      <c r="E116" s="17"/>
      <c r="F116" s="17"/>
      <c r="H116" s="78"/>
      <c r="J116" s="2"/>
      <c r="K116" s="2"/>
      <c r="L116" s="2"/>
      <c r="M116" s="2"/>
    </row>
    <row r="117" spans="1:13" s="18" customFormat="1" x14ac:dyDescent="0.4">
      <c r="A117" s="2"/>
      <c r="B117" s="2"/>
      <c r="C117" s="17"/>
      <c r="D117" s="17"/>
      <c r="E117" s="17"/>
      <c r="F117" s="17"/>
      <c r="H117" s="78"/>
      <c r="J117" s="2"/>
      <c r="K117" s="2"/>
      <c r="L117" s="2"/>
      <c r="M117" s="2"/>
    </row>
    <row r="118" spans="1:13" s="18" customFormat="1" x14ac:dyDescent="0.4">
      <c r="A118" s="2"/>
      <c r="B118" s="2"/>
      <c r="C118" s="17"/>
      <c r="D118" s="17"/>
      <c r="E118" s="17"/>
      <c r="F118" s="17"/>
      <c r="H118" s="78"/>
      <c r="J118" s="2"/>
      <c r="K118" s="2"/>
      <c r="L118" s="2"/>
      <c r="M118" s="2"/>
    </row>
    <row r="119" spans="1:13" s="18" customFormat="1" x14ac:dyDescent="0.4">
      <c r="A119" s="2"/>
      <c r="B119" s="2"/>
      <c r="C119" s="17"/>
      <c r="D119" s="17"/>
      <c r="E119" s="17"/>
      <c r="F119" s="17"/>
      <c r="H119" s="78"/>
      <c r="J119" s="2"/>
      <c r="K119" s="2"/>
      <c r="L119" s="2"/>
      <c r="M119" s="2"/>
    </row>
    <row r="120" spans="1:13" s="18" customFormat="1" x14ac:dyDescent="0.4">
      <c r="A120" s="2"/>
      <c r="B120" s="2"/>
      <c r="C120" s="17"/>
      <c r="D120" s="17"/>
      <c r="E120" s="17"/>
      <c r="F120" s="17"/>
      <c r="H120" s="78"/>
      <c r="J120" s="2"/>
      <c r="K120" s="2"/>
      <c r="L120" s="2"/>
      <c r="M120" s="2"/>
    </row>
    <row r="121" spans="1:13" s="18" customFormat="1" x14ac:dyDescent="0.4">
      <c r="A121" s="2"/>
      <c r="B121" s="2"/>
      <c r="C121" s="17"/>
      <c r="D121" s="17"/>
      <c r="E121" s="17"/>
      <c r="F121" s="17"/>
      <c r="H121" s="78"/>
      <c r="J121" s="2"/>
      <c r="K121" s="2"/>
      <c r="L121" s="2"/>
      <c r="M121" s="2"/>
    </row>
    <row r="122" spans="1:13" s="18" customFormat="1" x14ac:dyDescent="0.4">
      <c r="A122" s="2"/>
      <c r="B122" s="2"/>
      <c r="C122" s="17"/>
      <c r="D122" s="17"/>
      <c r="E122" s="17"/>
      <c r="F122" s="17"/>
      <c r="H122" s="78"/>
      <c r="J122" s="2"/>
      <c r="K122" s="2"/>
      <c r="L122" s="2"/>
      <c r="M122" s="2"/>
    </row>
    <row r="123" spans="1:13" s="18" customFormat="1" x14ac:dyDescent="0.4">
      <c r="A123" s="2"/>
      <c r="B123" s="2"/>
      <c r="C123" s="17"/>
      <c r="D123" s="17"/>
      <c r="E123" s="17"/>
      <c r="F123" s="17"/>
      <c r="H123" s="78"/>
      <c r="J123" s="2"/>
      <c r="K123" s="2"/>
      <c r="L123" s="2"/>
      <c r="M123" s="2"/>
    </row>
    <row r="124" spans="1:13" s="18" customFormat="1" x14ac:dyDescent="0.4">
      <c r="A124" s="2"/>
      <c r="B124" s="2"/>
      <c r="C124" s="17"/>
      <c r="D124" s="17"/>
      <c r="E124" s="17"/>
      <c r="F124" s="17"/>
      <c r="H124" s="78"/>
      <c r="J124" s="2"/>
      <c r="K124" s="2"/>
      <c r="L124" s="2"/>
      <c r="M124" s="2"/>
    </row>
    <row r="125" spans="1:13" s="18" customFormat="1" x14ac:dyDescent="0.4">
      <c r="A125" s="2"/>
      <c r="B125" s="2"/>
      <c r="C125" s="17"/>
      <c r="D125" s="17"/>
      <c r="E125" s="17"/>
      <c r="F125" s="17"/>
      <c r="H125" s="78"/>
      <c r="J125" s="2"/>
      <c r="K125" s="2"/>
      <c r="L125" s="2"/>
      <c r="M125" s="2"/>
    </row>
    <row r="126" spans="1:13" s="18" customFormat="1" x14ac:dyDescent="0.4">
      <c r="A126" s="2"/>
      <c r="B126" s="2"/>
      <c r="C126" s="17"/>
      <c r="D126" s="17"/>
      <c r="E126" s="17"/>
      <c r="F126" s="17"/>
      <c r="H126" s="78"/>
      <c r="J126" s="2"/>
      <c r="K126" s="2"/>
      <c r="L126" s="2"/>
      <c r="M126" s="2"/>
    </row>
    <row r="127" spans="1:13" s="18" customFormat="1" x14ac:dyDescent="0.4">
      <c r="A127" s="2"/>
      <c r="B127" s="2"/>
      <c r="C127" s="17"/>
      <c r="D127" s="17"/>
      <c r="E127" s="17"/>
      <c r="F127" s="17"/>
      <c r="H127" s="78"/>
      <c r="J127" s="2"/>
      <c r="K127" s="2"/>
      <c r="L127" s="2"/>
      <c r="M127" s="2"/>
    </row>
    <row r="128" spans="1:13" s="18" customFormat="1" x14ac:dyDescent="0.4">
      <c r="A128" s="2"/>
      <c r="B128" s="2"/>
      <c r="C128" s="17"/>
      <c r="D128" s="17"/>
      <c r="E128" s="17"/>
      <c r="F128" s="17"/>
      <c r="H128" s="78"/>
      <c r="J128" s="2"/>
      <c r="K128" s="2"/>
      <c r="L128" s="2"/>
      <c r="M128" s="2"/>
    </row>
    <row r="129" spans="1:13" s="18" customFormat="1" x14ac:dyDescent="0.4">
      <c r="A129" s="2"/>
      <c r="B129" s="2"/>
      <c r="C129" s="17"/>
      <c r="D129" s="17"/>
      <c r="E129" s="17"/>
      <c r="F129" s="17"/>
      <c r="H129" s="78"/>
      <c r="J129" s="2"/>
      <c r="K129" s="2"/>
      <c r="L129" s="2"/>
      <c r="M129" s="2"/>
    </row>
    <row r="130" spans="1:13" s="18" customFormat="1" x14ac:dyDescent="0.4">
      <c r="A130" s="2"/>
      <c r="B130" s="2"/>
      <c r="C130" s="17"/>
      <c r="D130" s="17"/>
      <c r="E130" s="17"/>
      <c r="F130" s="17"/>
      <c r="H130" s="78"/>
      <c r="J130" s="2"/>
      <c r="K130" s="2"/>
      <c r="L130" s="2"/>
      <c r="M130" s="2"/>
    </row>
    <row r="131" spans="1:13" s="18" customFormat="1" x14ac:dyDescent="0.4">
      <c r="A131" s="2"/>
      <c r="B131" s="2"/>
      <c r="C131" s="17"/>
      <c r="D131" s="17"/>
      <c r="E131" s="17"/>
      <c r="F131" s="17"/>
      <c r="H131" s="78"/>
      <c r="J131" s="2"/>
      <c r="K131" s="2"/>
      <c r="L131" s="2"/>
      <c r="M131" s="2"/>
    </row>
    <row r="132" spans="1:13" s="18" customFormat="1" x14ac:dyDescent="0.4">
      <c r="A132" s="2"/>
      <c r="B132" s="2"/>
      <c r="C132" s="17"/>
      <c r="D132" s="17"/>
      <c r="E132" s="17"/>
      <c r="F132" s="17"/>
      <c r="H132" s="78"/>
      <c r="J132" s="2"/>
      <c r="K132" s="2"/>
      <c r="L132" s="2"/>
      <c r="M132" s="2"/>
    </row>
    <row r="133" spans="1:13" s="18" customFormat="1" x14ac:dyDescent="0.4">
      <c r="A133" s="2"/>
      <c r="B133" s="2"/>
      <c r="C133" s="17"/>
      <c r="D133" s="17"/>
      <c r="E133" s="17"/>
      <c r="F133" s="17"/>
      <c r="H133" s="78"/>
      <c r="J133" s="2"/>
      <c r="K133" s="2"/>
      <c r="L133" s="2"/>
      <c r="M133" s="2"/>
    </row>
    <row r="134" spans="1:13" s="18" customFormat="1" x14ac:dyDescent="0.4">
      <c r="A134" s="2"/>
      <c r="B134" s="2"/>
      <c r="C134" s="17"/>
      <c r="D134" s="17"/>
      <c r="E134" s="17"/>
      <c r="F134" s="17"/>
      <c r="H134" s="78"/>
      <c r="J134" s="2"/>
      <c r="K134" s="2"/>
      <c r="L134" s="2"/>
      <c r="M134" s="2"/>
    </row>
    <row r="135" spans="1:13" s="18" customFormat="1" x14ac:dyDescent="0.4">
      <c r="A135" s="2"/>
      <c r="B135" s="2"/>
      <c r="C135" s="17"/>
      <c r="D135" s="17"/>
      <c r="E135" s="17"/>
      <c r="F135" s="17"/>
      <c r="H135" s="78"/>
      <c r="J135" s="2"/>
      <c r="K135" s="2"/>
      <c r="L135" s="2"/>
      <c r="M135" s="2"/>
    </row>
    <row r="136" spans="1:13" s="18" customFormat="1" x14ac:dyDescent="0.4">
      <c r="A136" s="2"/>
      <c r="B136" s="2"/>
      <c r="C136" s="17"/>
      <c r="D136" s="17"/>
      <c r="E136" s="17"/>
      <c r="F136" s="17"/>
      <c r="H136" s="78"/>
      <c r="J136" s="2"/>
      <c r="K136" s="2"/>
      <c r="L136" s="2"/>
      <c r="M136" s="2"/>
    </row>
    <row r="137" spans="1:13" s="18" customFormat="1" x14ac:dyDescent="0.4">
      <c r="A137" s="2"/>
      <c r="B137" s="2"/>
      <c r="C137" s="17"/>
      <c r="D137" s="17"/>
      <c r="E137" s="17"/>
      <c r="F137" s="17"/>
      <c r="H137" s="78"/>
      <c r="J137" s="2"/>
      <c r="K137" s="2"/>
      <c r="L137" s="2"/>
      <c r="M137" s="2"/>
    </row>
    <row r="138" spans="1:13" s="18" customFormat="1" x14ac:dyDescent="0.4">
      <c r="A138" s="2"/>
      <c r="B138" s="2"/>
      <c r="C138" s="17"/>
      <c r="D138" s="17"/>
      <c r="E138" s="17"/>
      <c r="F138" s="17"/>
      <c r="H138" s="78"/>
      <c r="J138" s="2"/>
      <c r="K138" s="2"/>
      <c r="L138" s="2"/>
      <c r="M138" s="2"/>
    </row>
    <row r="139" spans="1:13" s="18" customFormat="1" x14ac:dyDescent="0.4">
      <c r="A139" s="2"/>
      <c r="B139" s="2"/>
      <c r="C139" s="17"/>
      <c r="D139" s="17"/>
      <c r="E139" s="17"/>
      <c r="F139" s="17"/>
      <c r="H139" s="78"/>
      <c r="J139" s="2"/>
      <c r="K139" s="2"/>
      <c r="L139" s="2"/>
      <c r="M139" s="2"/>
    </row>
    <row r="140" spans="1:13" s="18" customFormat="1" x14ac:dyDescent="0.4">
      <c r="A140" s="2"/>
      <c r="B140" s="2"/>
      <c r="C140" s="17"/>
      <c r="D140" s="17"/>
      <c r="E140" s="17"/>
      <c r="F140" s="17"/>
      <c r="H140" s="78"/>
      <c r="J140" s="2"/>
      <c r="K140" s="2"/>
      <c r="L140" s="2"/>
      <c r="M140" s="2"/>
    </row>
    <row r="141" spans="1:13" s="18" customFormat="1" x14ac:dyDescent="0.4">
      <c r="A141" s="2"/>
      <c r="B141" s="2"/>
      <c r="C141" s="17"/>
      <c r="D141" s="17"/>
      <c r="E141" s="17"/>
      <c r="F141" s="17"/>
      <c r="H141" s="78"/>
      <c r="J141" s="2"/>
      <c r="K141" s="2"/>
      <c r="L141" s="2"/>
      <c r="M141" s="2"/>
    </row>
    <row r="142" spans="1:13" s="18" customFormat="1" x14ac:dyDescent="0.4">
      <c r="A142" s="2"/>
      <c r="B142" s="2"/>
      <c r="C142" s="17"/>
      <c r="D142" s="17"/>
      <c r="E142" s="17"/>
      <c r="F142" s="17"/>
      <c r="H142" s="78"/>
      <c r="J142" s="2"/>
      <c r="K142" s="2"/>
      <c r="L142" s="2"/>
      <c r="M142" s="2"/>
    </row>
    <row r="143" spans="1:13" s="18" customFormat="1" x14ac:dyDescent="0.4">
      <c r="A143" s="2"/>
      <c r="B143" s="2"/>
      <c r="C143" s="17"/>
      <c r="D143" s="17"/>
      <c r="E143" s="17"/>
      <c r="F143" s="17"/>
      <c r="H143" s="78"/>
      <c r="J143" s="2"/>
      <c r="K143" s="2"/>
      <c r="L143" s="2"/>
      <c r="M143" s="2"/>
    </row>
    <row r="144" spans="1:13" s="18" customFormat="1" x14ac:dyDescent="0.4">
      <c r="A144" s="2"/>
      <c r="B144" s="2"/>
      <c r="C144" s="17"/>
      <c r="D144" s="17"/>
      <c r="E144" s="17"/>
      <c r="F144" s="17"/>
      <c r="H144" s="78"/>
      <c r="J144" s="2"/>
      <c r="K144" s="2"/>
      <c r="L144" s="2"/>
      <c r="M144" s="2"/>
    </row>
    <row r="145" spans="1:13" s="18" customFormat="1" x14ac:dyDescent="0.4">
      <c r="A145" s="2"/>
      <c r="B145" s="2"/>
      <c r="C145" s="17"/>
      <c r="D145" s="17"/>
      <c r="E145" s="17"/>
      <c r="F145" s="17"/>
      <c r="H145" s="78"/>
      <c r="J145" s="2"/>
      <c r="K145" s="2"/>
      <c r="L145" s="2"/>
      <c r="M145" s="2"/>
    </row>
    <row r="146" spans="1:13" s="18" customFormat="1" x14ac:dyDescent="0.4">
      <c r="A146" s="2"/>
      <c r="B146" s="2"/>
      <c r="C146" s="17"/>
      <c r="D146" s="17"/>
      <c r="E146" s="17"/>
      <c r="F146" s="17"/>
      <c r="H146" s="78"/>
      <c r="J146" s="2"/>
      <c r="K146" s="2"/>
      <c r="L146" s="2"/>
      <c r="M146" s="2"/>
    </row>
    <row r="147" spans="1:13" s="18" customFormat="1" x14ac:dyDescent="0.4">
      <c r="A147" s="2"/>
      <c r="B147" s="2"/>
      <c r="C147" s="17"/>
      <c r="D147" s="17"/>
      <c r="E147" s="17"/>
      <c r="F147" s="17"/>
      <c r="H147" s="78"/>
      <c r="J147" s="2"/>
      <c r="K147" s="2"/>
      <c r="L147" s="2"/>
      <c r="M147" s="2"/>
    </row>
    <row r="148" spans="1:13" s="18" customFormat="1" x14ac:dyDescent="0.4">
      <c r="A148" s="2"/>
      <c r="B148" s="2"/>
      <c r="C148" s="17"/>
      <c r="D148" s="17"/>
      <c r="E148" s="17"/>
      <c r="F148" s="17"/>
      <c r="H148" s="78"/>
      <c r="J148" s="2"/>
      <c r="K148" s="2"/>
      <c r="L148" s="2"/>
      <c r="M148" s="2"/>
    </row>
    <row r="149" spans="1:13" s="18" customFormat="1" x14ac:dyDescent="0.4">
      <c r="A149" s="2"/>
      <c r="B149" s="2"/>
      <c r="C149" s="17"/>
      <c r="D149" s="17"/>
      <c r="E149" s="17"/>
      <c r="F149" s="17"/>
      <c r="H149" s="78"/>
      <c r="J149" s="2"/>
      <c r="K149" s="2"/>
      <c r="L149" s="2"/>
      <c r="M149" s="2"/>
    </row>
    <row r="150" spans="1:13" s="18" customFormat="1" x14ac:dyDescent="0.4">
      <c r="A150" s="2"/>
      <c r="B150" s="2"/>
      <c r="C150" s="17"/>
      <c r="D150" s="17"/>
      <c r="E150" s="17"/>
      <c r="F150" s="17"/>
      <c r="H150" s="78"/>
      <c r="J150" s="2"/>
      <c r="K150" s="2"/>
      <c r="L150" s="2"/>
      <c r="M150" s="2"/>
    </row>
    <row r="151" spans="1:13" s="18" customFormat="1" x14ac:dyDescent="0.4">
      <c r="A151" s="2"/>
      <c r="B151" s="2"/>
      <c r="C151" s="17"/>
      <c r="D151" s="17"/>
      <c r="E151" s="17"/>
      <c r="F151" s="17"/>
      <c r="H151" s="78"/>
      <c r="J151" s="2"/>
      <c r="K151" s="2"/>
      <c r="L151" s="2"/>
      <c r="M151" s="2"/>
    </row>
    <row r="152" spans="1:13" s="18" customFormat="1" x14ac:dyDescent="0.4">
      <c r="A152" s="2"/>
      <c r="B152" s="2"/>
      <c r="C152" s="17"/>
      <c r="D152" s="17"/>
      <c r="E152" s="17"/>
      <c r="F152" s="17"/>
      <c r="H152" s="78"/>
      <c r="J152" s="2"/>
      <c r="K152" s="2"/>
      <c r="L152" s="2"/>
      <c r="M152" s="2"/>
    </row>
    <row r="153" spans="1:13" s="18" customFormat="1" x14ac:dyDescent="0.4">
      <c r="A153" s="2"/>
      <c r="B153" s="2"/>
      <c r="C153" s="17"/>
      <c r="D153" s="17"/>
      <c r="E153" s="17"/>
      <c r="F153" s="17"/>
      <c r="H153" s="78"/>
      <c r="J153" s="2"/>
      <c r="K153" s="2"/>
      <c r="L153" s="2"/>
      <c r="M153" s="2"/>
    </row>
    <row r="154" spans="1:13" s="18" customFormat="1" x14ac:dyDescent="0.4">
      <c r="A154" s="2"/>
      <c r="B154" s="2"/>
      <c r="C154" s="17"/>
      <c r="D154" s="17"/>
      <c r="E154" s="17"/>
      <c r="F154" s="17"/>
      <c r="H154" s="78"/>
      <c r="J154" s="2"/>
      <c r="K154" s="2"/>
      <c r="L154" s="2"/>
      <c r="M154" s="2"/>
    </row>
    <row r="155" spans="1:13" s="18" customFormat="1" x14ac:dyDescent="0.4">
      <c r="A155" s="2"/>
      <c r="B155" s="2"/>
      <c r="C155" s="17"/>
      <c r="D155" s="17"/>
      <c r="E155" s="17"/>
      <c r="F155" s="17"/>
      <c r="H155" s="78"/>
      <c r="J155" s="2"/>
      <c r="K155" s="2"/>
      <c r="L155" s="2"/>
      <c r="M155" s="2"/>
    </row>
    <row r="156" spans="1:13" s="18" customFormat="1" x14ac:dyDescent="0.4">
      <c r="A156" s="2"/>
      <c r="B156" s="2"/>
      <c r="C156" s="17"/>
      <c r="D156" s="17"/>
      <c r="E156" s="17"/>
      <c r="F156" s="17"/>
      <c r="H156" s="78"/>
      <c r="J156" s="2"/>
      <c r="K156" s="2"/>
      <c r="L156" s="2"/>
      <c r="M156" s="2"/>
    </row>
    <row r="157" spans="1:13" s="18" customFormat="1" x14ac:dyDescent="0.4">
      <c r="A157" s="2"/>
      <c r="B157" s="2"/>
      <c r="C157" s="17"/>
      <c r="D157" s="17"/>
      <c r="E157" s="17"/>
      <c r="F157" s="17"/>
      <c r="H157" s="78"/>
      <c r="J157" s="2"/>
      <c r="K157" s="2"/>
      <c r="L157" s="2"/>
      <c r="M157" s="2"/>
    </row>
    <row r="158" spans="1:13" x14ac:dyDescent="0.4">
      <c r="H158" s="78"/>
    </row>
    <row r="159" spans="1:13" x14ac:dyDescent="0.4">
      <c r="H159" s="78"/>
    </row>
    <row r="160" spans="1:13" s="18" customFormat="1" x14ac:dyDescent="0.4">
      <c r="A160" s="2"/>
      <c r="B160" s="2"/>
      <c r="C160" s="17"/>
      <c r="D160" s="17"/>
      <c r="E160" s="17"/>
      <c r="F160" s="17"/>
      <c r="H160" s="78"/>
      <c r="J160" s="2"/>
      <c r="K160" s="2"/>
      <c r="L160" s="2"/>
      <c r="M160" s="2"/>
    </row>
    <row r="161" spans="1:8" x14ac:dyDescent="0.4">
      <c r="H161" s="78"/>
    </row>
    <row r="162" spans="1:8" x14ac:dyDescent="0.4">
      <c r="H162" s="78"/>
    </row>
    <row r="163" spans="1:8" x14ac:dyDescent="0.4">
      <c r="H163" s="78"/>
    </row>
    <row r="164" spans="1:8" x14ac:dyDescent="0.4">
      <c r="H164" s="78"/>
    </row>
    <row r="165" spans="1:8" x14ac:dyDescent="0.4">
      <c r="H165" s="78"/>
    </row>
    <row r="166" spans="1:8" x14ac:dyDescent="0.4">
      <c r="H166" s="78"/>
    </row>
    <row r="167" spans="1:8" x14ac:dyDescent="0.4">
      <c r="H167" s="78"/>
    </row>
    <row r="168" spans="1:8" x14ac:dyDescent="0.4">
      <c r="H168" s="78"/>
    </row>
    <row r="169" spans="1:8" x14ac:dyDescent="0.4">
      <c r="H169" s="78"/>
    </row>
    <row r="170" spans="1:8" x14ac:dyDescent="0.4">
      <c r="H170" s="78"/>
    </row>
    <row r="171" spans="1:8" x14ac:dyDescent="0.4">
      <c r="H171" s="78"/>
    </row>
    <row r="172" spans="1:8" x14ac:dyDescent="0.4">
      <c r="H172" s="78"/>
    </row>
    <row r="173" spans="1:8" x14ac:dyDescent="0.4">
      <c r="H173" s="78"/>
    </row>
    <row r="174" spans="1:8" x14ac:dyDescent="0.4">
      <c r="H174" s="78"/>
    </row>
    <row r="175" spans="1:8" x14ac:dyDescent="0.4">
      <c r="H175" s="78"/>
    </row>
    <row r="176" spans="1:8" x14ac:dyDescent="0.4">
      <c r="A176" s="18"/>
      <c r="B176" s="18"/>
      <c r="H176" s="78"/>
    </row>
    <row r="184" spans="3:13" x14ac:dyDescent="0.4">
      <c r="C184" s="2"/>
      <c r="D184" s="2"/>
      <c r="E184" s="2"/>
      <c r="F184" s="2"/>
      <c r="G184" s="2"/>
      <c r="I184" s="2"/>
      <c r="J184" s="18"/>
      <c r="K184" s="18"/>
      <c r="L184" s="18"/>
      <c r="M184" s="18"/>
    </row>
    <row r="278" spans="1:13" s="17" customFormat="1" x14ac:dyDescent="0.4">
      <c r="A278" s="2"/>
      <c r="B278" s="2"/>
      <c r="G278" s="18"/>
      <c r="H278" s="76"/>
      <c r="I278" s="18"/>
      <c r="J278" s="2"/>
      <c r="K278" s="2"/>
      <c r="L278" s="2"/>
      <c r="M278" s="2"/>
    </row>
    <row r="279" spans="1:13" s="17" customFormat="1" x14ac:dyDescent="0.4">
      <c r="A279" s="2"/>
      <c r="B279" s="2"/>
      <c r="G279" s="18"/>
      <c r="H279" s="76"/>
      <c r="I279" s="18"/>
      <c r="J279" s="2"/>
      <c r="K279" s="2"/>
      <c r="L279" s="2"/>
      <c r="M279" s="2"/>
    </row>
    <row r="280" spans="1:13" s="17" customFormat="1" x14ac:dyDescent="0.4">
      <c r="A280" s="2"/>
      <c r="B280" s="2"/>
      <c r="G280" s="18"/>
      <c r="H280" s="76"/>
      <c r="I280" s="18"/>
      <c r="J280" s="2"/>
      <c r="K280" s="2"/>
      <c r="L280" s="2"/>
      <c r="M280" s="2"/>
    </row>
    <row r="281" spans="1:13" s="17" customFormat="1" x14ac:dyDescent="0.4">
      <c r="A281" s="2"/>
      <c r="B281" s="2"/>
      <c r="G281" s="18"/>
      <c r="H281" s="76"/>
      <c r="I281" s="18"/>
      <c r="J281" s="2"/>
      <c r="K281" s="2"/>
      <c r="L281" s="2"/>
      <c r="M281" s="2"/>
    </row>
    <row r="282" spans="1:13" s="17" customFormat="1" x14ac:dyDescent="0.4">
      <c r="A282" s="2"/>
      <c r="B282" s="2"/>
      <c r="G282" s="18"/>
      <c r="H282" s="76"/>
      <c r="I282" s="18"/>
      <c r="J282" s="2"/>
      <c r="K282" s="2"/>
      <c r="L282" s="2"/>
      <c r="M282" s="2"/>
    </row>
    <row r="283" spans="1:13" s="17" customFormat="1" x14ac:dyDescent="0.4">
      <c r="A283" s="2"/>
      <c r="B283" s="2"/>
      <c r="G283" s="18"/>
      <c r="H283" s="76"/>
      <c r="I283" s="18"/>
      <c r="J283" s="2"/>
      <c r="K283" s="2"/>
      <c r="L283" s="2"/>
      <c r="M283" s="2"/>
    </row>
    <row r="284" spans="1:13" s="17" customFormat="1" x14ac:dyDescent="0.4">
      <c r="A284" s="2"/>
      <c r="B284" s="2"/>
      <c r="G284" s="18"/>
      <c r="H284" s="76"/>
      <c r="I284" s="18"/>
      <c r="J284" s="2"/>
      <c r="K284" s="2"/>
      <c r="L284" s="2"/>
      <c r="M284" s="2"/>
    </row>
    <row r="285" spans="1:13" s="17" customFormat="1" x14ac:dyDescent="0.4">
      <c r="A285" s="2"/>
      <c r="B285" s="2"/>
      <c r="G285" s="18"/>
      <c r="H285" s="76"/>
      <c r="I285" s="18"/>
      <c r="J285" s="2"/>
      <c r="K285" s="2"/>
      <c r="L285" s="2"/>
      <c r="M285" s="2"/>
    </row>
    <row r="286" spans="1:13" s="17" customFormat="1" x14ac:dyDescent="0.4">
      <c r="A286" s="2"/>
      <c r="B286" s="2"/>
      <c r="G286" s="18"/>
      <c r="H286" s="76"/>
      <c r="I286" s="18"/>
      <c r="J286" s="2"/>
      <c r="K286" s="2"/>
      <c r="L286" s="2"/>
      <c r="M286" s="2"/>
    </row>
    <row r="287" spans="1:13" s="17" customFormat="1" x14ac:dyDescent="0.4">
      <c r="A287" s="2"/>
      <c r="B287" s="2"/>
      <c r="G287" s="18"/>
      <c r="H287" s="76"/>
      <c r="I287" s="18"/>
      <c r="J287" s="2"/>
      <c r="K287" s="2"/>
      <c r="L287" s="2"/>
      <c r="M287" s="2"/>
    </row>
    <row r="288" spans="1:13" s="17" customFormat="1" x14ac:dyDescent="0.4">
      <c r="A288" s="2"/>
      <c r="B288" s="2"/>
      <c r="G288" s="18"/>
      <c r="H288" s="76"/>
      <c r="I288" s="18"/>
      <c r="J288" s="2"/>
      <c r="K288" s="2"/>
      <c r="L288" s="2"/>
      <c r="M288" s="2"/>
    </row>
    <row r="289" spans="1:13" s="17" customFormat="1" x14ac:dyDescent="0.4">
      <c r="A289" s="2"/>
      <c r="B289" s="2"/>
      <c r="G289" s="18"/>
      <c r="H289" s="76"/>
      <c r="I289" s="18"/>
      <c r="J289" s="2"/>
      <c r="K289" s="2"/>
      <c r="L289" s="2"/>
      <c r="M289" s="2"/>
    </row>
    <row r="290" spans="1:13" s="17" customFormat="1" x14ac:dyDescent="0.4">
      <c r="A290" s="2"/>
      <c r="B290" s="2"/>
      <c r="G290" s="18"/>
      <c r="H290" s="76"/>
      <c r="I290" s="18"/>
      <c r="J290" s="2"/>
      <c r="K290" s="2"/>
      <c r="L290" s="2"/>
      <c r="M290" s="2"/>
    </row>
    <row r="291" spans="1:13" s="17" customFormat="1" x14ac:dyDescent="0.4">
      <c r="A291" s="2"/>
      <c r="B291" s="2"/>
      <c r="G291" s="18"/>
      <c r="H291" s="76"/>
      <c r="I291" s="18"/>
      <c r="J291" s="2"/>
      <c r="K291" s="2"/>
      <c r="L291" s="2"/>
      <c r="M291" s="2"/>
    </row>
    <row r="292" spans="1:13" s="17" customFormat="1" x14ac:dyDescent="0.4">
      <c r="A292" s="2"/>
      <c r="B292" s="2"/>
      <c r="G292" s="18"/>
      <c r="H292" s="76"/>
      <c r="I292" s="18"/>
      <c r="J292" s="2"/>
      <c r="K292" s="2"/>
      <c r="L292" s="2"/>
      <c r="M292" s="2"/>
    </row>
    <row r="293" spans="1:13" s="17" customFormat="1" x14ac:dyDescent="0.4">
      <c r="A293" s="2"/>
      <c r="B293" s="2"/>
      <c r="G293" s="18"/>
      <c r="H293" s="76"/>
      <c r="I293" s="18"/>
      <c r="J293" s="2"/>
      <c r="K293" s="2"/>
      <c r="L293" s="2"/>
      <c r="M293" s="2"/>
    </row>
    <row r="294" spans="1:13" s="17" customFormat="1" x14ac:dyDescent="0.4">
      <c r="A294" s="2"/>
      <c r="B294" s="2"/>
      <c r="G294" s="18"/>
      <c r="H294" s="76"/>
      <c r="I294" s="18"/>
      <c r="J294" s="2"/>
      <c r="K294" s="2"/>
      <c r="L294" s="2"/>
      <c r="M294" s="2"/>
    </row>
    <row r="295" spans="1:13" s="17" customFormat="1" x14ac:dyDescent="0.4">
      <c r="A295" s="2"/>
      <c r="B295" s="2"/>
      <c r="G295" s="18"/>
      <c r="H295" s="76"/>
      <c r="I295" s="18"/>
      <c r="J295" s="2"/>
      <c r="K295" s="2"/>
      <c r="L295" s="2"/>
      <c r="M295" s="2"/>
    </row>
    <row r="296" spans="1:13" s="17" customFormat="1" x14ac:dyDescent="0.4">
      <c r="A296" s="2"/>
      <c r="B296" s="2"/>
      <c r="G296" s="18"/>
      <c r="H296" s="76"/>
      <c r="I296" s="18"/>
      <c r="J296" s="2"/>
      <c r="K296" s="2"/>
      <c r="L296" s="2"/>
      <c r="M296" s="2"/>
    </row>
    <row r="297" spans="1:13" s="17" customFormat="1" x14ac:dyDescent="0.4">
      <c r="A297" s="2"/>
      <c r="B297" s="2"/>
      <c r="C297" s="14"/>
      <c r="G297" s="18"/>
      <c r="H297" s="76"/>
      <c r="I297" s="18"/>
      <c r="J297" s="2"/>
      <c r="K297" s="2"/>
      <c r="L297" s="2"/>
      <c r="M297" s="2"/>
    </row>
    <row r="298" spans="1:13" s="17" customFormat="1" x14ac:dyDescent="0.4">
      <c r="A298" s="2"/>
      <c r="B298" s="2"/>
      <c r="C298" s="14"/>
      <c r="G298" s="18"/>
      <c r="H298" s="76"/>
      <c r="I298" s="18"/>
      <c r="J298" s="2"/>
      <c r="K298" s="2"/>
      <c r="L298" s="2"/>
      <c r="M298" s="2"/>
    </row>
    <row r="299" spans="1:13" s="17" customFormat="1" x14ac:dyDescent="0.4">
      <c r="A299" s="2"/>
      <c r="B299" s="2"/>
      <c r="C299" s="14"/>
      <c r="G299" s="18"/>
      <c r="H299" s="76"/>
      <c r="I299" s="18"/>
      <c r="J299" s="2"/>
      <c r="K299" s="2"/>
      <c r="L299" s="2"/>
      <c r="M299" s="2"/>
    </row>
    <row r="300" spans="1:13" s="17" customFormat="1" x14ac:dyDescent="0.4">
      <c r="A300" s="2"/>
      <c r="B300" s="2"/>
      <c r="C300" s="14"/>
      <c r="G300" s="18"/>
      <c r="H300" s="76"/>
      <c r="I300" s="18"/>
      <c r="J300" s="2"/>
      <c r="K300" s="2"/>
      <c r="L300" s="2"/>
      <c r="M300" s="2"/>
    </row>
    <row r="301" spans="1:13" s="17" customFormat="1" x14ac:dyDescent="0.4">
      <c r="A301" s="2"/>
      <c r="B301" s="2"/>
      <c r="C301" s="14"/>
      <c r="G301" s="18"/>
      <c r="H301" s="76"/>
      <c r="I301" s="18"/>
      <c r="J301" s="2"/>
      <c r="K301" s="2"/>
      <c r="L301" s="2"/>
      <c r="M301" s="2"/>
    </row>
    <row r="302" spans="1:13" s="17" customFormat="1" x14ac:dyDescent="0.4">
      <c r="A302" s="2"/>
      <c r="B302" s="2"/>
      <c r="C302" s="14"/>
      <c r="G302" s="18"/>
      <c r="H302" s="76"/>
      <c r="I302" s="18"/>
      <c r="J302" s="2"/>
      <c r="K302" s="2"/>
      <c r="L302" s="2"/>
      <c r="M302" s="2"/>
    </row>
    <row r="303" spans="1:13" s="17" customFormat="1" x14ac:dyDescent="0.4">
      <c r="A303" s="2"/>
      <c r="B303" s="2"/>
      <c r="C303" s="14"/>
      <c r="G303" s="18"/>
      <c r="H303" s="76"/>
      <c r="I303" s="18"/>
      <c r="J303" s="2"/>
      <c r="K303" s="2"/>
      <c r="L303" s="2"/>
      <c r="M303" s="2"/>
    </row>
    <row r="304" spans="1:13" s="17" customFormat="1" x14ac:dyDescent="0.4">
      <c r="A304" s="2"/>
      <c r="B304" s="2"/>
      <c r="C304" s="14"/>
      <c r="G304" s="18"/>
      <c r="H304" s="76"/>
      <c r="I304" s="18"/>
      <c r="J304" s="2"/>
      <c r="K304" s="2"/>
      <c r="L304" s="2"/>
      <c r="M304" s="2"/>
    </row>
    <row r="305" spans="1:13" s="17" customFormat="1" x14ac:dyDescent="0.4">
      <c r="A305" s="2"/>
      <c r="B305" s="2"/>
      <c r="C305" s="14"/>
      <c r="G305" s="18"/>
      <c r="H305" s="76"/>
      <c r="I305" s="18"/>
      <c r="J305" s="2"/>
      <c r="K305" s="2"/>
      <c r="L305" s="2"/>
      <c r="M305" s="2"/>
    </row>
    <row r="306" spans="1:13" s="17" customFormat="1" x14ac:dyDescent="0.4">
      <c r="A306" s="2"/>
      <c r="B306" s="2"/>
      <c r="C306" s="14"/>
      <c r="G306" s="18"/>
      <c r="H306" s="76"/>
      <c r="I306" s="18"/>
      <c r="J306" s="2"/>
      <c r="K306" s="2"/>
      <c r="L306" s="2"/>
      <c r="M306" s="2"/>
    </row>
    <row r="307" spans="1:13" s="17" customFormat="1" x14ac:dyDescent="0.4">
      <c r="A307" s="2"/>
      <c r="B307" s="2"/>
      <c r="C307" s="14"/>
      <c r="G307" s="18"/>
      <c r="H307" s="76"/>
      <c r="I307" s="18"/>
      <c r="J307" s="2"/>
      <c r="K307" s="2"/>
      <c r="L307" s="2"/>
      <c r="M307" s="2"/>
    </row>
    <row r="308" spans="1:13" s="17" customFormat="1" x14ac:dyDescent="0.4">
      <c r="A308" s="2"/>
      <c r="B308" s="2"/>
      <c r="C308" s="14"/>
      <c r="G308" s="18"/>
      <c r="H308" s="76"/>
      <c r="I308" s="18"/>
      <c r="J308" s="2"/>
      <c r="K308" s="2"/>
      <c r="L308" s="2"/>
      <c r="M308" s="2"/>
    </row>
    <row r="309" spans="1:13" s="17" customFormat="1" x14ac:dyDescent="0.4">
      <c r="A309" s="2"/>
      <c r="B309" s="2"/>
      <c r="C309" s="14"/>
      <c r="G309" s="18"/>
      <c r="H309" s="76"/>
      <c r="I309" s="18"/>
      <c r="J309" s="2"/>
      <c r="K309" s="2"/>
      <c r="L309" s="2"/>
      <c r="M309" s="2"/>
    </row>
    <row r="310" spans="1:13" s="17" customFormat="1" x14ac:dyDescent="0.4">
      <c r="A310" s="2"/>
      <c r="B310" s="2"/>
      <c r="C310" s="14"/>
      <c r="G310" s="18"/>
      <c r="H310" s="76"/>
      <c r="I310" s="18"/>
      <c r="J310" s="2"/>
      <c r="K310" s="2"/>
      <c r="L310" s="2"/>
      <c r="M310" s="2"/>
    </row>
    <row r="311" spans="1:13" s="17" customFormat="1" x14ac:dyDescent="0.4">
      <c r="A311" s="2"/>
      <c r="B311" s="2"/>
      <c r="C311" s="14"/>
      <c r="G311" s="18"/>
      <c r="H311" s="76"/>
      <c r="I311" s="18"/>
      <c r="J311" s="2"/>
      <c r="K311" s="2"/>
      <c r="L311" s="2"/>
      <c r="M311" s="2"/>
    </row>
    <row r="312" spans="1:13" x14ac:dyDescent="0.4">
      <c r="C312" s="14"/>
    </row>
    <row r="313" spans="1:13" x14ac:dyDescent="0.4">
      <c r="C313" s="14"/>
    </row>
    <row r="314" spans="1:13" x14ac:dyDescent="0.4">
      <c r="C314" s="14"/>
    </row>
    <row r="315" spans="1:13" x14ac:dyDescent="0.4">
      <c r="C315" s="14"/>
    </row>
    <row r="316" spans="1:13" x14ac:dyDescent="0.4">
      <c r="C316" s="14"/>
    </row>
    <row r="317" spans="1:13" x14ac:dyDescent="0.4">
      <c r="C317" s="14"/>
    </row>
    <row r="318" spans="1:13" x14ac:dyDescent="0.4">
      <c r="C318" s="14"/>
    </row>
    <row r="319" spans="1:13" x14ac:dyDescent="0.4">
      <c r="C319" s="14"/>
    </row>
    <row r="320" spans="1:13" x14ac:dyDescent="0.4">
      <c r="C320" s="14"/>
    </row>
    <row r="321" spans="3:9" x14ac:dyDescent="0.4">
      <c r="C321" s="14"/>
    </row>
    <row r="322" spans="3:9" x14ac:dyDescent="0.4">
      <c r="C322" s="14"/>
    </row>
    <row r="323" spans="3:9" x14ac:dyDescent="0.4">
      <c r="C323" s="14"/>
    </row>
    <row r="324" spans="3:9" x14ac:dyDescent="0.4">
      <c r="C324" s="14"/>
    </row>
    <row r="325" spans="3:9" x14ac:dyDescent="0.4">
      <c r="C325" s="14"/>
    </row>
    <row r="326" spans="3:9" x14ac:dyDescent="0.4">
      <c r="C326" s="14"/>
    </row>
    <row r="327" spans="3:9" x14ac:dyDescent="0.4">
      <c r="C327" s="14"/>
    </row>
    <row r="328" spans="3:9" x14ac:dyDescent="0.4">
      <c r="C328" s="14"/>
      <c r="D328" s="2"/>
      <c r="E328" s="2"/>
      <c r="F328" s="2"/>
      <c r="G328" s="2"/>
      <c r="I328" s="2"/>
    </row>
  </sheetData>
  <pageMargins left="0.7" right="0.7" top="0.75" bottom="0.75" header="0.3" footer="0.3"/>
  <pageSetup orientation="portrait"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14"/>
  <dimension ref="A1:M126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3.52734375" style="21" bestFit="1" customWidth="1"/>
    <col min="2" max="2" width="30.3515625" style="9" customWidth="1"/>
    <col min="3" max="3" width="13.64453125" style="17" hidden="1" customWidth="1" outlineLevel="1"/>
    <col min="4" max="5" width="11" style="17" hidden="1" customWidth="1" outlineLevel="1"/>
    <col min="6" max="6" width="12.3515625" style="17" hidden="1" customWidth="1" outlineLevel="1"/>
    <col min="7" max="7" width="15.64453125" style="18" hidden="1" customWidth="1" outlineLevel="1"/>
    <col min="8" max="8" width="15.46875" style="76" hidden="1" customWidth="1" outlineLevel="1"/>
    <col min="9" max="9" width="13.05859375" style="18" bestFit="1" customWidth="1" collapsed="1"/>
    <col min="10" max="10" width="13.46875" style="2" customWidth="1"/>
    <col min="11" max="11" width="12.3515625" style="2" bestFit="1" customWidth="1"/>
    <col min="12" max="12" width="13.17578125" style="2" customWidth="1"/>
    <col min="13" max="13" width="11.87890625" style="2" customWidth="1"/>
    <col min="14" max="16384" width="9.05859375" style="21"/>
  </cols>
  <sheetData>
    <row r="1" spans="1:13" x14ac:dyDescent="0.4">
      <c r="A1" s="22" t="s">
        <v>901</v>
      </c>
      <c r="B1" s="1"/>
    </row>
    <row r="2" spans="1:13" x14ac:dyDescent="0.4">
      <c r="A2" s="22" t="s">
        <v>603</v>
      </c>
      <c r="B2" s="1"/>
    </row>
    <row r="3" spans="1:13" x14ac:dyDescent="0.4">
      <c r="A3" s="3">
        <v>43131</v>
      </c>
      <c r="B3" s="3"/>
      <c r="F3" s="17" t="s">
        <v>261</v>
      </c>
      <c r="G3" s="18" t="s">
        <v>261</v>
      </c>
      <c r="H3" s="4"/>
    </row>
    <row r="5" spans="1:13" s="10" customFormat="1" x14ac:dyDescent="0.4">
      <c r="A5" s="21" t="s">
        <v>484</v>
      </c>
      <c r="B5" s="9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18" t="s">
        <v>1</v>
      </c>
      <c r="H5" s="76" t="s">
        <v>280</v>
      </c>
      <c r="I5" s="19" t="s">
        <v>281</v>
      </c>
      <c r="J5" s="17"/>
      <c r="K5" s="17"/>
      <c r="L5" s="416" t="s">
        <v>282</v>
      </c>
      <c r="M5" s="416" t="s">
        <v>284</v>
      </c>
    </row>
    <row r="6" spans="1:13" s="10" customFormat="1" x14ac:dyDescent="0.4">
      <c r="A6" s="126" t="s">
        <v>1047</v>
      </c>
      <c r="B6" s="12" t="s">
        <v>1048</v>
      </c>
      <c r="C6" s="78">
        <v>191978.67</v>
      </c>
      <c r="D6" s="78"/>
      <c r="E6" s="78"/>
      <c r="F6" s="78"/>
      <c r="G6" s="79">
        <f t="shared" ref="G6:G70" si="0">SUM(C6:F6)</f>
        <v>191978.67</v>
      </c>
      <c r="H6" s="78" t="s">
        <v>287</v>
      </c>
      <c r="I6" s="79">
        <f>G6*1</f>
        <v>191978.67</v>
      </c>
      <c r="J6" s="17"/>
      <c r="K6" s="17"/>
      <c r="L6" s="417" t="s">
        <v>287</v>
      </c>
      <c r="M6" s="418">
        <v>552468.01</v>
      </c>
    </row>
    <row r="7" spans="1:13" s="10" customFormat="1" x14ac:dyDescent="0.4">
      <c r="A7" s="126" t="s">
        <v>1049</v>
      </c>
      <c r="B7" s="12" t="s">
        <v>1050</v>
      </c>
      <c r="C7" s="78">
        <v>8524.44</v>
      </c>
      <c r="D7" s="78"/>
      <c r="E7" s="78"/>
      <c r="F7" s="78"/>
      <c r="G7" s="79">
        <f t="shared" si="0"/>
        <v>8524.44</v>
      </c>
      <c r="H7" s="78" t="s">
        <v>287</v>
      </c>
      <c r="I7" s="79">
        <f t="shared" ref="I7:I71" si="1">G7*1</f>
        <v>8524.44</v>
      </c>
      <c r="J7" s="17"/>
      <c r="K7" s="17"/>
      <c r="L7" s="417" t="s">
        <v>288</v>
      </c>
      <c r="M7" s="418">
        <v>-145422.89000000001</v>
      </c>
    </row>
    <row r="8" spans="1:13" s="10" customFormat="1" x14ac:dyDescent="0.4">
      <c r="A8" s="126" t="s">
        <v>1051</v>
      </c>
      <c r="B8" s="12" t="s">
        <v>1052</v>
      </c>
      <c r="C8" s="78">
        <v>0</v>
      </c>
      <c r="D8" s="78"/>
      <c r="E8" s="78"/>
      <c r="F8" s="78"/>
      <c r="G8" s="79">
        <f t="shared" si="0"/>
        <v>0</v>
      </c>
      <c r="H8" s="78" t="s">
        <v>287</v>
      </c>
      <c r="I8" s="79">
        <f t="shared" si="1"/>
        <v>0</v>
      </c>
      <c r="J8" s="17"/>
      <c r="K8" s="17"/>
      <c r="L8" s="417" t="s">
        <v>292</v>
      </c>
      <c r="M8" s="418">
        <v>-204999</v>
      </c>
    </row>
    <row r="9" spans="1:13" s="10" customFormat="1" x14ac:dyDescent="0.4">
      <c r="A9" s="126" t="s">
        <v>1053</v>
      </c>
      <c r="B9" s="12" t="s">
        <v>1054</v>
      </c>
      <c r="C9" s="78">
        <v>79075</v>
      </c>
      <c r="D9" s="78"/>
      <c r="E9" s="78"/>
      <c r="F9" s="78"/>
      <c r="G9" s="79">
        <f t="shared" si="0"/>
        <v>79075</v>
      </c>
      <c r="H9" s="78" t="s">
        <v>287</v>
      </c>
      <c r="I9" s="79">
        <f t="shared" si="1"/>
        <v>79075</v>
      </c>
      <c r="J9" s="17"/>
      <c r="K9" s="17"/>
      <c r="L9" s="417" t="s">
        <v>291</v>
      </c>
      <c r="M9" s="418">
        <v>-2846.4</v>
      </c>
    </row>
    <row r="10" spans="1:13" s="10" customFormat="1" x14ac:dyDescent="0.4">
      <c r="A10" s="68" t="s">
        <v>1055</v>
      </c>
      <c r="B10" s="12" t="s">
        <v>1056</v>
      </c>
      <c r="C10" s="78">
        <v>0</v>
      </c>
      <c r="D10" s="78"/>
      <c r="E10" s="78"/>
      <c r="F10" s="78">
        <v>0</v>
      </c>
      <c r="G10" s="79">
        <f t="shared" si="0"/>
        <v>0</v>
      </c>
      <c r="H10" s="78" t="s">
        <v>287</v>
      </c>
      <c r="I10" s="79">
        <f t="shared" si="1"/>
        <v>0</v>
      </c>
      <c r="J10" s="17"/>
      <c r="K10" s="17"/>
      <c r="L10" s="417" t="s">
        <v>289</v>
      </c>
      <c r="M10" s="418">
        <v>-61827.3</v>
      </c>
    </row>
    <row r="11" spans="1:13" s="10" customFormat="1" x14ac:dyDescent="0.4">
      <c r="A11" s="125" t="s">
        <v>1057</v>
      </c>
      <c r="B11" s="125" t="s">
        <v>1058</v>
      </c>
      <c r="C11" s="78">
        <v>170052.7</v>
      </c>
      <c r="D11" s="78"/>
      <c r="E11" s="78"/>
      <c r="F11" s="78"/>
      <c r="G11" s="79">
        <f t="shared" si="0"/>
        <v>170052.7</v>
      </c>
      <c r="H11" s="78" t="s">
        <v>287</v>
      </c>
      <c r="I11" s="79">
        <f t="shared" si="1"/>
        <v>170052.7</v>
      </c>
      <c r="J11" s="17"/>
      <c r="K11" s="17"/>
      <c r="L11" s="417" t="s">
        <v>290</v>
      </c>
      <c r="M11" s="418">
        <v>-28343.040000000001</v>
      </c>
    </row>
    <row r="12" spans="1:13" s="17" customFormat="1" x14ac:dyDescent="0.4">
      <c r="A12" s="126" t="s">
        <v>1059</v>
      </c>
      <c r="B12" s="12" t="s">
        <v>1060</v>
      </c>
      <c r="C12" s="78">
        <v>0</v>
      </c>
      <c r="D12" s="78"/>
      <c r="E12" s="78"/>
      <c r="F12" s="78"/>
      <c r="G12" s="79">
        <f t="shared" si="0"/>
        <v>0</v>
      </c>
      <c r="H12" s="78" t="s">
        <v>287</v>
      </c>
      <c r="I12" s="79">
        <f t="shared" si="1"/>
        <v>0</v>
      </c>
      <c r="J12" s="78"/>
      <c r="K12" s="78"/>
      <c r="L12" s="417" t="s">
        <v>299</v>
      </c>
      <c r="M12" s="418">
        <v>-5226.1400000000003</v>
      </c>
    </row>
    <row r="13" spans="1:13" s="17" customFormat="1" x14ac:dyDescent="0.4">
      <c r="A13" s="126" t="s">
        <v>1061</v>
      </c>
      <c r="B13" s="12" t="s">
        <v>1062</v>
      </c>
      <c r="C13" s="78">
        <v>0</v>
      </c>
      <c r="D13" s="78"/>
      <c r="E13" s="78"/>
      <c r="F13" s="78"/>
      <c r="G13" s="79">
        <f t="shared" si="0"/>
        <v>0</v>
      </c>
      <c r="H13" s="78" t="s">
        <v>287</v>
      </c>
      <c r="I13" s="79">
        <f t="shared" si="1"/>
        <v>0</v>
      </c>
      <c r="L13" s="417" t="s">
        <v>862</v>
      </c>
      <c r="M13" s="418">
        <v>0</v>
      </c>
    </row>
    <row r="14" spans="1:13" s="17" customFormat="1" x14ac:dyDescent="0.4">
      <c r="A14" s="126" t="s">
        <v>1063</v>
      </c>
      <c r="B14" s="12" t="s">
        <v>1064</v>
      </c>
      <c r="C14" s="78">
        <v>97463.45</v>
      </c>
      <c r="D14" s="78"/>
      <c r="E14" s="78"/>
      <c r="F14" s="78"/>
      <c r="G14" s="79">
        <f t="shared" si="0"/>
        <v>97463.45</v>
      </c>
      <c r="H14" s="78" t="s">
        <v>287</v>
      </c>
      <c r="I14" s="79">
        <f t="shared" si="1"/>
        <v>97463.45</v>
      </c>
      <c r="L14" s="417" t="s">
        <v>283</v>
      </c>
      <c r="M14" s="418">
        <v>103803.24</v>
      </c>
    </row>
    <row r="15" spans="1:13" s="10" customFormat="1" ht="14.35" x14ac:dyDescent="0.5">
      <c r="A15" s="126" t="s">
        <v>1065</v>
      </c>
      <c r="B15" s="12" t="s">
        <v>1066</v>
      </c>
      <c r="C15" s="78">
        <v>0</v>
      </c>
      <c r="D15" s="78"/>
      <c r="E15" s="78"/>
      <c r="F15" s="78"/>
      <c r="G15" s="79">
        <f t="shared" si="0"/>
        <v>0</v>
      </c>
      <c r="H15" s="78" t="s">
        <v>287</v>
      </c>
      <c r="I15" s="79">
        <f t="shared" si="1"/>
        <v>0</v>
      </c>
      <c r="J15" s="17"/>
      <c r="K15" s="17"/>
      <c r="L15"/>
      <c r="M15"/>
    </row>
    <row r="16" spans="1:13" s="10" customFormat="1" x14ac:dyDescent="0.4">
      <c r="A16" s="126" t="s">
        <v>1067</v>
      </c>
      <c r="B16" s="12" t="s">
        <v>1068</v>
      </c>
      <c r="C16" s="78">
        <v>5370.21</v>
      </c>
      <c r="D16" s="78"/>
      <c r="E16" s="78"/>
      <c r="F16" s="78"/>
      <c r="G16" s="79">
        <f t="shared" si="0"/>
        <v>5370.21</v>
      </c>
      <c r="H16" s="78" t="s">
        <v>287</v>
      </c>
      <c r="I16" s="79">
        <f t="shared" si="1"/>
        <v>5370.21</v>
      </c>
      <c r="J16" s="78"/>
      <c r="K16" s="78"/>
      <c r="L16" s="76"/>
      <c r="M16" s="76"/>
    </row>
    <row r="17" spans="1:13" s="10" customFormat="1" x14ac:dyDescent="0.4">
      <c r="A17" s="126" t="s">
        <v>1069</v>
      </c>
      <c r="B17" s="12" t="s">
        <v>1070</v>
      </c>
      <c r="C17" s="78">
        <v>3.54</v>
      </c>
      <c r="D17" s="78"/>
      <c r="E17" s="78"/>
      <c r="F17" s="78"/>
      <c r="G17" s="79">
        <f t="shared" si="0"/>
        <v>3.54</v>
      </c>
      <c r="H17" s="78" t="s">
        <v>287</v>
      </c>
      <c r="I17" s="79">
        <f t="shared" si="1"/>
        <v>3.54</v>
      </c>
      <c r="J17" s="17"/>
      <c r="K17" s="17"/>
      <c r="L17" s="2"/>
      <c r="M17" s="2"/>
    </row>
    <row r="18" spans="1:13" s="10" customFormat="1" x14ac:dyDescent="0.4">
      <c r="A18" s="126" t="s">
        <v>1071</v>
      </c>
      <c r="B18" s="12" t="s">
        <v>1072</v>
      </c>
      <c r="C18" s="78">
        <v>0</v>
      </c>
      <c r="D18" s="78"/>
      <c r="E18" s="78"/>
      <c r="F18" s="78"/>
      <c r="G18" s="79">
        <f t="shared" si="0"/>
        <v>0</v>
      </c>
      <c r="H18" s="78" t="s">
        <v>287</v>
      </c>
      <c r="I18" s="79">
        <f t="shared" si="1"/>
        <v>0</v>
      </c>
      <c r="J18" s="17"/>
      <c r="K18" s="17"/>
      <c r="L18" s="2"/>
      <c r="M18" s="2"/>
    </row>
    <row r="19" spans="1:13" s="10" customFormat="1" x14ac:dyDescent="0.4">
      <c r="A19" s="27" t="s">
        <v>1073</v>
      </c>
      <c r="B19" s="125" t="s">
        <v>1074</v>
      </c>
      <c r="C19" s="78">
        <v>0</v>
      </c>
      <c r="D19" s="78"/>
      <c r="E19" s="78"/>
      <c r="F19" s="78"/>
      <c r="G19" s="79">
        <f t="shared" si="0"/>
        <v>0</v>
      </c>
      <c r="H19" s="78" t="s">
        <v>287</v>
      </c>
      <c r="I19" s="79">
        <f t="shared" si="1"/>
        <v>0</v>
      </c>
      <c r="J19" s="17"/>
      <c r="K19" s="17"/>
      <c r="L19" s="2"/>
      <c r="M19" s="2"/>
    </row>
    <row r="20" spans="1:13" s="10" customFormat="1" x14ac:dyDescent="0.4">
      <c r="A20" s="126" t="s">
        <v>1075</v>
      </c>
      <c r="B20" s="12" t="s">
        <v>1076</v>
      </c>
      <c r="C20" s="78">
        <v>-11000</v>
      </c>
      <c r="D20" s="78"/>
      <c r="E20" s="78"/>
      <c r="F20" s="78"/>
      <c r="G20" s="79">
        <f t="shared" si="0"/>
        <v>-11000</v>
      </c>
      <c r="H20" s="78" t="s">
        <v>288</v>
      </c>
      <c r="I20" s="79">
        <f t="shared" si="1"/>
        <v>-11000</v>
      </c>
      <c r="J20" s="17"/>
      <c r="K20" s="17"/>
      <c r="L20" s="2"/>
      <c r="M20" s="16"/>
    </row>
    <row r="21" spans="1:13" s="10" customFormat="1" x14ac:dyDescent="0.4">
      <c r="A21" s="126" t="s">
        <v>509</v>
      </c>
      <c r="B21" s="12" t="s">
        <v>1077</v>
      </c>
      <c r="C21" s="78"/>
      <c r="D21" s="78"/>
      <c r="E21" s="78"/>
      <c r="F21" s="78"/>
      <c r="G21" s="79">
        <f t="shared" si="0"/>
        <v>0</v>
      </c>
      <c r="H21" s="78" t="s">
        <v>288</v>
      </c>
      <c r="I21" s="79">
        <f t="shared" si="1"/>
        <v>0</v>
      </c>
      <c r="J21" s="17"/>
      <c r="K21" s="17"/>
      <c r="L21" s="2"/>
      <c r="M21" s="2"/>
    </row>
    <row r="22" spans="1:13" s="10" customFormat="1" x14ac:dyDescent="0.4">
      <c r="A22" s="126" t="s">
        <v>1078</v>
      </c>
      <c r="B22" s="27" t="s">
        <v>1079</v>
      </c>
      <c r="C22" s="78">
        <v>0</v>
      </c>
      <c r="D22" s="78"/>
      <c r="E22" s="78"/>
      <c r="F22" s="78"/>
      <c r="G22" s="79">
        <f t="shared" si="0"/>
        <v>0</v>
      </c>
      <c r="H22" s="78" t="s">
        <v>288</v>
      </c>
      <c r="I22" s="79">
        <f t="shared" si="1"/>
        <v>0</v>
      </c>
      <c r="J22" s="17"/>
      <c r="K22" s="17"/>
      <c r="L22" s="2"/>
      <c r="M22" s="16"/>
    </row>
    <row r="23" spans="1:13" s="10" customFormat="1" x14ac:dyDescent="0.4">
      <c r="A23" s="126" t="s">
        <v>1080</v>
      </c>
      <c r="B23" s="12" t="s">
        <v>1081</v>
      </c>
      <c r="C23" s="78">
        <v>-108193.31</v>
      </c>
      <c r="D23" s="78"/>
      <c r="E23" s="78"/>
      <c r="F23" s="78"/>
      <c r="G23" s="79">
        <f t="shared" si="0"/>
        <v>-108193.31</v>
      </c>
      <c r="H23" s="78" t="s">
        <v>288</v>
      </c>
      <c r="I23" s="79">
        <f t="shared" si="1"/>
        <v>-108193.31</v>
      </c>
      <c r="J23" s="17"/>
      <c r="K23" s="17"/>
      <c r="L23" s="2"/>
      <c r="M23" s="16"/>
    </row>
    <row r="24" spans="1:13" s="10" customFormat="1" x14ac:dyDescent="0.4">
      <c r="A24" s="126" t="s">
        <v>1082</v>
      </c>
      <c r="B24" s="12" t="s">
        <v>1083</v>
      </c>
      <c r="C24" s="78">
        <v>0</v>
      </c>
      <c r="D24" s="78"/>
      <c r="E24" s="78"/>
      <c r="F24" s="78"/>
      <c r="G24" s="79">
        <f t="shared" si="0"/>
        <v>0</v>
      </c>
      <c r="H24" s="78" t="s">
        <v>288</v>
      </c>
      <c r="I24" s="79">
        <f t="shared" si="1"/>
        <v>0</v>
      </c>
      <c r="J24" s="17"/>
      <c r="K24" s="17"/>
      <c r="L24" s="17"/>
      <c r="M24" s="17"/>
    </row>
    <row r="25" spans="1:13" s="10" customFormat="1" x14ac:dyDescent="0.4">
      <c r="A25" s="125" t="s">
        <v>1084</v>
      </c>
      <c r="B25" s="125" t="s">
        <v>1085</v>
      </c>
      <c r="C25" s="78">
        <v>206.47</v>
      </c>
      <c r="D25" s="78"/>
      <c r="E25" s="78"/>
      <c r="F25" s="78"/>
      <c r="G25" s="79">
        <f t="shared" si="0"/>
        <v>206.47</v>
      </c>
      <c r="H25" s="78" t="s">
        <v>288</v>
      </c>
      <c r="I25" s="79">
        <f t="shared" si="1"/>
        <v>206.47</v>
      </c>
      <c r="J25" s="17"/>
      <c r="K25" s="17"/>
      <c r="L25" s="17"/>
      <c r="M25" s="17"/>
    </row>
    <row r="26" spans="1:13" s="10" customFormat="1" x14ac:dyDescent="0.4">
      <c r="A26" s="126" t="s">
        <v>1086</v>
      </c>
      <c r="B26" s="12" t="s">
        <v>1087</v>
      </c>
      <c r="C26" s="78">
        <v>-4312.28</v>
      </c>
      <c r="D26" s="78"/>
      <c r="E26" s="78"/>
      <c r="F26" s="78"/>
      <c r="G26" s="79">
        <f t="shared" si="0"/>
        <v>-4312.28</v>
      </c>
      <c r="H26" s="78" t="s">
        <v>288</v>
      </c>
      <c r="I26" s="79">
        <f t="shared" si="1"/>
        <v>-4312.28</v>
      </c>
      <c r="J26" s="17"/>
      <c r="K26" s="17"/>
      <c r="L26" s="17"/>
      <c r="M26" s="17"/>
    </row>
    <row r="27" spans="1:13" s="10" customFormat="1" x14ac:dyDescent="0.4">
      <c r="A27" s="126" t="s">
        <v>1088</v>
      </c>
      <c r="B27" s="12" t="s">
        <v>1089</v>
      </c>
      <c r="C27" s="78">
        <v>-7013.5</v>
      </c>
      <c r="D27" s="78"/>
      <c r="E27" s="78"/>
      <c r="F27" s="78"/>
      <c r="G27" s="79">
        <f t="shared" si="0"/>
        <v>-7013.5</v>
      </c>
      <c r="H27" s="78" t="s">
        <v>288</v>
      </c>
      <c r="I27" s="79">
        <f t="shared" si="1"/>
        <v>-7013.5</v>
      </c>
      <c r="J27" s="17"/>
      <c r="K27" s="17"/>
      <c r="L27" s="17"/>
      <c r="M27" s="17"/>
    </row>
    <row r="28" spans="1:13" s="10" customFormat="1" x14ac:dyDescent="0.4">
      <c r="A28" s="126" t="s">
        <v>1090</v>
      </c>
      <c r="B28" s="12" t="s">
        <v>1091</v>
      </c>
      <c r="C28" s="78">
        <v>-139.13</v>
      </c>
      <c r="D28" s="78"/>
      <c r="E28" s="78"/>
      <c r="F28" s="78"/>
      <c r="G28" s="79">
        <f t="shared" si="0"/>
        <v>-139.13</v>
      </c>
      <c r="H28" s="79" t="s">
        <v>288</v>
      </c>
      <c r="I28" s="79">
        <f t="shared" si="1"/>
        <v>-139.13</v>
      </c>
      <c r="J28" s="17"/>
      <c r="K28" s="17">
        <f>SUM(I6:I19)</f>
        <v>552468.01</v>
      </c>
      <c r="L28" s="17"/>
      <c r="M28" s="17"/>
    </row>
    <row r="29" spans="1:13" s="10" customFormat="1" x14ac:dyDescent="0.4">
      <c r="A29" s="126" t="s">
        <v>1092</v>
      </c>
      <c r="B29" s="12" t="s">
        <v>1093</v>
      </c>
      <c r="C29" s="78">
        <v>0</v>
      </c>
      <c r="D29" s="78"/>
      <c r="E29" s="78"/>
      <c r="F29" s="78"/>
      <c r="G29" s="79">
        <f t="shared" si="0"/>
        <v>0</v>
      </c>
      <c r="H29" s="78" t="s">
        <v>288</v>
      </c>
      <c r="I29" s="79">
        <f t="shared" si="1"/>
        <v>0</v>
      </c>
      <c r="J29" s="17"/>
      <c r="K29" s="17"/>
      <c r="L29" s="17"/>
      <c r="M29" s="17"/>
    </row>
    <row r="30" spans="1:13" s="10" customFormat="1" x14ac:dyDescent="0.4">
      <c r="A30" s="126" t="s">
        <v>1094</v>
      </c>
      <c r="B30" s="12" t="s">
        <v>1095</v>
      </c>
      <c r="C30" s="78">
        <v>0</v>
      </c>
      <c r="D30" s="78"/>
      <c r="E30" s="78"/>
      <c r="F30" s="78"/>
      <c r="G30" s="79">
        <f t="shared" si="0"/>
        <v>0</v>
      </c>
      <c r="H30" s="78" t="s">
        <v>288</v>
      </c>
      <c r="I30" s="79">
        <f t="shared" si="1"/>
        <v>0</v>
      </c>
      <c r="J30" s="17"/>
      <c r="K30" s="17"/>
      <c r="L30" s="17"/>
      <c r="M30" s="17"/>
    </row>
    <row r="31" spans="1:13" s="10" customFormat="1" x14ac:dyDescent="0.4">
      <c r="A31" s="126" t="s">
        <v>1096</v>
      </c>
      <c r="B31" s="12" t="s">
        <v>1097</v>
      </c>
      <c r="C31" s="78">
        <v>-14971.14</v>
      </c>
      <c r="D31" s="78"/>
      <c r="E31" s="78"/>
      <c r="F31" s="78"/>
      <c r="G31" s="79">
        <f t="shared" si="0"/>
        <v>-14971.14</v>
      </c>
      <c r="H31" s="78" t="s">
        <v>288</v>
      </c>
      <c r="I31" s="79">
        <f t="shared" si="1"/>
        <v>-14971.14</v>
      </c>
      <c r="J31" s="17"/>
      <c r="K31" s="17"/>
      <c r="L31" s="17"/>
      <c r="M31" s="17"/>
    </row>
    <row r="32" spans="1:13" s="10" customFormat="1" x14ac:dyDescent="0.4">
      <c r="A32" s="126" t="s">
        <v>1098</v>
      </c>
      <c r="B32" s="12" t="s">
        <v>1099</v>
      </c>
      <c r="C32" s="78">
        <v>0</v>
      </c>
      <c r="D32" s="78"/>
      <c r="E32" s="78"/>
      <c r="F32" s="78"/>
      <c r="G32" s="79">
        <f t="shared" si="0"/>
        <v>0</v>
      </c>
      <c r="H32" s="78" t="s">
        <v>288</v>
      </c>
      <c r="I32" s="79">
        <f t="shared" si="1"/>
        <v>0</v>
      </c>
      <c r="J32" s="78"/>
      <c r="K32" s="78"/>
      <c r="L32" s="78"/>
      <c r="M32" s="78"/>
    </row>
    <row r="33" spans="1:13" s="10" customFormat="1" x14ac:dyDescent="0.4">
      <c r="A33" s="126" t="s">
        <v>1100</v>
      </c>
      <c r="B33" s="12" t="s">
        <v>1101</v>
      </c>
      <c r="C33" s="78">
        <v>-9611.41</v>
      </c>
      <c r="D33" s="78"/>
      <c r="E33" s="78"/>
      <c r="F33" s="78"/>
      <c r="G33" s="79">
        <f t="shared" si="0"/>
        <v>-9611.41</v>
      </c>
      <c r="H33" s="78" t="s">
        <v>292</v>
      </c>
      <c r="I33" s="79">
        <f t="shared" si="1"/>
        <v>-9611.41</v>
      </c>
      <c r="J33" s="17"/>
      <c r="K33" s="17"/>
      <c r="L33" s="17"/>
      <c r="M33" s="17"/>
    </row>
    <row r="34" spans="1:13" s="17" customFormat="1" x14ac:dyDescent="0.4">
      <c r="A34" s="126" t="s">
        <v>1102</v>
      </c>
      <c r="B34" s="12" t="s">
        <v>1103</v>
      </c>
      <c r="C34" s="78">
        <v>-19921.05</v>
      </c>
      <c r="D34" s="78"/>
      <c r="E34" s="78"/>
      <c r="F34" s="78"/>
      <c r="G34" s="79">
        <f t="shared" si="0"/>
        <v>-19921.05</v>
      </c>
      <c r="H34" s="78" t="s">
        <v>292</v>
      </c>
      <c r="I34" s="79">
        <f t="shared" si="1"/>
        <v>-19921.05</v>
      </c>
    </row>
    <row r="35" spans="1:13" s="17" customFormat="1" x14ac:dyDescent="0.4">
      <c r="A35" s="126" t="s">
        <v>1104</v>
      </c>
      <c r="B35" s="12" t="s">
        <v>1105</v>
      </c>
      <c r="C35" s="78">
        <v>-6362.11</v>
      </c>
      <c r="D35" s="78"/>
      <c r="E35" s="78"/>
      <c r="F35" s="78"/>
      <c r="G35" s="79">
        <f t="shared" si="0"/>
        <v>-6362.11</v>
      </c>
      <c r="H35" s="78" t="s">
        <v>292</v>
      </c>
      <c r="I35" s="79">
        <f t="shared" si="1"/>
        <v>-6362.11</v>
      </c>
    </row>
    <row r="36" spans="1:13" s="10" customFormat="1" x14ac:dyDescent="0.4">
      <c r="A36" s="126" t="s">
        <v>1106</v>
      </c>
      <c r="B36" s="12" t="s">
        <v>1107</v>
      </c>
      <c r="C36" s="78">
        <v>-20462.04</v>
      </c>
      <c r="D36" s="78"/>
      <c r="E36" s="78"/>
      <c r="F36" s="78"/>
      <c r="G36" s="79">
        <f t="shared" si="0"/>
        <v>-20462.04</v>
      </c>
      <c r="H36" s="78" t="s">
        <v>292</v>
      </c>
      <c r="I36" s="79">
        <f t="shared" si="1"/>
        <v>-20462.04</v>
      </c>
      <c r="J36" s="17"/>
      <c r="K36" s="17"/>
      <c r="L36" s="17"/>
      <c r="M36" s="17"/>
    </row>
    <row r="37" spans="1:13" s="10" customFormat="1" x14ac:dyDescent="0.4">
      <c r="A37" s="126" t="s">
        <v>1108</v>
      </c>
      <c r="B37" s="12" t="s">
        <v>1109</v>
      </c>
      <c r="C37" s="78">
        <v>-33216.870000000003</v>
      </c>
      <c r="D37" s="78"/>
      <c r="E37" s="78"/>
      <c r="F37" s="78"/>
      <c r="G37" s="79">
        <f t="shared" si="0"/>
        <v>-33216.870000000003</v>
      </c>
      <c r="H37" s="78" t="s">
        <v>292</v>
      </c>
      <c r="I37" s="79">
        <f t="shared" si="1"/>
        <v>-33216.870000000003</v>
      </c>
      <c r="J37" s="17"/>
      <c r="K37" s="17"/>
      <c r="L37" s="17"/>
      <c r="M37" s="17"/>
    </row>
    <row r="38" spans="1:13" s="10" customFormat="1" x14ac:dyDescent="0.4">
      <c r="A38" s="126" t="s">
        <v>1110</v>
      </c>
      <c r="B38" s="12" t="s">
        <v>1111</v>
      </c>
      <c r="C38" s="78">
        <v>0</v>
      </c>
      <c r="D38" s="78"/>
      <c r="E38" s="78"/>
      <c r="F38" s="78"/>
      <c r="G38" s="79">
        <f t="shared" si="0"/>
        <v>0</v>
      </c>
      <c r="H38" s="78" t="s">
        <v>292</v>
      </c>
      <c r="I38" s="79">
        <f t="shared" si="1"/>
        <v>0</v>
      </c>
      <c r="J38" s="17"/>
      <c r="K38" s="17"/>
      <c r="L38" s="17"/>
      <c r="M38" s="17"/>
    </row>
    <row r="39" spans="1:13" s="10" customFormat="1" x14ac:dyDescent="0.4">
      <c r="A39" s="126" t="s">
        <v>1112</v>
      </c>
      <c r="B39" s="12" t="s">
        <v>1113</v>
      </c>
      <c r="C39" s="78">
        <v>0</v>
      </c>
      <c r="D39" s="78"/>
      <c r="E39" s="78"/>
      <c r="F39" s="78"/>
      <c r="G39" s="79">
        <f t="shared" si="0"/>
        <v>0</v>
      </c>
      <c r="H39" s="78" t="s">
        <v>292</v>
      </c>
      <c r="I39" s="79">
        <f t="shared" si="1"/>
        <v>0</v>
      </c>
      <c r="J39" s="17"/>
      <c r="K39" s="17"/>
      <c r="L39" s="17"/>
      <c r="M39" s="17"/>
    </row>
    <row r="40" spans="1:13" s="10" customFormat="1" x14ac:dyDescent="0.4">
      <c r="A40" s="126" t="s">
        <v>1114</v>
      </c>
      <c r="B40" s="12" t="s">
        <v>1115</v>
      </c>
      <c r="C40" s="78">
        <v>0</v>
      </c>
      <c r="D40" s="78"/>
      <c r="E40" s="78"/>
      <c r="F40" s="78"/>
      <c r="G40" s="79">
        <f t="shared" si="0"/>
        <v>0</v>
      </c>
      <c r="H40" s="78" t="s">
        <v>292</v>
      </c>
      <c r="I40" s="79">
        <f t="shared" si="1"/>
        <v>0</v>
      </c>
      <c r="J40" s="17"/>
      <c r="K40" s="17"/>
      <c r="L40" s="17"/>
      <c r="M40" s="17"/>
    </row>
    <row r="41" spans="1:13" s="10" customFormat="1" x14ac:dyDescent="0.4">
      <c r="A41" s="126" t="s">
        <v>1116</v>
      </c>
      <c r="B41" s="12" t="s">
        <v>1117</v>
      </c>
      <c r="C41" s="78">
        <v>-99</v>
      </c>
      <c r="D41" s="78"/>
      <c r="E41" s="78"/>
      <c r="F41" s="78"/>
      <c r="G41" s="79">
        <f t="shared" si="0"/>
        <v>-99</v>
      </c>
      <c r="H41" s="78" t="s">
        <v>291</v>
      </c>
      <c r="I41" s="79">
        <f t="shared" si="1"/>
        <v>-99</v>
      </c>
      <c r="J41" s="17"/>
      <c r="K41" s="17"/>
      <c r="L41" s="17"/>
      <c r="M41" s="17"/>
    </row>
    <row r="42" spans="1:13" s="10" customFormat="1" x14ac:dyDescent="0.4">
      <c r="A42" s="126" t="s">
        <v>1118</v>
      </c>
      <c r="B42" s="12" t="s">
        <v>1119</v>
      </c>
      <c r="C42" s="78">
        <v>-2747.4</v>
      </c>
      <c r="D42" s="78"/>
      <c r="E42" s="78"/>
      <c r="F42" s="78"/>
      <c r="G42" s="79">
        <f t="shared" si="0"/>
        <v>-2747.4</v>
      </c>
      <c r="H42" s="78" t="s">
        <v>291</v>
      </c>
      <c r="I42" s="79">
        <f t="shared" si="1"/>
        <v>-2747.4</v>
      </c>
      <c r="J42" s="17"/>
      <c r="K42" s="17"/>
      <c r="L42" s="17"/>
      <c r="M42" s="17"/>
    </row>
    <row r="43" spans="1:13" s="10" customFormat="1" x14ac:dyDescent="0.4">
      <c r="A43" s="126" t="s">
        <v>1120</v>
      </c>
      <c r="B43" s="12" t="s">
        <v>1121</v>
      </c>
      <c r="C43" s="78">
        <v>-408.09</v>
      </c>
      <c r="D43" s="78"/>
      <c r="E43" s="78"/>
      <c r="F43" s="78"/>
      <c r="G43" s="79">
        <f t="shared" si="0"/>
        <v>-408.09</v>
      </c>
      <c r="H43" s="78" t="s">
        <v>292</v>
      </c>
      <c r="I43" s="79">
        <f t="shared" si="1"/>
        <v>-408.09</v>
      </c>
      <c r="J43" s="17"/>
      <c r="K43" s="17"/>
      <c r="L43" s="17"/>
      <c r="M43" s="17"/>
    </row>
    <row r="44" spans="1:13" s="10" customFormat="1" x14ac:dyDescent="0.4">
      <c r="A44" s="126" t="s">
        <v>1122</v>
      </c>
      <c r="B44" s="12" t="s">
        <v>1123</v>
      </c>
      <c r="C44" s="78">
        <v>-3639.49</v>
      </c>
      <c r="D44" s="78"/>
      <c r="E44" s="78"/>
      <c r="F44" s="78"/>
      <c r="G44" s="79">
        <f t="shared" si="0"/>
        <v>-3639.49</v>
      </c>
      <c r="H44" s="78" t="s">
        <v>292</v>
      </c>
      <c r="I44" s="79">
        <f t="shared" si="1"/>
        <v>-3639.49</v>
      </c>
      <c r="J44" s="17"/>
      <c r="K44" s="17"/>
      <c r="L44" s="18"/>
      <c r="M44" s="18"/>
    </row>
    <row r="45" spans="1:13" s="10" customFormat="1" x14ac:dyDescent="0.4">
      <c r="A45" s="126" t="s">
        <v>1124</v>
      </c>
      <c r="B45" s="12" t="s">
        <v>1125</v>
      </c>
      <c r="C45" s="78">
        <v>0</v>
      </c>
      <c r="D45" s="78"/>
      <c r="E45" s="78"/>
      <c r="F45" s="78"/>
      <c r="G45" s="79">
        <f t="shared" si="0"/>
        <v>0</v>
      </c>
      <c r="H45" s="78" t="s">
        <v>292</v>
      </c>
      <c r="I45" s="79">
        <f t="shared" si="1"/>
        <v>0</v>
      </c>
      <c r="J45" s="18"/>
      <c r="K45" s="18"/>
      <c r="L45" s="17"/>
      <c r="M45" s="17"/>
    </row>
    <row r="46" spans="1:13" s="10" customFormat="1" x14ac:dyDescent="0.4">
      <c r="A46" s="126" t="s">
        <v>1126</v>
      </c>
      <c r="B46" s="12" t="s">
        <v>1127</v>
      </c>
      <c r="C46" s="78">
        <v>-5070.93</v>
      </c>
      <c r="D46" s="78"/>
      <c r="E46" s="78"/>
      <c r="F46" s="78"/>
      <c r="G46" s="79">
        <f t="shared" si="0"/>
        <v>-5070.93</v>
      </c>
      <c r="H46" s="78" t="s">
        <v>292</v>
      </c>
      <c r="I46" s="79">
        <f t="shared" si="1"/>
        <v>-5070.93</v>
      </c>
      <c r="J46" s="17"/>
      <c r="K46" s="17"/>
      <c r="L46" s="17"/>
      <c r="M46" s="17"/>
    </row>
    <row r="47" spans="1:13" s="10" customFormat="1" x14ac:dyDescent="0.4">
      <c r="A47" s="126" t="s">
        <v>1128</v>
      </c>
      <c r="B47" s="12" t="s">
        <v>1129</v>
      </c>
      <c r="C47" s="78">
        <v>-3280.2</v>
      </c>
      <c r="D47" s="78"/>
      <c r="E47" s="78"/>
      <c r="F47" s="78"/>
      <c r="G47" s="79">
        <f t="shared" si="0"/>
        <v>-3280.2</v>
      </c>
      <c r="H47" s="78" t="s">
        <v>292</v>
      </c>
      <c r="I47" s="79">
        <f t="shared" si="1"/>
        <v>-3280.2</v>
      </c>
      <c r="J47" s="17"/>
      <c r="K47" s="17"/>
      <c r="L47" s="17"/>
      <c r="M47" s="17"/>
    </row>
    <row r="48" spans="1:13" s="10" customFormat="1" x14ac:dyDescent="0.4">
      <c r="A48" s="126" t="s">
        <v>1130</v>
      </c>
      <c r="B48" s="12" t="s">
        <v>1131</v>
      </c>
      <c r="C48" s="78">
        <v>-1458.85</v>
      </c>
      <c r="D48" s="78"/>
      <c r="E48" s="78"/>
      <c r="F48" s="78"/>
      <c r="G48" s="79">
        <f t="shared" si="0"/>
        <v>-1458.85</v>
      </c>
      <c r="H48" s="78" t="s">
        <v>292</v>
      </c>
      <c r="I48" s="79">
        <f t="shared" si="1"/>
        <v>-1458.85</v>
      </c>
      <c r="J48" s="17"/>
      <c r="K48" s="17"/>
      <c r="L48" s="17"/>
      <c r="M48" s="17"/>
    </row>
    <row r="49" spans="1:13" s="10" customFormat="1" x14ac:dyDescent="0.4">
      <c r="A49" s="126" t="s">
        <v>1132</v>
      </c>
      <c r="B49" s="12" t="s">
        <v>186</v>
      </c>
      <c r="C49" s="78">
        <v>-18.21</v>
      </c>
      <c r="D49" s="78"/>
      <c r="E49" s="78"/>
      <c r="F49" s="78"/>
      <c r="G49" s="79">
        <f t="shared" si="0"/>
        <v>-18.21</v>
      </c>
      <c r="H49" s="78" t="s">
        <v>292</v>
      </c>
      <c r="I49" s="79">
        <f t="shared" si="1"/>
        <v>-18.21</v>
      </c>
      <c r="J49" s="17"/>
      <c r="K49" s="17"/>
      <c r="L49" s="17"/>
      <c r="M49" s="17"/>
    </row>
    <row r="50" spans="1:13" s="10" customFormat="1" x14ac:dyDescent="0.4">
      <c r="A50" s="126" t="s">
        <v>1133</v>
      </c>
      <c r="B50" s="12" t="s">
        <v>1134</v>
      </c>
      <c r="C50" s="78">
        <v>-1458.87</v>
      </c>
      <c r="D50" s="78"/>
      <c r="E50" s="78"/>
      <c r="F50" s="78"/>
      <c r="G50" s="79">
        <f t="shared" si="0"/>
        <v>-1458.87</v>
      </c>
      <c r="H50" s="78" t="s">
        <v>292</v>
      </c>
      <c r="I50" s="79">
        <f t="shared" si="1"/>
        <v>-1458.87</v>
      </c>
      <c r="J50" s="17"/>
      <c r="K50" s="17"/>
      <c r="L50" s="17"/>
      <c r="M50" s="17"/>
    </row>
    <row r="51" spans="1:13" s="10" customFormat="1" x14ac:dyDescent="0.4">
      <c r="A51" s="126" t="s">
        <v>1135</v>
      </c>
      <c r="B51" s="12" t="s">
        <v>1136</v>
      </c>
      <c r="C51" s="78">
        <v>-152.1</v>
      </c>
      <c r="D51" s="78"/>
      <c r="E51" s="78"/>
      <c r="F51" s="78"/>
      <c r="G51" s="79">
        <f t="shared" si="0"/>
        <v>-152.1</v>
      </c>
      <c r="H51" s="78" t="s">
        <v>292</v>
      </c>
      <c r="I51" s="79">
        <f t="shared" si="1"/>
        <v>-152.1</v>
      </c>
      <c r="J51" s="17"/>
      <c r="K51" s="17"/>
      <c r="L51" s="17"/>
      <c r="M51" s="17"/>
    </row>
    <row r="52" spans="1:13" s="10" customFormat="1" x14ac:dyDescent="0.4">
      <c r="A52" s="126" t="s">
        <v>1137</v>
      </c>
      <c r="B52" s="12" t="s">
        <v>1138</v>
      </c>
      <c r="C52" s="78">
        <v>416.9</v>
      </c>
      <c r="D52" s="78"/>
      <c r="E52" s="78"/>
      <c r="F52" s="78"/>
      <c r="G52" s="79">
        <f t="shared" si="0"/>
        <v>416.9</v>
      </c>
      <c r="H52" s="78" t="s">
        <v>292</v>
      </c>
      <c r="I52" s="79">
        <f t="shared" si="1"/>
        <v>416.9</v>
      </c>
      <c r="J52" s="17"/>
      <c r="K52" s="17"/>
      <c r="L52" s="17"/>
      <c r="M52" s="17"/>
    </row>
    <row r="53" spans="1:13" s="10" customFormat="1" x14ac:dyDescent="0.4">
      <c r="A53" s="126" t="s">
        <v>1139</v>
      </c>
      <c r="B53" s="12" t="s">
        <v>1140</v>
      </c>
      <c r="C53" s="78">
        <v>-135</v>
      </c>
      <c r="D53" s="78"/>
      <c r="E53" s="78"/>
      <c r="F53" s="78"/>
      <c r="G53" s="79">
        <f t="shared" si="0"/>
        <v>-135</v>
      </c>
      <c r="H53" s="78" t="s">
        <v>292</v>
      </c>
      <c r="I53" s="79">
        <f t="shared" si="1"/>
        <v>-135</v>
      </c>
      <c r="J53" s="17"/>
      <c r="K53" s="17"/>
      <c r="L53" s="17"/>
      <c r="M53" s="17"/>
    </row>
    <row r="54" spans="1:13" s="10" customFormat="1" x14ac:dyDescent="0.4">
      <c r="A54" s="126" t="s">
        <v>1141</v>
      </c>
      <c r="B54" s="12" t="s">
        <v>1142</v>
      </c>
      <c r="C54" s="78">
        <v>-1160.3699999999999</v>
      </c>
      <c r="D54" s="78"/>
      <c r="E54" s="78"/>
      <c r="F54" s="78"/>
      <c r="G54" s="79">
        <f t="shared" si="0"/>
        <v>-1160.3699999999999</v>
      </c>
      <c r="H54" s="78" t="s">
        <v>292</v>
      </c>
      <c r="I54" s="79">
        <f t="shared" si="1"/>
        <v>-1160.3699999999999</v>
      </c>
      <c r="J54" s="17"/>
      <c r="K54" s="17"/>
      <c r="L54" s="17"/>
      <c r="M54" s="17"/>
    </row>
    <row r="55" spans="1:13" s="10" customFormat="1" x14ac:dyDescent="0.4">
      <c r="A55" s="126" t="s">
        <v>1143</v>
      </c>
      <c r="B55" s="12" t="s">
        <v>1144</v>
      </c>
      <c r="C55" s="78">
        <v>-28343.040000000001</v>
      </c>
      <c r="D55" s="78"/>
      <c r="E55" s="78"/>
      <c r="F55" s="78"/>
      <c r="G55" s="79">
        <f t="shared" si="0"/>
        <v>-28343.040000000001</v>
      </c>
      <c r="H55" s="78" t="s">
        <v>290</v>
      </c>
      <c r="I55" s="79">
        <f t="shared" si="1"/>
        <v>-28343.040000000001</v>
      </c>
      <c r="J55" s="17"/>
      <c r="K55" s="17"/>
      <c r="L55" s="17"/>
      <c r="M55" s="17"/>
    </row>
    <row r="56" spans="1:13" s="10" customFormat="1" x14ac:dyDescent="0.4">
      <c r="A56" s="126" t="s">
        <v>1145</v>
      </c>
      <c r="B56" s="12" t="s">
        <v>1146</v>
      </c>
      <c r="C56" s="78">
        <v>-2149.06</v>
      </c>
      <c r="D56" s="78"/>
      <c r="E56" s="78"/>
      <c r="F56" s="78"/>
      <c r="G56" s="79">
        <f t="shared" si="0"/>
        <v>-2149.06</v>
      </c>
      <c r="H56" s="78" t="s">
        <v>292</v>
      </c>
      <c r="I56" s="79">
        <f t="shared" si="1"/>
        <v>-2149.06</v>
      </c>
      <c r="J56" s="17"/>
      <c r="K56" s="17"/>
      <c r="L56" s="17"/>
      <c r="M56" s="17"/>
    </row>
    <row r="57" spans="1:13" s="10" customFormat="1" x14ac:dyDescent="0.4">
      <c r="A57" s="126" t="s">
        <v>1147</v>
      </c>
      <c r="B57" s="12" t="s">
        <v>1148</v>
      </c>
      <c r="C57" s="78">
        <v>0</v>
      </c>
      <c r="D57" s="78"/>
      <c r="E57" s="78"/>
      <c r="F57" s="78"/>
      <c r="G57" s="79">
        <f t="shared" si="0"/>
        <v>0</v>
      </c>
      <c r="H57" s="78" t="s">
        <v>292</v>
      </c>
      <c r="I57" s="79">
        <f t="shared" si="1"/>
        <v>0</v>
      </c>
      <c r="J57" s="78"/>
      <c r="K57" s="78"/>
      <c r="L57" s="78"/>
      <c r="M57" s="78"/>
    </row>
    <row r="58" spans="1:13" s="10" customFormat="1" x14ac:dyDescent="0.4">
      <c r="A58" s="125" t="s">
        <v>1149</v>
      </c>
      <c r="B58" s="125" t="s">
        <v>204</v>
      </c>
      <c r="C58" s="78">
        <v>-330.77</v>
      </c>
      <c r="D58" s="78"/>
      <c r="E58" s="78"/>
      <c r="F58" s="78"/>
      <c r="G58" s="79">
        <f t="shared" si="0"/>
        <v>-330.77</v>
      </c>
      <c r="H58" s="78" t="s">
        <v>299</v>
      </c>
      <c r="I58" s="79">
        <f t="shared" si="1"/>
        <v>-330.77</v>
      </c>
      <c r="J58" s="17"/>
      <c r="K58" s="17"/>
      <c r="L58" s="17"/>
      <c r="M58" s="17"/>
    </row>
    <row r="59" spans="1:13" s="10" customFormat="1" x14ac:dyDescent="0.4">
      <c r="A59" s="126" t="s">
        <v>1150</v>
      </c>
      <c r="B59" s="12" t="s">
        <v>1151</v>
      </c>
      <c r="C59" s="78">
        <v>-3911.75</v>
      </c>
      <c r="D59" s="78"/>
      <c r="E59" s="78"/>
      <c r="F59" s="78"/>
      <c r="G59" s="79">
        <f t="shared" si="0"/>
        <v>-3911.75</v>
      </c>
      <c r="H59" s="78" t="s">
        <v>292</v>
      </c>
      <c r="I59" s="79">
        <f t="shared" si="1"/>
        <v>-3911.75</v>
      </c>
      <c r="J59" s="17"/>
      <c r="K59" s="17"/>
      <c r="L59" s="17"/>
      <c r="M59" s="17"/>
    </row>
    <row r="60" spans="1:13" s="10" customFormat="1" x14ac:dyDescent="0.4">
      <c r="A60" s="126" t="s">
        <v>1152</v>
      </c>
      <c r="B60" s="12" t="s">
        <v>1153</v>
      </c>
      <c r="C60" s="78">
        <v>-9180.64</v>
      </c>
      <c r="D60" s="78"/>
      <c r="E60" s="78"/>
      <c r="F60" s="78"/>
      <c r="G60" s="79">
        <f t="shared" si="0"/>
        <v>-9180.64</v>
      </c>
      <c r="H60" s="78" t="s">
        <v>292</v>
      </c>
      <c r="I60" s="79">
        <f t="shared" si="1"/>
        <v>-9180.64</v>
      </c>
      <c r="J60" s="17"/>
      <c r="K60" s="17"/>
      <c r="L60" s="17"/>
      <c r="M60" s="17"/>
    </row>
    <row r="61" spans="1:13" s="10" customFormat="1" x14ac:dyDescent="0.4">
      <c r="A61" s="126" t="s">
        <v>1154</v>
      </c>
      <c r="B61" s="12" t="s">
        <v>210</v>
      </c>
      <c r="C61" s="78">
        <v>0</v>
      </c>
      <c r="D61" s="78"/>
      <c r="E61" s="78"/>
      <c r="F61" s="78"/>
      <c r="G61" s="79">
        <f t="shared" si="0"/>
        <v>0</v>
      </c>
      <c r="H61" s="78" t="s">
        <v>292</v>
      </c>
      <c r="I61" s="79">
        <f t="shared" si="1"/>
        <v>0</v>
      </c>
      <c r="J61" s="17"/>
      <c r="K61" s="17"/>
      <c r="L61" s="17"/>
      <c r="M61" s="17"/>
    </row>
    <row r="62" spans="1:13" s="10" customFormat="1" x14ac:dyDescent="0.4">
      <c r="A62" s="126" t="s">
        <v>1155</v>
      </c>
      <c r="B62" s="12" t="s">
        <v>1156</v>
      </c>
      <c r="C62" s="78">
        <v>0</v>
      </c>
      <c r="D62" s="78"/>
      <c r="E62" s="78"/>
      <c r="F62" s="78"/>
      <c r="G62" s="79">
        <f t="shared" si="0"/>
        <v>0</v>
      </c>
      <c r="H62" s="78" t="s">
        <v>292</v>
      </c>
      <c r="I62" s="79">
        <f t="shared" si="1"/>
        <v>0</v>
      </c>
      <c r="J62" s="17"/>
      <c r="K62" s="17"/>
      <c r="L62" s="17"/>
      <c r="M62" s="17"/>
    </row>
    <row r="63" spans="1:13" s="10" customFormat="1" x14ac:dyDescent="0.4">
      <c r="A63" s="126" t="s">
        <v>1157</v>
      </c>
      <c r="B63" s="12" t="s">
        <v>1158</v>
      </c>
      <c r="C63" s="78">
        <v>-6.59</v>
      </c>
      <c r="D63" s="78"/>
      <c r="E63" s="78"/>
      <c r="F63" s="78"/>
      <c r="G63" s="79">
        <f t="shared" si="0"/>
        <v>-6.59</v>
      </c>
      <c r="H63" s="78" t="s">
        <v>292</v>
      </c>
      <c r="I63" s="79">
        <f t="shared" si="1"/>
        <v>-6.59</v>
      </c>
      <c r="J63" s="17"/>
      <c r="K63" s="17"/>
      <c r="L63" s="17"/>
      <c r="M63" s="17"/>
    </row>
    <row r="64" spans="1:13" s="10" customFormat="1" x14ac:dyDescent="0.4">
      <c r="A64" s="126" t="s">
        <v>1159</v>
      </c>
      <c r="B64" s="12" t="s">
        <v>181</v>
      </c>
      <c r="C64" s="78">
        <v>0</v>
      </c>
      <c r="D64" s="78"/>
      <c r="E64" s="78"/>
      <c r="F64" s="78"/>
      <c r="G64" s="79">
        <f t="shared" si="0"/>
        <v>0</v>
      </c>
      <c r="H64" s="78" t="s">
        <v>292</v>
      </c>
      <c r="I64" s="79">
        <f t="shared" si="1"/>
        <v>0</v>
      </c>
      <c r="J64" s="17"/>
      <c r="K64" s="17"/>
      <c r="L64" s="17"/>
      <c r="M64" s="17"/>
    </row>
    <row r="65" spans="1:13" s="10" customFormat="1" x14ac:dyDescent="0.4">
      <c r="A65" s="125" t="s">
        <v>1160</v>
      </c>
      <c r="B65" s="125" t="s">
        <v>203</v>
      </c>
      <c r="C65" s="78">
        <v>-216.2</v>
      </c>
      <c r="D65" s="78"/>
      <c r="E65" s="78"/>
      <c r="F65" s="78"/>
      <c r="G65" s="79">
        <f t="shared" si="0"/>
        <v>-216.2</v>
      </c>
      <c r="H65" s="78" t="s">
        <v>292</v>
      </c>
      <c r="I65" s="79">
        <f t="shared" si="1"/>
        <v>-216.2</v>
      </c>
      <c r="J65" s="78"/>
      <c r="K65" s="78"/>
      <c r="L65" s="78"/>
      <c r="M65" s="78"/>
    </row>
    <row r="66" spans="1:13" s="10" customFormat="1" x14ac:dyDescent="0.4">
      <c r="A66" s="126" t="s">
        <v>1161</v>
      </c>
      <c r="B66" s="12" t="s">
        <v>1162</v>
      </c>
      <c r="C66" s="78">
        <v>0</v>
      </c>
      <c r="D66" s="78"/>
      <c r="E66" s="78"/>
      <c r="F66" s="78"/>
      <c r="G66" s="79">
        <f t="shared" si="0"/>
        <v>0</v>
      </c>
      <c r="H66" s="78" t="s">
        <v>292</v>
      </c>
      <c r="I66" s="79">
        <f t="shared" si="1"/>
        <v>0</v>
      </c>
      <c r="J66" s="17"/>
      <c r="K66" s="17"/>
      <c r="L66" s="17"/>
      <c r="M66" s="17"/>
    </row>
    <row r="67" spans="1:13" s="10" customFormat="1" x14ac:dyDescent="0.4">
      <c r="A67" s="126" t="s">
        <v>1163</v>
      </c>
      <c r="B67" s="12" t="s">
        <v>250</v>
      </c>
      <c r="C67" s="78">
        <v>-1508</v>
      </c>
      <c r="D67" s="78"/>
      <c r="E67" s="78"/>
      <c r="F67" s="78"/>
      <c r="G67" s="79">
        <f t="shared" si="0"/>
        <v>-1508</v>
      </c>
      <c r="H67" s="78" t="s">
        <v>292</v>
      </c>
      <c r="I67" s="79">
        <f t="shared" si="1"/>
        <v>-1508</v>
      </c>
      <c r="J67" s="17"/>
      <c r="K67" s="17"/>
      <c r="L67" s="17"/>
      <c r="M67" s="17"/>
    </row>
    <row r="68" spans="1:13" s="10" customFormat="1" x14ac:dyDescent="0.4">
      <c r="A68" s="126" t="s">
        <v>1164</v>
      </c>
      <c r="B68" s="12" t="s">
        <v>1165</v>
      </c>
      <c r="C68" s="78">
        <v>-11342.4</v>
      </c>
      <c r="D68" s="78"/>
      <c r="E68" s="78"/>
      <c r="F68" s="78"/>
      <c r="G68" s="79">
        <f t="shared" si="0"/>
        <v>-11342.4</v>
      </c>
      <c r="H68" s="78" t="s">
        <v>292</v>
      </c>
      <c r="I68" s="79">
        <f t="shared" si="1"/>
        <v>-11342.4</v>
      </c>
      <c r="J68" s="17"/>
      <c r="K68" s="17"/>
      <c r="L68" s="17"/>
      <c r="M68" s="17"/>
    </row>
    <row r="69" spans="1:13" s="10" customFormat="1" x14ac:dyDescent="0.4">
      <c r="A69" s="126" t="s">
        <v>1166</v>
      </c>
      <c r="B69" s="12" t="s">
        <v>1167</v>
      </c>
      <c r="C69" s="78">
        <v>-5654.28</v>
      </c>
      <c r="D69" s="78"/>
      <c r="E69" s="78"/>
      <c r="F69" s="78"/>
      <c r="G69" s="79">
        <f t="shared" si="0"/>
        <v>-5654.28</v>
      </c>
      <c r="H69" s="78" t="s">
        <v>292</v>
      </c>
      <c r="I69" s="79">
        <f t="shared" si="1"/>
        <v>-5654.28</v>
      </c>
      <c r="J69" s="17"/>
      <c r="K69" s="17"/>
      <c r="L69" s="17"/>
      <c r="M69" s="17"/>
    </row>
    <row r="70" spans="1:13" s="10" customFormat="1" x14ac:dyDescent="0.4">
      <c r="A70" s="126" t="s">
        <v>1168</v>
      </c>
      <c r="B70" s="12" t="s">
        <v>1169</v>
      </c>
      <c r="C70" s="78">
        <v>0</v>
      </c>
      <c r="D70" s="78"/>
      <c r="E70" s="78"/>
      <c r="F70" s="78"/>
      <c r="G70" s="79">
        <f t="shared" si="0"/>
        <v>0</v>
      </c>
      <c r="H70" s="78" t="s">
        <v>292</v>
      </c>
      <c r="I70" s="79">
        <f t="shared" si="1"/>
        <v>0</v>
      </c>
      <c r="J70" s="17"/>
      <c r="K70" s="17"/>
      <c r="L70" s="17"/>
      <c r="M70" s="17"/>
    </row>
    <row r="71" spans="1:13" s="10" customFormat="1" x14ac:dyDescent="0.4">
      <c r="A71" s="126" t="s">
        <v>1170</v>
      </c>
      <c r="B71" s="12" t="s">
        <v>1171</v>
      </c>
      <c r="C71" s="78">
        <v>-116.74</v>
      </c>
      <c r="D71" s="78"/>
      <c r="E71" s="78"/>
      <c r="F71" s="78"/>
      <c r="G71" s="79">
        <f t="shared" ref="G71:G103" si="2">SUM(C71:F71)</f>
        <v>-116.74</v>
      </c>
      <c r="H71" s="78" t="s">
        <v>292</v>
      </c>
      <c r="I71" s="79">
        <f t="shared" si="1"/>
        <v>-116.74</v>
      </c>
      <c r="J71" s="17"/>
      <c r="K71" s="17"/>
      <c r="L71" s="17"/>
      <c r="M71" s="17"/>
    </row>
    <row r="72" spans="1:13" s="10" customFormat="1" x14ac:dyDescent="0.4">
      <c r="A72" s="126" t="s">
        <v>1172</v>
      </c>
      <c r="B72" s="12" t="s">
        <v>1173</v>
      </c>
      <c r="C72" s="78">
        <v>-3261.89</v>
      </c>
      <c r="D72" s="78"/>
      <c r="E72" s="78"/>
      <c r="F72" s="78"/>
      <c r="G72" s="79">
        <f t="shared" si="2"/>
        <v>-3261.89</v>
      </c>
      <c r="H72" s="78" t="s">
        <v>292</v>
      </c>
      <c r="I72" s="79">
        <f t="shared" ref="I72:I102" si="3">G72*1</f>
        <v>-3261.89</v>
      </c>
      <c r="J72" s="78"/>
      <c r="K72" s="78"/>
      <c r="L72" s="78"/>
      <c r="M72" s="78"/>
    </row>
    <row r="73" spans="1:13" s="10" customFormat="1" x14ac:dyDescent="0.4">
      <c r="A73" s="126" t="s">
        <v>1174</v>
      </c>
      <c r="B73" s="12" t="s">
        <v>1175</v>
      </c>
      <c r="C73" s="78">
        <v>0</v>
      </c>
      <c r="D73" s="78"/>
      <c r="E73" s="78"/>
      <c r="F73" s="78"/>
      <c r="G73" s="79">
        <f t="shared" si="2"/>
        <v>0</v>
      </c>
      <c r="H73" s="78" t="s">
        <v>292</v>
      </c>
      <c r="I73" s="79">
        <f t="shared" si="3"/>
        <v>0</v>
      </c>
      <c r="J73" s="17"/>
      <c r="K73" s="17"/>
      <c r="L73" s="17"/>
      <c r="M73" s="17"/>
    </row>
    <row r="74" spans="1:13" s="10" customFormat="1" x14ac:dyDescent="0.4">
      <c r="A74" s="126" t="s">
        <v>1176</v>
      </c>
      <c r="B74" s="12" t="s">
        <v>1177</v>
      </c>
      <c r="C74" s="78">
        <v>-5599.01</v>
      </c>
      <c r="D74" s="78"/>
      <c r="E74" s="78"/>
      <c r="F74" s="78"/>
      <c r="G74" s="79">
        <f t="shared" si="2"/>
        <v>-5599.01</v>
      </c>
      <c r="H74" s="78" t="s">
        <v>292</v>
      </c>
      <c r="I74" s="79">
        <f t="shared" si="3"/>
        <v>-5599.01</v>
      </c>
      <c r="J74" s="17"/>
      <c r="K74" s="17"/>
      <c r="L74" s="17"/>
      <c r="M74" s="17"/>
    </row>
    <row r="75" spans="1:13" s="10" customFormat="1" x14ac:dyDescent="0.4">
      <c r="A75" s="126" t="s">
        <v>1178</v>
      </c>
      <c r="B75" s="12" t="s">
        <v>1179</v>
      </c>
      <c r="C75" s="78">
        <v>-3390</v>
      </c>
      <c r="D75" s="78"/>
      <c r="E75" s="78"/>
      <c r="F75" s="78"/>
      <c r="G75" s="79">
        <f t="shared" si="2"/>
        <v>-3390</v>
      </c>
      <c r="H75" s="78" t="s">
        <v>292</v>
      </c>
      <c r="I75" s="79">
        <f t="shared" si="3"/>
        <v>-3390</v>
      </c>
      <c r="J75" s="17"/>
      <c r="K75" s="17"/>
      <c r="L75" s="17"/>
      <c r="M75" s="17"/>
    </row>
    <row r="76" spans="1:13" s="10" customFormat="1" x14ac:dyDescent="0.4">
      <c r="A76" s="126" t="s">
        <v>1180</v>
      </c>
      <c r="B76" s="12" t="s">
        <v>1181</v>
      </c>
      <c r="C76" s="78">
        <v>0</v>
      </c>
      <c r="D76" s="78"/>
      <c r="E76" s="78"/>
      <c r="F76" s="78"/>
      <c r="G76" s="79">
        <f t="shared" si="2"/>
        <v>0</v>
      </c>
      <c r="H76" s="78" t="s">
        <v>292</v>
      </c>
      <c r="I76" s="79">
        <f t="shared" si="3"/>
        <v>0</v>
      </c>
      <c r="J76" s="17"/>
      <c r="K76" s="17"/>
      <c r="L76" s="17"/>
      <c r="M76" s="17"/>
    </row>
    <row r="77" spans="1:13" s="10" customFormat="1" x14ac:dyDescent="0.4">
      <c r="A77" s="125" t="s">
        <v>1182</v>
      </c>
      <c r="B77" s="125" t="s">
        <v>1183</v>
      </c>
      <c r="C77" s="78">
        <v>0</v>
      </c>
      <c r="D77" s="78"/>
      <c r="E77" s="78"/>
      <c r="F77" s="78"/>
      <c r="G77" s="79">
        <f t="shared" si="2"/>
        <v>0</v>
      </c>
      <c r="H77" s="78" t="s">
        <v>292</v>
      </c>
      <c r="I77" s="79">
        <f t="shared" si="3"/>
        <v>0</v>
      </c>
      <c r="J77" s="17"/>
      <c r="K77" s="17"/>
      <c r="L77" s="17"/>
      <c r="M77" s="17"/>
    </row>
    <row r="78" spans="1:13" s="78" customFormat="1" x14ac:dyDescent="0.4">
      <c r="A78" s="126" t="s">
        <v>1184</v>
      </c>
      <c r="B78" s="12" t="s">
        <v>1185</v>
      </c>
      <c r="C78" s="78">
        <v>-4895.37</v>
      </c>
      <c r="G78" s="79">
        <f t="shared" si="2"/>
        <v>-4895.37</v>
      </c>
      <c r="H78" s="78" t="s">
        <v>299</v>
      </c>
      <c r="I78" s="79">
        <f t="shared" si="3"/>
        <v>-4895.37</v>
      </c>
      <c r="J78" s="17"/>
      <c r="K78" s="17"/>
      <c r="L78" s="17"/>
      <c r="M78" s="17"/>
    </row>
    <row r="79" spans="1:13" s="10" customFormat="1" x14ac:dyDescent="0.4">
      <c r="A79" s="126" t="s">
        <v>1186</v>
      </c>
      <c r="B79" s="12" t="s">
        <v>252</v>
      </c>
      <c r="C79" s="78">
        <v>-1989.8</v>
      </c>
      <c r="D79" s="78"/>
      <c r="E79" s="78"/>
      <c r="F79" s="78"/>
      <c r="G79" s="79">
        <f t="shared" si="2"/>
        <v>-1989.8</v>
      </c>
      <c r="H79" s="78" t="s">
        <v>292</v>
      </c>
      <c r="I79" s="79">
        <f t="shared" si="3"/>
        <v>-1989.8</v>
      </c>
      <c r="J79" s="17"/>
      <c r="K79" s="17"/>
      <c r="L79" s="17"/>
      <c r="M79" s="17"/>
    </row>
    <row r="80" spans="1:13" s="10" customFormat="1" x14ac:dyDescent="0.4">
      <c r="A80" s="126" t="s">
        <v>1187</v>
      </c>
      <c r="B80" s="12" t="s">
        <v>1188</v>
      </c>
      <c r="C80" s="78">
        <v>-3693.23</v>
      </c>
      <c r="D80" s="78"/>
      <c r="E80" s="78"/>
      <c r="F80" s="78"/>
      <c r="G80" s="79">
        <f t="shared" si="2"/>
        <v>-3693.23</v>
      </c>
      <c r="H80" s="78" t="s">
        <v>292</v>
      </c>
      <c r="I80" s="79">
        <f t="shared" si="3"/>
        <v>-3693.23</v>
      </c>
      <c r="J80" s="17"/>
      <c r="K80" s="17"/>
      <c r="L80" s="17"/>
      <c r="M80" s="17"/>
    </row>
    <row r="81" spans="1:13" s="10" customFormat="1" x14ac:dyDescent="0.4">
      <c r="A81" s="126" t="s">
        <v>1189</v>
      </c>
      <c r="B81" s="12" t="s">
        <v>220</v>
      </c>
      <c r="C81" s="78">
        <v>-239.69</v>
      </c>
      <c r="D81" s="78"/>
      <c r="E81" s="78"/>
      <c r="F81" s="78"/>
      <c r="G81" s="79">
        <f t="shared" si="2"/>
        <v>-239.69</v>
      </c>
      <c r="H81" s="78" t="s">
        <v>292</v>
      </c>
      <c r="I81" s="79">
        <f t="shared" si="3"/>
        <v>-239.69</v>
      </c>
      <c r="J81" s="17"/>
      <c r="K81" s="17"/>
      <c r="L81" s="17"/>
      <c r="M81" s="17"/>
    </row>
    <row r="82" spans="1:13" s="10" customFormat="1" x14ac:dyDescent="0.4">
      <c r="A82" s="126" t="s">
        <v>1190</v>
      </c>
      <c r="B82" s="12" t="s">
        <v>1191</v>
      </c>
      <c r="C82" s="78">
        <v>-51</v>
      </c>
      <c r="D82" s="78"/>
      <c r="E82" s="78"/>
      <c r="F82" s="78"/>
      <c r="G82" s="79">
        <f t="shared" si="2"/>
        <v>-51</v>
      </c>
      <c r="H82" s="78" t="s">
        <v>292</v>
      </c>
      <c r="I82" s="79">
        <f t="shared" si="3"/>
        <v>-51</v>
      </c>
      <c r="J82" s="17"/>
      <c r="K82" s="17"/>
      <c r="L82" s="78"/>
      <c r="M82" s="78"/>
    </row>
    <row r="83" spans="1:13" s="10" customFormat="1" x14ac:dyDescent="0.4">
      <c r="A83" s="126" t="s">
        <v>1192</v>
      </c>
      <c r="B83" s="12" t="s">
        <v>1193</v>
      </c>
      <c r="C83" s="78">
        <v>-879.44</v>
      </c>
      <c r="D83" s="78"/>
      <c r="E83" s="78"/>
      <c r="F83" s="78"/>
      <c r="G83" s="79">
        <f t="shared" si="2"/>
        <v>-879.44</v>
      </c>
      <c r="H83" s="78" t="s">
        <v>292</v>
      </c>
      <c r="I83" s="79">
        <f t="shared" si="3"/>
        <v>-879.44</v>
      </c>
      <c r="J83" s="78"/>
      <c r="K83" s="78"/>
      <c r="L83" s="78"/>
      <c r="M83" s="78"/>
    </row>
    <row r="84" spans="1:13" s="10" customFormat="1" x14ac:dyDescent="0.4">
      <c r="A84" s="126" t="s">
        <v>1194</v>
      </c>
      <c r="B84" s="12" t="s">
        <v>1195</v>
      </c>
      <c r="C84" s="78">
        <v>-11510.33</v>
      </c>
      <c r="D84" s="78"/>
      <c r="E84" s="78"/>
      <c r="F84" s="78"/>
      <c r="G84" s="79">
        <f t="shared" si="2"/>
        <v>-11510.33</v>
      </c>
      <c r="H84" s="78" t="s">
        <v>292</v>
      </c>
      <c r="I84" s="79">
        <f t="shared" si="3"/>
        <v>-11510.33</v>
      </c>
      <c r="J84" s="78"/>
      <c r="K84" s="78"/>
      <c r="L84" s="17"/>
      <c r="M84" s="17"/>
    </row>
    <row r="85" spans="1:13" s="10" customFormat="1" x14ac:dyDescent="0.4">
      <c r="A85" s="126" t="s">
        <v>1196</v>
      </c>
      <c r="B85" s="12" t="s">
        <v>1197</v>
      </c>
      <c r="C85" s="78">
        <v>-952.66</v>
      </c>
      <c r="D85" s="78"/>
      <c r="E85" s="78"/>
      <c r="F85" s="78"/>
      <c r="G85" s="79">
        <f t="shared" si="2"/>
        <v>-952.66</v>
      </c>
      <c r="H85" s="78" t="s">
        <v>292</v>
      </c>
      <c r="I85" s="79">
        <f t="shared" si="3"/>
        <v>-952.66</v>
      </c>
      <c r="J85" s="17"/>
      <c r="K85" s="17"/>
      <c r="L85" s="17"/>
      <c r="M85" s="17"/>
    </row>
    <row r="86" spans="1:13" s="10" customFormat="1" x14ac:dyDescent="0.4">
      <c r="A86" s="126" t="s">
        <v>1198</v>
      </c>
      <c r="B86" s="12" t="s">
        <v>1199</v>
      </c>
      <c r="C86" s="78">
        <v>-1739.28</v>
      </c>
      <c r="D86" s="78"/>
      <c r="E86" s="78"/>
      <c r="F86" s="78"/>
      <c r="G86" s="79">
        <f t="shared" si="2"/>
        <v>-1739.28</v>
      </c>
      <c r="H86" s="78" t="s">
        <v>292</v>
      </c>
      <c r="I86" s="79">
        <f t="shared" si="3"/>
        <v>-1739.28</v>
      </c>
      <c r="J86" s="17"/>
      <c r="K86" s="17"/>
      <c r="L86" s="17"/>
      <c r="M86" s="17"/>
    </row>
    <row r="87" spans="1:13" s="10" customFormat="1" x14ac:dyDescent="0.4">
      <c r="A87" s="126" t="s">
        <v>1200</v>
      </c>
      <c r="B87" s="12" t="s">
        <v>1201</v>
      </c>
      <c r="C87" s="78">
        <v>0</v>
      </c>
      <c r="D87" s="78"/>
      <c r="E87" s="78"/>
      <c r="F87" s="78"/>
      <c r="G87" s="79">
        <f t="shared" si="2"/>
        <v>0</v>
      </c>
      <c r="H87" s="78" t="s">
        <v>292</v>
      </c>
      <c r="I87" s="79">
        <f t="shared" si="3"/>
        <v>0</v>
      </c>
      <c r="J87" s="17"/>
      <c r="K87" s="17"/>
      <c r="L87" s="17"/>
      <c r="M87" s="17"/>
    </row>
    <row r="88" spans="1:13" s="10" customFormat="1" x14ac:dyDescent="0.4">
      <c r="A88" s="126" t="s">
        <v>1202</v>
      </c>
      <c r="B88" s="12" t="s">
        <v>1203</v>
      </c>
      <c r="C88" s="78">
        <v>-1474.67</v>
      </c>
      <c r="D88" s="78"/>
      <c r="E88" s="78"/>
      <c r="F88" s="78"/>
      <c r="G88" s="79">
        <f t="shared" si="2"/>
        <v>-1474.67</v>
      </c>
      <c r="H88" s="78" t="s">
        <v>292</v>
      </c>
      <c r="I88" s="79">
        <f t="shared" si="3"/>
        <v>-1474.67</v>
      </c>
      <c r="J88" s="17"/>
      <c r="K88" s="17"/>
      <c r="L88" s="17"/>
      <c r="M88" s="17"/>
    </row>
    <row r="89" spans="1:13" s="10" customFormat="1" x14ac:dyDescent="0.4">
      <c r="A89" s="126" t="s">
        <v>1204</v>
      </c>
      <c r="B89" s="12" t="s">
        <v>1205</v>
      </c>
      <c r="C89" s="78">
        <v>-556.70000000000005</v>
      </c>
      <c r="D89" s="78"/>
      <c r="E89" s="78"/>
      <c r="F89" s="78"/>
      <c r="G89" s="79">
        <f t="shared" si="2"/>
        <v>-556.70000000000005</v>
      </c>
      <c r="H89" s="78" t="s">
        <v>292</v>
      </c>
      <c r="I89" s="79">
        <f t="shared" si="3"/>
        <v>-556.70000000000005</v>
      </c>
      <c r="J89" s="17"/>
      <c r="K89" s="17"/>
      <c r="L89" s="17"/>
      <c r="M89" s="17"/>
    </row>
    <row r="90" spans="1:13" s="10" customFormat="1" x14ac:dyDescent="0.4">
      <c r="A90" s="126" t="s">
        <v>1206</v>
      </c>
      <c r="B90" s="12" t="s">
        <v>1207</v>
      </c>
      <c r="C90" s="78">
        <v>-2040.53</v>
      </c>
      <c r="D90" s="78"/>
      <c r="E90" s="78"/>
      <c r="F90" s="78"/>
      <c r="G90" s="79">
        <f t="shared" si="2"/>
        <v>-2040.53</v>
      </c>
      <c r="H90" s="78" t="s">
        <v>292</v>
      </c>
      <c r="I90" s="79">
        <f t="shared" si="3"/>
        <v>-2040.53</v>
      </c>
      <c r="J90" s="17"/>
      <c r="K90" s="17"/>
      <c r="L90" s="17"/>
      <c r="M90" s="17"/>
    </row>
    <row r="91" spans="1:13" s="10" customFormat="1" x14ac:dyDescent="0.4">
      <c r="A91" s="126" t="s">
        <v>1208</v>
      </c>
      <c r="B91" s="12" t="s">
        <v>1209</v>
      </c>
      <c r="C91" s="78">
        <v>-27420</v>
      </c>
      <c r="D91" s="78"/>
      <c r="E91" s="78"/>
      <c r="F91" s="78"/>
      <c r="G91" s="79">
        <f t="shared" si="2"/>
        <v>-27420</v>
      </c>
      <c r="H91" s="78" t="s">
        <v>292</v>
      </c>
      <c r="I91" s="79">
        <f t="shared" si="3"/>
        <v>-27420</v>
      </c>
      <c r="J91" s="17"/>
      <c r="K91" s="17"/>
      <c r="L91" s="17"/>
      <c r="M91" s="17"/>
    </row>
    <row r="92" spans="1:13" s="10" customFormat="1" x14ac:dyDescent="0.4">
      <c r="A92" s="126" t="s">
        <v>1210</v>
      </c>
      <c r="B92" s="12" t="s">
        <v>1211</v>
      </c>
      <c r="C92" s="82">
        <v>0</v>
      </c>
      <c r="D92" s="78"/>
      <c r="E92" s="78"/>
      <c r="F92" s="78"/>
      <c r="G92" s="79">
        <f t="shared" si="2"/>
        <v>0</v>
      </c>
      <c r="H92" s="78" t="s">
        <v>862</v>
      </c>
      <c r="I92" s="79">
        <f t="shared" si="3"/>
        <v>0</v>
      </c>
      <c r="J92" s="17"/>
      <c r="K92" s="17"/>
      <c r="L92" s="17"/>
      <c r="M92" s="17"/>
    </row>
    <row r="93" spans="1:13" s="10" customFormat="1" x14ac:dyDescent="0.4">
      <c r="A93" s="126" t="s">
        <v>1212</v>
      </c>
      <c r="B93" s="12" t="s">
        <v>161</v>
      </c>
      <c r="C93" s="82">
        <v>0</v>
      </c>
      <c r="D93" s="78"/>
      <c r="E93" s="78"/>
      <c r="F93" s="78"/>
      <c r="G93" s="79">
        <f t="shared" si="2"/>
        <v>0</v>
      </c>
      <c r="H93" s="78" t="s">
        <v>287</v>
      </c>
      <c r="I93" s="79">
        <f t="shared" si="3"/>
        <v>0</v>
      </c>
      <c r="J93" s="17"/>
      <c r="K93" s="17"/>
      <c r="L93" s="17"/>
      <c r="M93" s="17"/>
    </row>
    <row r="94" spans="1:13" s="10" customFormat="1" x14ac:dyDescent="0.4">
      <c r="A94" s="126" t="s">
        <v>1213</v>
      </c>
      <c r="B94" s="12" t="s">
        <v>900</v>
      </c>
      <c r="C94" s="82">
        <v>0</v>
      </c>
      <c r="D94" s="78"/>
      <c r="E94" s="78"/>
      <c r="F94" s="78"/>
      <c r="G94" s="79">
        <f t="shared" si="2"/>
        <v>0</v>
      </c>
      <c r="H94" s="78" t="s">
        <v>287</v>
      </c>
      <c r="I94" s="79">
        <f t="shared" si="3"/>
        <v>0</v>
      </c>
      <c r="J94" s="17"/>
      <c r="K94" s="17"/>
      <c r="L94" s="17"/>
      <c r="M94" s="17"/>
    </row>
    <row r="95" spans="1:13" s="10" customFormat="1" x14ac:dyDescent="0.4">
      <c r="A95" s="126" t="s">
        <v>1214</v>
      </c>
      <c r="B95" s="12" t="s">
        <v>1215</v>
      </c>
      <c r="C95" s="78">
        <v>0</v>
      </c>
      <c r="D95" s="78"/>
      <c r="E95" s="78"/>
      <c r="F95" s="78"/>
      <c r="G95" s="79">
        <f t="shared" si="2"/>
        <v>0</v>
      </c>
      <c r="H95" s="78" t="s">
        <v>862</v>
      </c>
      <c r="I95" s="79">
        <f t="shared" si="3"/>
        <v>0</v>
      </c>
      <c r="J95" s="17"/>
      <c r="K95" s="17"/>
      <c r="L95" s="17"/>
      <c r="M95" s="17"/>
    </row>
    <row r="96" spans="1:13" s="10" customFormat="1" x14ac:dyDescent="0.4">
      <c r="A96" s="126" t="s">
        <v>1216</v>
      </c>
      <c r="B96" s="12" t="s">
        <v>1217</v>
      </c>
      <c r="C96" s="78">
        <v>0</v>
      </c>
      <c r="D96" s="78"/>
      <c r="E96" s="78"/>
      <c r="F96" s="78"/>
      <c r="G96" s="79">
        <f t="shared" si="2"/>
        <v>0</v>
      </c>
      <c r="H96" s="78" t="s">
        <v>862</v>
      </c>
      <c r="I96" s="79">
        <f t="shared" si="3"/>
        <v>0</v>
      </c>
      <c r="J96" s="17"/>
      <c r="K96" s="17"/>
      <c r="L96" s="17"/>
      <c r="M96" s="17"/>
    </row>
    <row r="97" spans="1:13" s="10" customFormat="1" x14ac:dyDescent="0.4">
      <c r="A97" s="126" t="s">
        <v>1218</v>
      </c>
      <c r="B97" s="12" t="s">
        <v>1219</v>
      </c>
      <c r="C97" s="78">
        <v>-176.42</v>
      </c>
      <c r="D97" s="78"/>
      <c r="E97" s="78"/>
      <c r="F97" s="78"/>
      <c r="G97" s="79">
        <f t="shared" si="2"/>
        <v>-176.42</v>
      </c>
      <c r="H97" s="78" t="s">
        <v>292</v>
      </c>
      <c r="I97" s="79">
        <f t="shared" si="3"/>
        <v>-176.42</v>
      </c>
      <c r="J97" s="17"/>
      <c r="K97" s="17"/>
      <c r="L97" s="17"/>
      <c r="M97" s="17"/>
    </row>
    <row r="98" spans="1:13" s="10" customFormat="1" x14ac:dyDescent="0.4">
      <c r="A98" s="126" t="s">
        <v>1220</v>
      </c>
      <c r="B98" s="12" t="s">
        <v>1221</v>
      </c>
      <c r="C98" s="78">
        <v>0</v>
      </c>
      <c r="D98" s="78"/>
      <c r="E98" s="78"/>
      <c r="F98" s="78"/>
      <c r="G98" s="79">
        <f t="shared" si="2"/>
        <v>0</v>
      </c>
      <c r="H98" s="78" t="s">
        <v>292</v>
      </c>
      <c r="I98" s="79">
        <f t="shared" si="3"/>
        <v>0</v>
      </c>
      <c r="J98" s="17"/>
      <c r="K98" s="17"/>
      <c r="L98" s="17"/>
      <c r="M98" s="17"/>
    </row>
    <row r="99" spans="1:13" s="10" customFormat="1" x14ac:dyDescent="0.4">
      <c r="A99" s="126" t="s">
        <v>1222</v>
      </c>
      <c r="B99" s="12" t="s">
        <v>1223</v>
      </c>
      <c r="C99" s="78">
        <v>-61827.3</v>
      </c>
      <c r="D99" s="78"/>
      <c r="E99" s="78"/>
      <c r="F99" s="78"/>
      <c r="G99" s="79">
        <f t="shared" si="2"/>
        <v>-61827.3</v>
      </c>
      <c r="H99" s="78" t="s">
        <v>289</v>
      </c>
      <c r="I99" s="79">
        <f t="shared" si="3"/>
        <v>-61827.3</v>
      </c>
      <c r="J99" s="17"/>
      <c r="K99" s="17"/>
      <c r="L99" s="17"/>
      <c r="M99" s="17"/>
    </row>
    <row r="100" spans="1:13" s="10" customFormat="1" x14ac:dyDescent="0.4">
      <c r="A100" s="126" t="s">
        <v>1224</v>
      </c>
      <c r="B100" s="12" t="s">
        <v>1225</v>
      </c>
      <c r="C100" s="78">
        <v>0</v>
      </c>
      <c r="D100" s="78"/>
      <c r="E100" s="78"/>
      <c r="F100" s="78"/>
      <c r="G100" s="79">
        <f t="shared" si="2"/>
        <v>0</v>
      </c>
      <c r="H100" s="78" t="s">
        <v>292</v>
      </c>
      <c r="I100" s="79">
        <f t="shared" si="3"/>
        <v>0</v>
      </c>
      <c r="J100" s="17"/>
      <c r="K100" s="17"/>
      <c r="L100" s="17"/>
      <c r="M100" s="17"/>
    </row>
    <row r="101" spans="1:13" s="10" customFormat="1" x14ac:dyDescent="0.4">
      <c r="A101" s="126" t="s">
        <v>1226</v>
      </c>
      <c r="B101" s="12" t="s">
        <v>1227</v>
      </c>
      <c r="C101" s="78">
        <v>0</v>
      </c>
      <c r="D101" s="78"/>
      <c r="E101" s="78"/>
      <c r="F101" s="78"/>
      <c r="G101" s="79">
        <f t="shared" si="2"/>
        <v>0</v>
      </c>
      <c r="H101" s="78" t="s">
        <v>299</v>
      </c>
      <c r="I101" s="79">
        <f t="shared" si="3"/>
        <v>0</v>
      </c>
      <c r="J101" s="17"/>
      <c r="K101" s="17"/>
      <c r="L101" s="17"/>
      <c r="M101" s="17"/>
    </row>
    <row r="102" spans="1:13" s="10" customFormat="1" x14ac:dyDescent="0.4">
      <c r="A102" s="126" t="s">
        <v>1228</v>
      </c>
      <c r="B102" s="12" t="s">
        <v>1229</v>
      </c>
      <c r="C102" s="78">
        <v>0</v>
      </c>
      <c r="D102" s="78"/>
      <c r="E102" s="78"/>
      <c r="F102" s="78"/>
      <c r="G102" s="79">
        <f t="shared" si="2"/>
        <v>0</v>
      </c>
      <c r="H102" s="78" t="s">
        <v>299</v>
      </c>
      <c r="I102" s="79">
        <f t="shared" si="3"/>
        <v>0</v>
      </c>
      <c r="J102" s="17"/>
      <c r="K102" s="17"/>
      <c r="L102" s="17"/>
      <c r="M102" s="17"/>
    </row>
    <row r="103" spans="1:13" s="10" customFormat="1" x14ac:dyDescent="0.4">
      <c r="A103" s="126" t="s">
        <v>1230</v>
      </c>
      <c r="B103" s="12" t="s">
        <v>1231</v>
      </c>
      <c r="C103" s="78">
        <v>0</v>
      </c>
      <c r="D103" s="78"/>
      <c r="E103" s="78"/>
      <c r="F103" s="78"/>
      <c r="G103" s="79">
        <f t="shared" si="2"/>
        <v>0</v>
      </c>
      <c r="H103" s="78" t="s">
        <v>299</v>
      </c>
      <c r="I103" s="79">
        <f>G103*1</f>
        <v>0</v>
      </c>
      <c r="J103" s="17"/>
      <c r="K103" s="17"/>
      <c r="L103" s="17"/>
      <c r="M103" s="17"/>
    </row>
    <row r="104" spans="1:13" x14ac:dyDescent="0.4">
      <c r="C104" s="110">
        <f t="shared" ref="C104:I104" si="4">SUM(C6:C103)</f>
        <v>103803.24</v>
      </c>
      <c r="D104" s="110">
        <f t="shared" si="4"/>
        <v>0</v>
      </c>
      <c r="E104" s="110">
        <f t="shared" si="4"/>
        <v>0</v>
      </c>
      <c r="F104" s="110">
        <f t="shared" si="4"/>
        <v>0</v>
      </c>
      <c r="G104" s="110">
        <f t="shared" si="4"/>
        <v>103803.24</v>
      </c>
      <c r="H104" s="110">
        <f t="shared" si="4"/>
        <v>0</v>
      </c>
      <c r="I104" s="110">
        <f t="shared" si="4"/>
        <v>103803.24</v>
      </c>
      <c r="J104" s="17"/>
      <c r="K104" s="17"/>
    </row>
    <row r="105" spans="1:13" x14ac:dyDescent="0.4">
      <c r="C105" s="14"/>
      <c r="J105" s="17"/>
      <c r="K105" s="17"/>
    </row>
    <row r="106" spans="1:13" x14ac:dyDescent="0.4">
      <c r="J106" s="17"/>
      <c r="K106" s="17"/>
    </row>
    <row r="107" spans="1:13" x14ac:dyDescent="0.4">
      <c r="C107" s="14"/>
      <c r="J107" s="17"/>
      <c r="K107" s="17"/>
    </row>
    <row r="108" spans="1:13" x14ac:dyDescent="0.4">
      <c r="C108" s="14"/>
      <c r="I108" s="67"/>
      <c r="J108" s="17"/>
      <c r="K108" s="17"/>
    </row>
    <row r="109" spans="1:13" x14ac:dyDescent="0.4">
      <c r="C109" s="14"/>
      <c r="J109" s="17"/>
      <c r="K109" s="17"/>
    </row>
    <row r="110" spans="1:13" x14ac:dyDescent="0.4">
      <c r="C110" s="14"/>
      <c r="J110" s="17"/>
      <c r="K110" s="17"/>
    </row>
    <row r="111" spans="1:13" x14ac:dyDescent="0.4">
      <c r="C111" s="14" t="s">
        <v>261</v>
      </c>
      <c r="J111" s="17"/>
      <c r="K111" s="17"/>
    </row>
    <row r="112" spans="1:13" x14ac:dyDescent="0.4">
      <c r="C112" s="14"/>
      <c r="J112" s="17"/>
      <c r="K112" s="17"/>
    </row>
    <row r="113" spans="3:13" x14ac:dyDescent="0.4">
      <c r="C113" s="14"/>
      <c r="J113" s="17"/>
      <c r="K113" s="17"/>
    </row>
    <row r="114" spans="3:13" x14ac:dyDescent="0.4">
      <c r="C114" s="14"/>
      <c r="J114" s="17"/>
      <c r="L114" s="21"/>
      <c r="M114" s="21"/>
    </row>
    <row r="115" spans="3:13" x14ac:dyDescent="0.4">
      <c r="J115" s="17"/>
      <c r="K115" s="21"/>
      <c r="L115" s="21"/>
      <c r="M115" s="21"/>
    </row>
    <row r="116" spans="3:13" x14ac:dyDescent="0.4">
      <c r="K116" s="21"/>
      <c r="L116" s="21"/>
      <c r="M116" s="21"/>
    </row>
    <row r="117" spans="3:13" x14ac:dyDescent="0.4">
      <c r="K117" s="21"/>
      <c r="L117" s="21"/>
      <c r="M117" s="21"/>
    </row>
    <row r="118" spans="3:13" x14ac:dyDescent="0.4">
      <c r="K118" s="21"/>
      <c r="L118" s="21"/>
      <c r="M118" s="21"/>
    </row>
    <row r="119" spans="3:13" x14ac:dyDescent="0.4">
      <c r="K119" s="21"/>
      <c r="L119" s="21"/>
      <c r="M119" s="21"/>
    </row>
    <row r="120" spans="3:13" x14ac:dyDescent="0.4">
      <c r="K120" s="21"/>
      <c r="L120" s="21"/>
      <c r="M120" s="21"/>
    </row>
    <row r="121" spans="3:13" x14ac:dyDescent="0.4">
      <c r="K121" s="21"/>
      <c r="L121" s="21"/>
      <c r="M121" s="21"/>
    </row>
    <row r="122" spans="3:13" x14ac:dyDescent="0.4">
      <c r="K122" s="21"/>
      <c r="L122" s="21"/>
      <c r="M122" s="21"/>
    </row>
    <row r="123" spans="3:13" x14ac:dyDescent="0.4">
      <c r="K123" s="21"/>
      <c r="L123" s="21"/>
      <c r="M123" s="21"/>
    </row>
    <row r="124" spans="3:13" x14ac:dyDescent="0.4">
      <c r="K124" s="21"/>
      <c r="L124" s="21"/>
      <c r="M124" s="21"/>
    </row>
    <row r="125" spans="3:13" x14ac:dyDescent="0.4">
      <c r="K125" s="21"/>
      <c r="L125" s="21"/>
      <c r="M125" s="21"/>
    </row>
    <row r="126" spans="3:13" x14ac:dyDescent="0.4">
      <c r="K126" s="21"/>
    </row>
  </sheetData>
  <pageMargins left="0.7" right="0.7" top="0.75" bottom="0.75" header="0.3" footer="0.3"/>
  <pageSetup orientation="portrait"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5"/>
  <dimension ref="A1:O326"/>
  <sheetViews>
    <sheetView workbookViewId="0">
      <selection activeCell="F5" sqref="F5"/>
    </sheetView>
  </sheetViews>
  <sheetFormatPr defaultColWidth="9.05859375" defaultRowHeight="12.7" outlineLevelCol="1" x14ac:dyDescent="0.4"/>
  <cols>
    <col min="1" max="1" width="11.05859375" style="2" customWidth="1"/>
    <col min="2" max="2" width="31" style="2" bestFit="1" customWidth="1"/>
    <col min="3" max="3" width="14.05859375" style="17" hidden="1" customWidth="1" outlineLevel="1"/>
    <col min="4" max="4" width="11" style="17" hidden="1" customWidth="1" outlineLevel="1"/>
    <col min="5" max="5" width="13.52734375" style="17" hidden="1" customWidth="1" outlineLevel="1"/>
    <col min="6" max="6" width="14.52734375" style="17" hidden="1" customWidth="1" outlineLevel="1"/>
    <col min="7" max="7" width="14.87890625" style="18" hidden="1" customWidth="1" outlineLevel="1"/>
    <col min="8" max="8" width="19" style="76" hidden="1" customWidth="1" outlineLevel="1"/>
    <col min="9" max="9" width="14.52734375" style="18" customWidth="1" collapsed="1"/>
    <col min="10" max="10" width="14.52734375" style="2" customWidth="1"/>
    <col min="11" max="11" width="13.87890625" style="2" customWidth="1"/>
    <col min="12" max="12" width="17.29296875" style="2" customWidth="1"/>
    <col min="13" max="13" width="14.17578125" style="2" customWidth="1"/>
    <col min="14" max="16384" width="9.05859375" style="2"/>
  </cols>
  <sheetData>
    <row r="1" spans="1:13" x14ac:dyDescent="0.4">
      <c r="A1" s="1" t="s">
        <v>901</v>
      </c>
    </row>
    <row r="2" spans="1:13" x14ac:dyDescent="0.4">
      <c r="A2" s="1" t="s">
        <v>482</v>
      </c>
    </row>
    <row r="3" spans="1:13" x14ac:dyDescent="0.4">
      <c r="A3" s="3">
        <v>43131</v>
      </c>
      <c r="D3" s="14" t="s">
        <v>261</v>
      </c>
      <c r="E3" s="14"/>
      <c r="F3" s="14"/>
      <c r="G3" s="19"/>
      <c r="H3" s="4"/>
    </row>
    <row r="4" spans="1:13" x14ac:dyDescent="0.4">
      <c r="B4" s="5" t="s">
        <v>261</v>
      </c>
    </row>
    <row r="5" spans="1:13" x14ac:dyDescent="0.4">
      <c r="A5" s="2" t="s">
        <v>484</v>
      </c>
      <c r="B5" s="6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18" t="s">
        <v>1</v>
      </c>
      <c r="H5" s="76" t="s">
        <v>280</v>
      </c>
      <c r="I5" s="19" t="s">
        <v>281</v>
      </c>
      <c r="L5" s="416" t="s">
        <v>282</v>
      </c>
      <c r="M5" s="416" t="s">
        <v>284</v>
      </c>
    </row>
    <row r="6" spans="1:13" x14ac:dyDescent="0.4">
      <c r="A6" s="68" t="s">
        <v>971</v>
      </c>
      <c r="B6" s="68" t="s">
        <v>903</v>
      </c>
      <c r="C6" s="82">
        <v>83196.509999999995</v>
      </c>
      <c r="D6" s="78"/>
      <c r="E6" s="78"/>
      <c r="F6" s="78"/>
      <c r="G6" s="79">
        <f t="shared" ref="G6:G68" si="0">SUM(C6:F6)</f>
        <v>83196.509999999995</v>
      </c>
      <c r="H6" s="78" t="s">
        <v>264</v>
      </c>
      <c r="I6" s="79">
        <f>G6</f>
        <v>83196.509999999995</v>
      </c>
      <c r="L6" s="417" t="s">
        <v>264</v>
      </c>
      <c r="M6" s="418">
        <v>91003.47</v>
      </c>
    </row>
    <row r="7" spans="1:13" x14ac:dyDescent="0.4">
      <c r="A7" s="68" t="s">
        <v>972</v>
      </c>
      <c r="B7" s="68" t="s">
        <v>904</v>
      </c>
      <c r="C7" s="82">
        <v>-18111.95</v>
      </c>
      <c r="D7" s="78"/>
      <c r="E7" s="78"/>
      <c r="F7" s="78"/>
      <c r="G7" s="79">
        <f t="shared" si="0"/>
        <v>-18111.95</v>
      </c>
      <c r="H7" s="78" t="s">
        <v>264</v>
      </c>
      <c r="I7" s="79">
        <f t="shared" ref="I7:I69" si="1">G7</f>
        <v>-18111.95</v>
      </c>
      <c r="L7" s="417" t="s">
        <v>265</v>
      </c>
      <c r="M7" s="418">
        <v>424734.23</v>
      </c>
    </row>
    <row r="8" spans="1:13" x14ac:dyDescent="0.4">
      <c r="A8" s="68" t="s">
        <v>973</v>
      </c>
      <c r="B8" s="68" t="s">
        <v>905</v>
      </c>
      <c r="C8" s="82">
        <v>18.600000000000001</v>
      </c>
      <c r="D8" s="78"/>
      <c r="E8" s="78"/>
      <c r="F8" s="78"/>
      <c r="G8" s="79">
        <f t="shared" si="0"/>
        <v>18.600000000000001</v>
      </c>
      <c r="H8" s="78" t="s">
        <v>264</v>
      </c>
      <c r="I8" s="79">
        <f t="shared" si="1"/>
        <v>18.600000000000001</v>
      </c>
      <c r="L8" s="417" t="s">
        <v>268</v>
      </c>
      <c r="M8" s="418">
        <v>17799.150000000001</v>
      </c>
    </row>
    <row r="9" spans="1:13" x14ac:dyDescent="0.4">
      <c r="A9" s="68" t="s">
        <v>974</v>
      </c>
      <c r="B9" s="68" t="s">
        <v>906</v>
      </c>
      <c r="C9" s="82">
        <v>24189.81</v>
      </c>
      <c r="D9" s="78"/>
      <c r="E9" s="78"/>
      <c r="F9" s="78"/>
      <c r="G9" s="79">
        <f t="shared" si="0"/>
        <v>24189.81</v>
      </c>
      <c r="H9" s="78" t="s">
        <v>264</v>
      </c>
      <c r="I9" s="79">
        <f t="shared" si="1"/>
        <v>24189.81</v>
      </c>
      <c r="L9" s="417" t="s">
        <v>271</v>
      </c>
      <c r="M9" s="418">
        <v>311641.59000000003</v>
      </c>
    </row>
    <row r="10" spans="1:13" x14ac:dyDescent="0.4">
      <c r="A10" s="68" t="s">
        <v>975</v>
      </c>
      <c r="B10" s="68" t="s">
        <v>907</v>
      </c>
      <c r="C10" s="82">
        <v>826.38</v>
      </c>
      <c r="D10" s="78"/>
      <c r="E10" s="78"/>
      <c r="F10" s="78"/>
      <c r="G10" s="79">
        <f t="shared" si="0"/>
        <v>826.38</v>
      </c>
      <c r="H10" s="78" t="s">
        <v>264</v>
      </c>
      <c r="I10" s="79">
        <f t="shared" si="1"/>
        <v>826.38</v>
      </c>
      <c r="L10" s="417" t="s">
        <v>266</v>
      </c>
      <c r="M10" s="418">
        <v>4883605.8899999997</v>
      </c>
    </row>
    <row r="11" spans="1:13" x14ac:dyDescent="0.4">
      <c r="A11" s="68" t="s">
        <v>976</v>
      </c>
      <c r="B11" s="125" t="s">
        <v>908</v>
      </c>
      <c r="C11" s="82">
        <v>22.72</v>
      </c>
      <c r="D11" s="78"/>
      <c r="E11" s="78"/>
      <c r="F11" s="78"/>
      <c r="G11" s="79">
        <f t="shared" si="0"/>
        <v>22.72</v>
      </c>
      <c r="H11" s="78" t="s">
        <v>264</v>
      </c>
      <c r="I11" s="79">
        <f t="shared" si="1"/>
        <v>22.72</v>
      </c>
      <c r="L11" s="417" t="s">
        <v>272</v>
      </c>
      <c r="M11" s="418">
        <v>-3149212.23</v>
      </c>
    </row>
    <row r="12" spans="1:13" x14ac:dyDescent="0.4">
      <c r="A12" s="68" t="s">
        <v>977</v>
      </c>
      <c r="B12" s="125" t="s">
        <v>909</v>
      </c>
      <c r="C12" s="82">
        <v>503.91</v>
      </c>
      <c r="D12" s="78"/>
      <c r="E12" s="78"/>
      <c r="F12" s="78"/>
      <c r="G12" s="79">
        <f t="shared" si="0"/>
        <v>503.91</v>
      </c>
      <c r="H12" s="78" t="s">
        <v>264</v>
      </c>
      <c r="I12" s="79">
        <f t="shared" si="1"/>
        <v>503.91</v>
      </c>
      <c r="L12" s="417" t="s">
        <v>274</v>
      </c>
      <c r="M12" s="418">
        <v>-3074105.81</v>
      </c>
    </row>
    <row r="13" spans="1:13" x14ac:dyDescent="0.4">
      <c r="A13" s="68" t="s">
        <v>312</v>
      </c>
      <c r="B13" s="68" t="s">
        <v>910</v>
      </c>
      <c r="C13" s="82">
        <v>481459.23</v>
      </c>
      <c r="D13" s="78"/>
      <c r="E13" s="78"/>
      <c r="F13" s="78"/>
      <c r="G13" s="79">
        <f t="shared" si="0"/>
        <v>481459.23</v>
      </c>
      <c r="H13" s="78" t="s">
        <v>265</v>
      </c>
      <c r="I13" s="79">
        <f t="shared" si="1"/>
        <v>481459.23</v>
      </c>
      <c r="L13" s="417" t="s">
        <v>650</v>
      </c>
      <c r="M13" s="418">
        <v>3424844.47</v>
      </c>
    </row>
    <row r="14" spans="1:13" x14ac:dyDescent="0.4">
      <c r="A14" s="68" t="s">
        <v>978</v>
      </c>
      <c r="B14" s="68" t="s">
        <v>14</v>
      </c>
      <c r="C14" s="82">
        <v>-56725</v>
      </c>
      <c r="D14" s="78"/>
      <c r="E14" s="78"/>
      <c r="F14" s="78"/>
      <c r="G14" s="79">
        <f t="shared" si="0"/>
        <v>-56725</v>
      </c>
      <c r="H14" s="78" t="s">
        <v>265</v>
      </c>
      <c r="I14" s="79">
        <f t="shared" si="1"/>
        <v>-56725</v>
      </c>
      <c r="L14" s="417" t="s">
        <v>278</v>
      </c>
      <c r="M14" s="418">
        <v>20704466.289999999</v>
      </c>
    </row>
    <row r="15" spans="1:13" x14ac:dyDescent="0.4">
      <c r="A15" s="68" t="s">
        <v>1043</v>
      </c>
      <c r="B15" s="68" t="s">
        <v>1044</v>
      </c>
      <c r="C15" s="82">
        <v>12805.39</v>
      </c>
      <c r="D15" s="78"/>
      <c r="E15" s="78"/>
      <c r="F15" s="78"/>
      <c r="G15" s="79">
        <f t="shared" si="0"/>
        <v>12805.39</v>
      </c>
      <c r="H15" s="78" t="s">
        <v>271</v>
      </c>
      <c r="I15" s="79">
        <f t="shared" si="1"/>
        <v>12805.39</v>
      </c>
      <c r="J15" s="76"/>
      <c r="K15" s="76"/>
      <c r="L15" s="417" t="s">
        <v>276</v>
      </c>
      <c r="M15" s="418">
        <v>-754016.84</v>
      </c>
    </row>
    <row r="16" spans="1:13" x14ac:dyDescent="0.4">
      <c r="A16" s="68" t="s">
        <v>979</v>
      </c>
      <c r="B16" s="68" t="s">
        <v>911</v>
      </c>
      <c r="C16" s="82">
        <v>2655.08</v>
      </c>
      <c r="D16" s="78"/>
      <c r="E16" s="78"/>
      <c r="F16" s="78"/>
      <c r="G16" s="79">
        <f t="shared" si="0"/>
        <v>2655.08</v>
      </c>
      <c r="H16" s="78" t="s">
        <v>271</v>
      </c>
      <c r="I16" s="79">
        <f t="shared" si="1"/>
        <v>2655.08</v>
      </c>
      <c r="L16" s="417" t="s">
        <v>275</v>
      </c>
      <c r="M16" s="418">
        <v>5437.5</v>
      </c>
    </row>
    <row r="17" spans="1:13" x14ac:dyDescent="0.4">
      <c r="A17" s="68" t="s">
        <v>980</v>
      </c>
      <c r="B17" s="68" t="s">
        <v>912</v>
      </c>
      <c r="C17" s="82">
        <v>416403.42</v>
      </c>
      <c r="D17" s="78"/>
      <c r="E17" s="78"/>
      <c r="F17" s="78"/>
      <c r="G17" s="79">
        <f t="shared" si="0"/>
        <v>416403.42</v>
      </c>
      <c r="H17" s="78" t="s">
        <v>650</v>
      </c>
      <c r="I17" s="79">
        <f t="shared" si="1"/>
        <v>416403.42</v>
      </c>
      <c r="L17" s="417" t="s">
        <v>277</v>
      </c>
      <c r="M17" s="418">
        <v>-20785924.02</v>
      </c>
    </row>
    <row r="18" spans="1:13" x14ac:dyDescent="0.4">
      <c r="A18" s="125" t="s">
        <v>981</v>
      </c>
      <c r="B18" s="125" t="s">
        <v>913</v>
      </c>
      <c r="C18" s="82">
        <v>2881716.44</v>
      </c>
      <c r="D18" s="78"/>
      <c r="E18" s="78"/>
      <c r="F18" s="78"/>
      <c r="G18" s="79">
        <f t="shared" si="0"/>
        <v>2881716.44</v>
      </c>
      <c r="H18" s="78" t="s">
        <v>650</v>
      </c>
      <c r="I18" s="79">
        <f t="shared" si="1"/>
        <v>2881716.44</v>
      </c>
      <c r="K18" s="16"/>
      <c r="L18" s="417" t="s">
        <v>859</v>
      </c>
      <c r="M18" s="418">
        <v>-1978475.48</v>
      </c>
    </row>
    <row r="19" spans="1:13" x14ac:dyDescent="0.4">
      <c r="A19" s="125" t="s">
        <v>982</v>
      </c>
      <c r="B19" s="125" t="s">
        <v>914</v>
      </c>
      <c r="C19" s="82">
        <v>557674</v>
      </c>
      <c r="D19" s="78"/>
      <c r="E19" s="78"/>
      <c r="F19" s="78"/>
      <c r="G19" s="79">
        <f t="shared" si="0"/>
        <v>557674</v>
      </c>
      <c r="H19" s="78" t="s">
        <v>650</v>
      </c>
      <c r="I19" s="79">
        <f t="shared" si="1"/>
        <v>557674</v>
      </c>
      <c r="K19" s="16"/>
      <c r="L19" s="417" t="s">
        <v>860</v>
      </c>
      <c r="M19" s="418">
        <v>-121798.21</v>
      </c>
    </row>
    <row r="20" spans="1:13" x14ac:dyDescent="0.4">
      <c r="A20" s="68" t="s">
        <v>983</v>
      </c>
      <c r="B20" s="68" t="s">
        <v>915</v>
      </c>
      <c r="C20" s="82">
        <v>31713.9</v>
      </c>
      <c r="D20" s="78"/>
      <c r="E20" s="78"/>
      <c r="F20" s="78"/>
      <c r="G20" s="79">
        <f t="shared" si="0"/>
        <v>31713.9</v>
      </c>
      <c r="H20" s="78" t="s">
        <v>650</v>
      </c>
      <c r="I20" s="79">
        <f t="shared" si="1"/>
        <v>31713.9</v>
      </c>
      <c r="L20" s="417" t="s">
        <v>283</v>
      </c>
      <c r="M20" s="418">
        <v>0</v>
      </c>
    </row>
    <row r="21" spans="1:13" ht="14.35" x14ac:dyDescent="0.5">
      <c r="A21" s="68" t="s">
        <v>984</v>
      </c>
      <c r="B21" s="68" t="s">
        <v>916</v>
      </c>
      <c r="C21" s="82">
        <v>60000</v>
      </c>
      <c r="D21" s="78"/>
      <c r="E21" s="78"/>
      <c r="F21" s="78"/>
      <c r="G21" s="79">
        <f t="shared" si="0"/>
        <v>60000</v>
      </c>
      <c r="H21" s="78" t="s">
        <v>271</v>
      </c>
      <c r="I21" s="79">
        <f t="shared" si="1"/>
        <v>60000</v>
      </c>
      <c r="L21"/>
      <c r="M21"/>
    </row>
    <row r="22" spans="1:13" ht="14.35" x14ac:dyDescent="0.5">
      <c r="A22" s="68" t="s">
        <v>985</v>
      </c>
      <c r="B22" s="68" t="s">
        <v>917</v>
      </c>
      <c r="C22" s="82">
        <v>-27854.86</v>
      </c>
      <c r="D22" s="78"/>
      <c r="E22" s="78"/>
      <c r="F22" s="78"/>
      <c r="G22" s="79">
        <f t="shared" si="0"/>
        <v>-27854.86</v>
      </c>
      <c r="H22" s="78" t="s">
        <v>650</v>
      </c>
      <c r="I22" s="79">
        <f t="shared" si="1"/>
        <v>-27854.86</v>
      </c>
      <c r="L22"/>
      <c r="M22"/>
    </row>
    <row r="23" spans="1:13" ht="14.35" x14ac:dyDescent="0.5">
      <c r="A23" s="68" t="s">
        <v>986</v>
      </c>
      <c r="B23" s="68" t="s">
        <v>918</v>
      </c>
      <c r="C23" s="82">
        <v>-454729.95</v>
      </c>
      <c r="D23" s="78"/>
      <c r="E23" s="78"/>
      <c r="F23" s="78"/>
      <c r="G23" s="79">
        <f t="shared" si="0"/>
        <v>-454729.95</v>
      </c>
      <c r="H23" s="78" t="s">
        <v>650</v>
      </c>
      <c r="I23" s="79">
        <f t="shared" si="1"/>
        <v>-454729.95</v>
      </c>
      <c r="L23"/>
      <c r="M23"/>
    </row>
    <row r="24" spans="1:13" ht="14.35" x14ac:dyDescent="0.5">
      <c r="A24" s="68" t="s">
        <v>987</v>
      </c>
      <c r="B24" s="68" t="s">
        <v>919</v>
      </c>
      <c r="C24" s="82">
        <v>19921.52</v>
      </c>
      <c r="D24" s="78"/>
      <c r="E24" s="78"/>
      <c r="F24" s="78"/>
      <c r="G24" s="79">
        <f t="shared" si="0"/>
        <v>19921.52</v>
      </c>
      <c r="H24" s="78" t="s">
        <v>650</v>
      </c>
      <c r="I24" s="79">
        <f t="shared" si="1"/>
        <v>19921.52</v>
      </c>
      <c r="L24"/>
      <c r="M24"/>
    </row>
    <row r="25" spans="1:13" ht="14.35" x14ac:dyDescent="0.5">
      <c r="A25" s="68" t="s">
        <v>988</v>
      </c>
      <c r="B25" s="68" t="s">
        <v>55</v>
      </c>
      <c r="C25" s="82">
        <v>356104.48</v>
      </c>
      <c r="D25" s="78"/>
      <c r="E25" s="78"/>
      <c r="F25" s="78"/>
      <c r="G25" s="79">
        <f t="shared" si="0"/>
        <v>356104.48</v>
      </c>
      <c r="H25" s="78" t="s">
        <v>266</v>
      </c>
      <c r="I25" s="79">
        <f t="shared" si="1"/>
        <v>356104.48</v>
      </c>
      <c r="L25"/>
      <c r="M25"/>
    </row>
    <row r="26" spans="1:13" s="76" customFormat="1" ht="14.35" x14ac:dyDescent="0.5">
      <c r="A26" s="68" t="s">
        <v>989</v>
      </c>
      <c r="B26" s="68" t="s">
        <v>920</v>
      </c>
      <c r="C26" s="82">
        <v>-149511.49</v>
      </c>
      <c r="D26" s="78"/>
      <c r="E26" s="78"/>
      <c r="F26" s="78"/>
      <c r="G26" s="79">
        <f t="shared" si="0"/>
        <v>-149511.49</v>
      </c>
      <c r="H26" s="78" t="s">
        <v>266</v>
      </c>
      <c r="I26" s="79">
        <f t="shared" si="1"/>
        <v>-149511.49</v>
      </c>
      <c r="J26" s="2"/>
      <c r="K26" s="2"/>
      <c r="L26"/>
      <c r="M26"/>
    </row>
    <row r="27" spans="1:13" s="76" customFormat="1" ht="14.35" x14ac:dyDescent="0.5">
      <c r="A27" s="68" t="s">
        <v>990</v>
      </c>
      <c r="B27" s="68" t="s">
        <v>921</v>
      </c>
      <c r="C27" s="82">
        <v>22222.54</v>
      </c>
      <c r="D27" s="78"/>
      <c r="E27" s="78"/>
      <c r="F27" s="78"/>
      <c r="G27" s="79">
        <f t="shared" si="0"/>
        <v>22222.54</v>
      </c>
      <c r="H27" s="78" t="s">
        <v>266</v>
      </c>
      <c r="I27" s="79">
        <f t="shared" si="1"/>
        <v>22222.54</v>
      </c>
      <c r="L27" s="80"/>
      <c r="M27" s="80"/>
    </row>
    <row r="28" spans="1:13" s="76" customFormat="1" ht="14.35" x14ac:dyDescent="0.5">
      <c r="A28" s="68" t="s">
        <v>991</v>
      </c>
      <c r="B28" s="68" t="s">
        <v>922</v>
      </c>
      <c r="C28" s="82">
        <v>-20772.919999999998</v>
      </c>
      <c r="D28" s="78"/>
      <c r="E28" s="78"/>
      <c r="F28" s="78"/>
      <c r="G28" s="79">
        <f t="shared" si="0"/>
        <v>-20772.919999999998</v>
      </c>
      <c r="H28" s="78" t="s">
        <v>266</v>
      </c>
      <c r="I28" s="79">
        <f t="shared" si="1"/>
        <v>-20772.919999999998</v>
      </c>
      <c r="L28" s="80"/>
      <c r="M28" s="80"/>
    </row>
    <row r="29" spans="1:13" ht="14.35" x14ac:dyDescent="0.5">
      <c r="A29" s="68" t="s">
        <v>992</v>
      </c>
      <c r="B29" s="68" t="s">
        <v>923</v>
      </c>
      <c r="C29" s="82">
        <v>42000.76</v>
      </c>
      <c r="D29" s="78"/>
      <c r="E29" s="78"/>
      <c r="F29" s="78"/>
      <c r="G29" s="79">
        <f t="shared" si="0"/>
        <v>42000.76</v>
      </c>
      <c r="H29" s="78" t="s">
        <v>266</v>
      </c>
      <c r="I29" s="79">
        <f t="shared" si="1"/>
        <v>42000.76</v>
      </c>
      <c r="J29" s="76"/>
      <c r="K29" s="76"/>
      <c r="L29" s="23"/>
      <c r="M29" s="23"/>
    </row>
    <row r="30" spans="1:13" s="76" customFormat="1" x14ac:dyDescent="0.4">
      <c r="A30" s="68" t="s">
        <v>993</v>
      </c>
      <c r="B30" s="68" t="s">
        <v>924</v>
      </c>
      <c r="C30" s="82">
        <v>-29005.9</v>
      </c>
      <c r="D30" s="78"/>
      <c r="E30" s="78"/>
      <c r="F30" s="78"/>
      <c r="G30" s="79">
        <f t="shared" si="0"/>
        <v>-29005.9</v>
      </c>
      <c r="H30" s="78" t="s">
        <v>266</v>
      </c>
      <c r="I30" s="79">
        <f t="shared" si="1"/>
        <v>-29005.9</v>
      </c>
      <c r="J30" s="2"/>
      <c r="K30" s="2"/>
    </row>
    <row r="31" spans="1:13" s="76" customFormat="1" x14ac:dyDescent="0.4">
      <c r="A31" s="68" t="s">
        <v>994</v>
      </c>
      <c r="B31" s="68" t="s">
        <v>925</v>
      </c>
      <c r="C31" s="82">
        <v>1732446.42</v>
      </c>
      <c r="D31" s="78"/>
      <c r="E31" s="78"/>
      <c r="F31" s="78"/>
      <c r="G31" s="79">
        <f t="shared" si="0"/>
        <v>1732446.42</v>
      </c>
      <c r="H31" s="78" t="s">
        <v>266</v>
      </c>
      <c r="I31" s="79">
        <f t="shared" si="1"/>
        <v>1732446.42</v>
      </c>
    </row>
    <row r="32" spans="1:13" x14ac:dyDescent="0.4">
      <c r="A32" s="125" t="s">
        <v>995</v>
      </c>
      <c r="B32" s="125" t="s">
        <v>926</v>
      </c>
      <c r="C32" s="82">
        <v>3719972.27</v>
      </c>
      <c r="D32" s="78"/>
      <c r="E32" s="78"/>
      <c r="F32" s="78"/>
      <c r="G32" s="79">
        <f t="shared" si="0"/>
        <v>3719972.27</v>
      </c>
      <c r="H32" s="78" t="s">
        <v>266</v>
      </c>
      <c r="I32" s="79">
        <f t="shared" si="1"/>
        <v>3719972.27</v>
      </c>
      <c r="J32" s="76"/>
      <c r="K32" s="76"/>
    </row>
    <row r="33" spans="1:11" s="76" customFormat="1" x14ac:dyDescent="0.4">
      <c r="A33" s="125" t="s">
        <v>996</v>
      </c>
      <c r="B33" s="125" t="s">
        <v>45</v>
      </c>
      <c r="C33" s="82">
        <v>-1178876.8999999999</v>
      </c>
      <c r="D33" s="78"/>
      <c r="E33" s="78"/>
      <c r="F33" s="78"/>
      <c r="G33" s="79">
        <f t="shared" si="0"/>
        <v>-1178876.8999999999</v>
      </c>
      <c r="H33" s="78" t="s">
        <v>266</v>
      </c>
      <c r="I33" s="79">
        <f t="shared" si="1"/>
        <v>-1178876.8999999999</v>
      </c>
      <c r="J33" s="2"/>
      <c r="K33" s="2"/>
    </row>
    <row r="34" spans="1:11" x14ac:dyDescent="0.4">
      <c r="A34" s="68" t="s">
        <v>997</v>
      </c>
      <c r="B34" s="68" t="s">
        <v>927</v>
      </c>
      <c r="C34" s="82">
        <v>225185</v>
      </c>
      <c r="D34" s="78"/>
      <c r="E34" s="78"/>
      <c r="F34" s="78"/>
      <c r="G34" s="79">
        <f t="shared" si="0"/>
        <v>225185</v>
      </c>
      <c r="H34" s="78" t="s">
        <v>266</v>
      </c>
      <c r="I34" s="79">
        <f t="shared" si="1"/>
        <v>225185</v>
      </c>
      <c r="J34" s="76"/>
      <c r="K34" s="76"/>
    </row>
    <row r="35" spans="1:11" x14ac:dyDescent="0.4">
      <c r="A35" s="68" t="s">
        <v>998</v>
      </c>
      <c r="B35" s="68" t="s">
        <v>928</v>
      </c>
      <c r="C35" s="82">
        <v>-119069.39</v>
      </c>
      <c r="D35" s="78"/>
      <c r="E35" s="78"/>
      <c r="F35" s="78"/>
      <c r="G35" s="79">
        <f t="shared" si="0"/>
        <v>-119069.39</v>
      </c>
      <c r="H35" s="78" t="s">
        <v>266</v>
      </c>
      <c r="I35" s="79">
        <f t="shared" si="1"/>
        <v>-119069.39</v>
      </c>
    </row>
    <row r="36" spans="1:11" x14ac:dyDescent="0.4">
      <c r="A36" s="68" t="s">
        <v>999</v>
      </c>
      <c r="B36" s="68" t="s">
        <v>929</v>
      </c>
      <c r="C36" s="82">
        <v>540495.80000000005</v>
      </c>
      <c r="D36" s="78"/>
      <c r="E36" s="78"/>
      <c r="F36" s="78"/>
      <c r="G36" s="79">
        <f t="shared" si="0"/>
        <v>540495.80000000005</v>
      </c>
      <c r="H36" s="78" t="s">
        <v>266</v>
      </c>
      <c r="I36" s="79">
        <f t="shared" si="1"/>
        <v>540495.80000000005</v>
      </c>
      <c r="K36" s="16"/>
    </row>
    <row r="37" spans="1:11" s="76" customFormat="1" x14ac:dyDescent="0.4">
      <c r="A37" s="68" t="s">
        <v>1000</v>
      </c>
      <c r="B37" s="68" t="s">
        <v>930</v>
      </c>
      <c r="C37" s="82">
        <v>-269097.69</v>
      </c>
      <c r="D37" s="78"/>
      <c r="E37" s="78"/>
      <c r="F37" s="78"/>
      <c r="G37" s="79">
        <f t="shared" si="0"/>
        <v>-269097.69</v>
      </c>
      <c r="H37" s="78" t="s">
        <v>266</v>
      </c>
      <c r="I37" s="79">
        <f t="shared" si="1"/>
        <v>-269097.69</v>
      </c>
      <c r="J37" s="2"/>
      <c r="K37" s="2"/>
    </row>
    <row r="38" spans="1:11" s="76" customFormat="1" x14ac:dyDescent="0.4">
      <c r="A38" s="68" t="s">
        <v>1001</v>
      </c>
      <c r="B38" s="68" t="s">
        <v>931</v>
      </c>
      <c r="C38" s="82">
        <v>19737.259999999998</v>
      </c>
      <c r="D38" s="78"/>
      <c r="E38" s="78"/>
      <c r="F38" s="78"/>
      <c r="G38" s="79">
        <f t="shared" si="0"/>
        <v>19737.259999999998</v>
      </c>
      <c r="H38" s="78" t="s">
        <v>266</v>
      </c>
      <c r="I38" s="79">
        <f t="shared" si="1"/>
        <v>19737.259999999998</v>
      </c>
    </row>
    <row r="39" spans="1:11" s="76" customFormat="1" x14ac:dyDescent="0.4">
      <c r="A39" s="125" t="s">
        <v>1002</v>
      </c>
      <c r="B39" s="125" t="s">
        <v>932</v>
      </c>
      <c r="C39" s="82">
        <v>-8224.35</v>
      </c>
      <c r="D39" s="78"/>
      <c r="E39" s="78"/>
      <c r="F39" s="78"/>
      <c r="G39" s="79">
        <f t="shared" si="0"/>
        <v>-8224.35</v>
      </c>
      <c r="H39" s="78" t="s">
        <v>266</v>
      </c>
      <c r="I39" s="79">
        <f t="shared" si="1"/>
        <v>-8224.35</v>
      </c>
    </row>
    <row r="40" spans="1:11" s="76" customFormat="1" x14ac:dyDescent="0.4">
      <c r="A40" s="68" t="s">
        <v>1003</v>
      </c>
      <c r="B40" s="68" t="s">
        <v>933</v>
      </c>
      <c r="C40" s="82">
        <v>17799.150000000001</v>
      </c>
      <c r="D40" s="78"/>
      <c r="E40" s="78"/>
      <c r="F40" s="78"/>
      <c r="G40" s="79">
        <f t="shared" si="0"/>
        <v>17799.150000000001</v>
      </c>
      <c r="H40" s="78" t="s">
        <v>268</v>
      </c>
      <c r="I40" s="79">
        <f t="shared" si="1"/>
        <v>17799.150000000001</v>
      </c>
    </row>
    <row r="41" spans="1:11" x14ac:dyDescent="0.4">
      <c r="A41" s="68" t="s">
        <v>1004</v>
      </c>
      <c r="B41" s="68" t="s">
        <v>934</v>
      </c>
      <c r="C41" s="82">
        <f>1650+456.66</f>
        <v>2106.66</v>
      </c>
      <c r="D41" s="78"/>
      <c r="E41" s="78"/>
      <c r="F41" s="78"/>
      <c r="G41" s="79">
        <f t="shared" si="0"/>
        <v>2106.66</v>
      </c>
      <c r="H41" s="78" t="s">
        <v>271</v>
      </c>
      <c r="I41" s="79">
        <f t="shared" si="1"/>
        <v>2106.66</v>
      </c>
      <c r="J41" s="76"/>
      <c r="K41" s="76"/>
    </row>
    <row r="42" spans="1:11" x14ac:dyDescent="0.4">
      <c r="A42" s="68" t="s">
        <v>1005</v>
      </c>
      <c r="B42" s="68" t="s">
        <v>935</v>
      </c>
      <c r="C42" s="82">
        <v>49513.04</v>
      </c>
      <c r="D42" s="78"/>
      <c r="E42" s="78"/>
      <c r="F42" s="78"/>
      <c r="G42" s="79">
        <f t="shared" si="0"/>
        <v>49513.04</v>
      </c>
      <c r="H42" s="78" t="s">
        <v>271</v>
      </c>
      <c r="I42" s="79">
        <f t="shared" si="1"/>
        <v>49513.04</v>
      </c>
    </row>
    <row r="43" spans="1:11" x14ac:dyDescent="0.4">
      <c r="A43" s="68" t="s">
        <v>1006</v>
      </c>
      <c r="B43" s="68" t="s">
        <v>936</v>
      </c>
      <c r="C43" s="82">
        <v>67820.13</v>
      </c>
      <c r="D43" s="78"/>
      <c r="E43" s="78"/>
      <c r="F43" s="78"/>
      <c r="G43" s="79">
        <f t="shared" si="0"/>
        <v>67820.13</v>
      </c>
      <c r="H43" s="78" t="s">
        <v>271</v>
      </c>
      <c r="I43" s="79">
        <f t="shared" si="1"/>
        <v>67820.13</v>
      </c>
    </row>
    <row r="44" spans="1:11" x14ac:dyDescent="0.4">
      <c r="A44" s="68" t="s">
        <v>1007</v>
      </c>
      <c r="B44" s="68" t="s">
        <v>937</v>
      </c>
      <c r="C44" s="82">
        <v>62701.68</v>
      </c>
      <c r="D44" s="78"/>
      <c r="E44" s="78"/>
      <c r="F44" s="78"/>
      <c r="G44" s="79">
        <f t="shared" si="0"/>
        <v>62701.68</v>
      </c>
      <c r="H44" s="78" t="s">
        <v>271</v>
      </c>
      <c r="I44" s="79">
        <f t="shared" si="1"/>
        <v>62701.68</v>
      </c>
    </row>
    <row r="45" spans="1:11" x14ac:dyDescent="0.4">
      <c r="A45" s="125" t="s">
        <v>1008</v>
      </c>
      <c r="B45" s="68" t="s">
        <v>938</v>
      </c>
      <c r="C45" s="82">
        <v>41444</v>
      </c>
      <c r="D45" s="78"/>
      <c r="E45" s="78"/>
      <c r="F45" s="78"/>
      <c r="G45" s="79">
        <f t="shared" si="0"/>
        <v>41444</v>
      </c>
      <c r="H45" s="78" t="s">
        <v>271</v>
      </c>
      <c r="I45" s="79">
        <f t="shared" si="1"/>
        <v>41444</v>
      </c>
    </row>
    <row r="46" spans="1:11" x14ac:dyDescent="0.4">
      <c r="A46" s="68" t="s">
        <v>1009</v>
      </c>
      <c r="B46" s="68" t="s">
        <v>939</v>
      </c>
      <c r="C46" s="82">
        <v>12595.61</v>
      </c>
      <c r="D46" s="78"/>
      <c r="E46" s="78"/>
      <c r="F46" s="78"/>
      <c r="G46" s="79">
        <f t="shared" si="0"/>
        <v>12595.61</v>
      </c>
      <c r="H46" s="78" t="s">
        <v>271</v>
      </c>
      <c r="I46" s="79">
        <f t="shared" si="1"/>
        <v>12595.61</v>
      </c>
    </row>
    <row r="47" spans="1:11" s="76" customFormat="1" x14ac:dyDescent="0.4">
      <c r="A47" s="68" t="s">
        <v>1010</v>
      </c>
      <c r="B47" s="68" t="s">
        <v>940</v>
      </c>
      <c r="C47" s="82">
        <v>357.49</v>
      </c>
      <c r="D47" s="78"/>
      <c r="E47" s="78"/>
      <c r="F47" s="78"/>
      <c r="G47" s="79">
        <f t="shared" si="0"/>
        <v>357.49</v>
      </c>
      <c r="H47" s="78" t="s">
        <v>264</v>
      </c>
      <c r="I47" s="79">
        <f t="shared" si="1"/>
        <v>357.49</v>
      </c>
      <c r="J47" s="2"/>
      <c r="K47" s="2"/>
    </row>
    <row r="48" spans="1:11" x14ac:dyDescent="0.4">
      <c r="A48" s="68" t="s">
        <v>363</v>
      </c>
      <c r="B48" s="68" t="s">
        <v>64</v>
      </c>
      <c r="C48" s="77">
        <v>-1924885.55</v>
      </c>
      <c r="D48" s="78"/>
      <c r="E48" s="78"/>
      <c r="F48" s="78"/>
      <c r="G48" s="79">
        <f t="shared" si="0"/>
        <v>-1924885.55</v>
      </c>
      <c r="H48" s="78" t="s">
        <v>859</v>
      </c>
      <c r="I48" s="79">
        <f t="shared" si="1"/>
        <v>-1924885.55</v>
      </c>
      <c r="J48" s="76"/>
      <c r="K48" s="76"/>
    </row>
    <row r="49" spans="1:15" x14ac:dyDescent="0.4">
      <c r="A49" s="68" t="s">
        <v>1011</v>
      </c>
      <c r="B49" s="68" t="s">
        <v>941</v>
      </c>
      <c r="C49" s="77">
        <v>-53589.93</v>
      </c>
      <c r="D49" s="76"/>
      <c r="E49" s="78"/>
      <c r="F49" s="78"/>
      <c r="G49" s="79">
        <f t="shared" si="0"/>
        <v>-53589.93</v>
      </c>
      <c r="H49" s="78" t="s">
        <v>859</v>
      </c>
      <c r="I49" s="79">
        <f t="shared" si="1"/>
        <v>-53589.93</v>
      </c>
    </row>
    <row r="50" spans="1:15" x14ac:dyDescent="0.4">
      <c r="A50" s="68" t="s">
        <v>1012</v>
      </c>
      <c r="B50" s="68" t="s">
        <v>125</v>
      </c>
      <c r="C50" s="77">
        <v>-3149212.23</v>
      </c>
      <c r="D50" s="78"/>
      <c r="E50" s="78"/>
      <c r="F50" s="78"/>
      <c r="G50" s="79">
        <f t="shared" si="0"/>
        <v>-3149212.23</v>
      </c>
      <c r="H50" s="78" t="s">
        <v>272</v>
      </c>
      <c r="I50" s="79">
        <f t="shared" si="1"/>
        <v>-3149212.23</v>
      </c>
    </row>
    <row r="51" spans="1:15" x14ac:dyDescent="0.4">
      <c r="A51" s="125" t="s">
        <v>1013</v>
      </c>
      <c r="B51" s="125" t="s">
        <v>942</v>
      </c>
      <c r="C51" s="77">
        <v>-15038.21</v>
      </c>
      <c r="D51" s="78"/>
      <c r="E51" s="78"/>
      <c r="F51" s="78"/>
      <c r="G51" s="79">
        <f t="shared" si="0"/>
        <v>-15038.21</v>
      </c>
      <c r="H51" s="78" t="s">
        <v>860</v>
      </c>
      <c r="I51" s="79">
        <f t="shared" si="1"/>
        <v>-15038.21</v>
      </c>
    </row>
    <row r="52" spans="1:15" x14ac:dyDescent="0.4">
      <c r="A52" s="68" t="s">
        <v>1014</v>
      </c>
      <c r="B52" s="68" t="s">
        <v>943</v>
      </c>
      <c r="C52" s="77">
        <v>-106760</v>
      </c>
      <c r="D52" s="78"/>
      <c r="E52" s="78"/>
      <c r="F52" s="78"/>
      <c r="G52" s="79">
        <f t="shared" si="0"/>
        <v>-106760</v>
      </c>
      <c r="H52" s="78" t="s">
        <v>860</v>
      </c>
      <c r="I52" s="79">
        <f t="shared" si="1"/>
        <v>-106760</v>
      </c>
    </row>
    <row r="53" spans="1:15" s="76" customFormat="1" x14ac:dyDescent="0.4">
      <c r="A53" s="68" t="s">
        <v>1015</v>
      </c>
      <c r="B53" s="68" t="s">
        <v>944</v>
      </c>
      <c r="C53" s="77">
        <v>-112444.25</v>
      </c>
      <c r="D53" s="78"/>
      <c r="E53" s="78"/>
      <c r="F53" s="78"/>
      <c r="G53" s="79">
        <f t="shared" si="0"/>
        <v>-112444.25</v>
      </c>
      <c r="H53" s="78" t="s">
        <v>274</v>
      </c>
      <c r="I53" s="79">
        <f t="shared" si="1"/>
        <v>-112444.25</v>
      </c>
      <c r="J53" s="2"/>
      <c r="K53" s="2"/>
    </row>
    <row r="54" spans="1:15" x14ac:dyDescent="0.4">
      <c r="A54" s="68" t="s">
        <v>1016</v>
      </c>
      <c r="B54" s="68" t="s">
        <v>945</v>
      </c>
      <c r="C54" s="77">
        <v>-112588.96</v>
      </c>
      <c r="D54" s="78"/>
      <c r="E54" s="78"/>
      <c r="F54" s="78"/>
      <c r="G54" s="79">
        <f t="shared" si="0"/>
        <v>-112588.96</v>
      </c>
      <c r="H54" s="78" t="s">
        <v>274</v>
      </c>
      <c r="I54" s="79">
        <f t="shared" si="1"/>
        <v>-112588.96</v>
      </c>
      <c r="K54" s="16"/>
    </row>
    <row r="55" spans="1:15" x14ac:dyDescent="0.4">
      <c r="A55" s="68" t="s">
        <v>1017</v>
      </c>
      <c r="B55" s="68" t="s">
        <v>946</v>
      </c>
      <c r="C55" s="77">
        <v>-401384.43</v>
      </c>
      <c r="D55" s="78"/>
      <c r="E55" s="78"/>
      <c r="F55" s="78"/>
      <c r="G55" s="79">
        <f t="shared" si="0"/>
        <v>-401384.43</v>
      </c>
      <c r="H55" s="78" t="s">
        <v>274</v>
      </c>
      <c r="I55" s="79">
        <f t="shared" si="1"/>
        <v>-401384.43</v>
      </c>
    </row>
    <row r="56" spans="1:15" x14ac:dyDescent="0.4">
      <c r="A56" s="68" t="s">
        <v>1018</v>
      </c>
      <c r="B56" s="68" t="s">
        <v>947</v>
      </c>
      <c r="C56" s="77">
        <v>-39316.980000000003</v>
      </c>
      <c r="D56" s="78"/>
      <c r="E56" s="78"/>
      <c r="F56" s="78"/>
      <c r="G56" s="79">
        <f t="shared" si="0"/>
        <v>-39316.980000000003</v>
      </c>
      <c r="H56" s="78" t="s">
        <v>274</v>
      </c>
      <c r="I56" s="79">
        <f t="shared" si="1"/>
        <v>-39316.980000000003</v>
      </c>
    </row>
    <row r="57" spans="1:15" x14ac:dyDescent="0.4">
      <c r="A57" s="68" t="s">
        <v>1019</v>
      </c>
      <c r="B57" s="68" t="s">
        <v>948</v>
      </c>
      <c r="C57" s="77">
        <v>-12071.9</v>
      </c>
      <c r="D57" s="78"/>
      <c r="E57" s="78"/>
      <c r="F57" s="78"/>
      <c r="G57" s="79">
        <f t="shared" si="0"/>
        <v>-12071.9</v>
      </c>
      <c r="H57" s="78" t="s">
        <v>274</v>
      </c>
      <c r="I57" s="79">
        <f t="shared" si="1"/>
        <v>-12071.9</v>
      </c>
      <c r="K57" s="2">
        <v>253881.1</v>
      </c>
    </row>
    <row r="58" spans="1:15" x14ac:dyDescent="0.4">
      <c r="A58" s="68" t="s">
        <v>1020</v>
      </c>
      <c r="B58" s="68" t="s">
        <v>949</v>
      </c>
      <c r="C58" s="77">
        <v>-38227.75</v>
      </c>
      <c r="D58" s="78"/>
      <c r="E58" s="78"/>
      <c r="F58" s="78"/>
      <c r="G58" s="79">
        <f t="shared" si="0"/>
        <v>-38227.75</v>
      </c>
      <c r="H58" s="78" t="s">
        <v>274</v>
      </c>
      <c r="I58" s="79">
        <f t="shared" si="1"/>
        <v>-38227.75</v>
      </c>
      <c r="K58" s="2">
        <v>253881.1</v>
      </c>
    </row>
    <row r="59" spans="1:15" x14ac:dyDescent="0.4">
      <c r="A59" s="68" t="s">
        <v>1021</v>
      </c>
      <c r="B59" s="68" t="s">
        <v>950</v>
      </c>
      <c r="C59" s="77">
        <v>-51704</v>
      </c>
      <c r="D59" s="78"/>
      <c r="E59" s="78"/>
      <c r="F59" s="78"/>
      <c r="G59" s="79">
        <f t="shared" si="0"/>
        <v>-51704</v>
      </c>
      <c r="H59" s="78" t="s">
        <v>274</v>
      </c>
      <c r="I59" s="79">
        <f t="shared" si="1"/>
        <v>-51704</v>
      </c>
      <c r="K59" s="16">
        <f>K57-K58</f>
        <v>0</v>
      </c>
    </row>
    <row r="60" spans="1:15" x14ac:dyDescent="0.4">
      <c r="A60" s="68" t="s">
        <v>1022</v>
      </c>
      <c r="B60" s="68" t="s">
        <v>951</v>
      </c>
      <c r="C60" s="77">
        <v>-11566.15</v>
      </c>
      <c r="D60" s="78"/>
      <c r="E60" s="78"/>
      <c r="F60" s="78"/>
      <c r="G60" s="79">
        <f t="shared" si="0"/>
        <v>-11566.15</v>
      </c>
      <c r="H60" s="78" t="s">
        <v>274</v>
      </c>
      <c r="I60" s="79">
        <f t="shared" si="1"/>
        <v>-11566.15</v>
      </c>
      <c r="K60" s="16">
        <f>-SUM(C50:C52)</f>
        <v>3271010.44</v>
      </c>
    </row>
    <row r="61" spans="1:15" x14ac:dyDescent="0.4">
      <c r="A61" s="68" t="s">
        <v>1023</v>
      </c>
      <c r="B61" s="68" t="s">
        <v>952</v>
      </c>
      <c r="C61" s="77">
        <v>-32549.56</v>
      </c>
      <c r="D61" s="78"/>
      <c r="E61" s="78"/>
      <c r="F61" s="78"/>
      <c r="G61" s="79">
        <f t="shared" si="0"/>
        <v>-32549.56</v>
      </c>
      <c r="H61" s="78" t="s">
        <v>274</v>
      </c>
      <c r="I61" s="79">
        <f t="shared" si="1"/>
        <v>-32549.56</v>
      </c>
      <c r="K61" s="16"/>
      <c r="N61" s="76"/>
      <c r="O61" s="76"/>
    </row>
    <row r="62" spans="1:15" s="76" customFormat="1" x14ac:dyDescent="0.4">
      <c r="A62" s="68" t="s">
        <v>1024</v>
      </c>
      <c r="B62" s="68" t="s">
        <v>953</v>
      </c>
      <c r="C62" s="77">
        <v>-113543.84</v>
      </c>
      <c r="D62" s="78"/>
      <c r="E62" s="78"/>
      <c r="F62" s="78"/>
      <c r="G62" s="79">
        <f t="shared" si="0"/>
        <v>-113543.84</v>
      </c>
      <c r="H62" s="78" t="s">
        <v>274</v>
      </c>
      <c r="I62" s="79">
        <f t="shared" si="1"/>
        <v>-113543.84</v>
      </c>
      <c r="J62" s="2"/>
      <c r="K62" s="16"/>
      <c r="N62" s="2"/>
      <c r="O62" s="2"/>
    </row>
    <row r="63" spans="1:15" x14ac:dyDescent="0.4">
      <c r="A63" s="68" t="s">
        <v>1025</v>
      </c>
      <c r="B63" s="68" t="s">
        <v>954</v>
      </c>
      <c r="C63" s="77">
        <v>-175000</v>
      </c>
      <c r="D63" s="78"/>
      <c r="E63" s="78"/>
      <c r="F63" s="78"/>
      <c r="G63" s="79">
        <f t="shared" si="0"/>
        <v>-175000</v>
      </c>
      <c r="H63" s="78" t="s">
        <v>274</v>
      </c>
      <c r="I63" s="79">
        <f t="shared" si="1"/>
        <v>-175000</v>
      </c>
      <c r="J63" s="76"/>
      <c r="K63" s="77"/>
      <c r="N63" s="76"/>
      <c r="O63" s="76"/>
    </row>
    <row r="64" spans="1:15" x14ac:dyDescent="0.4">
      <c r="A64" s="68" t="s">
        <v>1026</v>
      </c>
      <c r="B64" s="68" t="s">
        <v>955</v>
      </c>
      <c r="C64" s="77">
        <v>-34665.339999999997</v>
      </c>
      <c r="D64" s="78"/>
      <c r="E64" s="78"/>
      <c r="F64" s="78"/>
      <c r="G64" s="79">
        <f t="shared" si="0"/>
        <v>-34665.339999999997</v>
      </c>
      <c r="H64" s="78" t="s">
        <v>274</v>
      </c>
      <c r="I64" s="79">
        <f t="shared" si="1"/>
        <v>-34665.339999999997</v>
      </c>
    </row>
    <row r="65" spans="1:15" x14ac:dyDescent="0.4">
      <c r="A65" s="68" t="s">
        <v>1027</v>
      </c>
      <c r="B65" s="68" t="s">
        <v>956</v>
      </c>
      <c r="C65" s="77">
        <v>-318000</v>
      </c>
      <c r="D65" s="78"/>
      <c r="E65" s="78"/>
      <c r="F65" s="78"/>
      <c r="G65" s="79">
        <f t="shared" si="0"/>
        <v>-318000</v>
      </c>
      <c r="H65" s="78" t="s">
        <v>274</v>
      </c>
      <c r="I65" s="79">
        <f t="shared" si="1"/>
        <v>-318000</v>
      </c>
    </row>
    <row r="66" spans="1:15" x14ac:dyDescent="0.4">
      <c r="A66" s="68" t="s">
        <v>1028</v>
      </c>
      <c r="B66" s="68" t="s">
        <v>957</v>
      </c>
      <c r="C66" s="77">
        <v>-49101.64</v>
      </c>
      <c r="D66" s="78"/>
      <c r="E66" s="78"/>
      <c r="F66" s="78"/>
      <c r="G66" s="79">
        <f t="shared" si="0"/>
        <v>-49101.64</v>
      </c>
      <c r="H66" s="78" t="s">
        <v>274</v>
      </c>
      <c r="I66" s="79">
        <f t="shared" si="1"/>
        <v>-49101.64</v>
      </c>
    </row>
    <row r="67" spans="1:15" s="76" customFormat="1" x14ac:dyDescent="0.4">
      <c r="A67" s="68" t="s">
        <v>1029</v>
      </c>
      <c r="B67" s="68" t="s">
        <v>958</v>
      </c>
      <c r="C67" s="77">
        <v>-60381.11</v>
      </c>
      <c r="D67" s="78"/>
      <c r="E67" s="78"/>
      <c r="F67" s="78"/>
      <c r="G67" s="79">
        <f t="shared" si="0"/>
        <v>-60381.11</v>
      </c>
      <c r="H67" s="78" t="s">
        <v>274</v>
      </c>
      <c r="I67" s="79">
        <f t="shared" si="1"/>
        <v>-60381.11</v>
      </c>
      <c r="J67" s="2"/>
      <c r="K67" s="2"/>
      <c r="N67" s="2"/>
      <c r="O67" s="2"/>
    </row>
    <row r="68" spans="1:15" x14ac:dyDescent="0.4">
      <c r="A68" s="68" t="s">
        <v>1030</v>
      </c>
      <c r="B68" s="68" t="s">
        <v>959</v>
      </c>
      <c r="C68" s="77">
        <v>-261500</v>
      </c>
      <c r="D68" s="78"/>
      <c r="E68" s="78"/>
      <c r="F68" s="78"/>
      <c r="G68" s="79">
        <f t="shared" si="0"/>
        <v>-261500</v>
      </c>
      <c r="H68" s="78" t="s">
        <v>274</v>
      </c>
      <c r="I68" s="79">
        <f t="shared" si="1"/>
        <v>-261500</v>
      </c>
      <c r="J68" s="76"/>
      <c r="K68" s="77">
        <f>SUM(C53:C77)</f>
        <v>-3074105.81</v>
      </c>
      <c r="N68" s="76"/>
      <c r="O68" s="76"/>
    </row>
    <row r="69" spans="1:15" x14ac:dyDescent="0.4">
      <c r="A69" s="68" t="s">
        <v>1031</v>
      </c>
      <c r="B69" s="68" t="s">
        <v>960</v>
      </c>
      <c r="C69" s="77">
        <v>-177503.51</v>
      </c>
      <c r="D69" s="78"/>
      <c r="E69" s="78"/>
      <c r="F69" s="78"/>
      <c r="G69" s="79">
        <f t="shared" ref="G69:G82" si="2">SUM(C69:F69)</f>
        <v>-177503.51</v>
      </c>
      <c r="H69" s="78" t="s">
        <v>274</v>
      </c>
      <c r="I69" s="79">
        <f t="shared" si="1"/>
        <v>-177503.51</v>
      </c>
      <c r="K69" s="16">
        <v>-3074105.81</v>
      </c>
    </row>
    <row r="70" spans="1:15" x14ac:dyDescent="0.4">
      <c r="A70" s="68" t="s">
        <v>1032</v>
      </c>
      <c r="B70" s="68" t="s">
        <v>961</v>
      </c>
      <c r="C70" s="77">
        <v>-97828.47</v>
      </c>
      <c r="D70" s="78"/>
      <c r="E70" s="78"/>
      <c r="F70" s="78"/>
      <c r="G70" s="79">
        <f t="shared" si="2"/>
        <v>-97828.47</v>
      </c>
      <c r="H70" s="78" t="s">
        <v>274</v>
      </c>
      <c r="I70" s="79">
        <f t="shared" ref="I70:I82" si="3">G70</f>
        <v>-97828.47</v>
      </c>
      <c r="K70" s="77">
        <f>K68-K69</f>
        <v>0</v>
      </c>
    </row>
    <row r="71" spans="1:15" x14ac:dyDescent="0.4">
      <c r="A71" s="68" t="s">
        <v>1033</v>
      </c>
      <c r="B71" s="68" t="s">
        <v>962</v>
      </c>
      <c r="C71" s="77">
        <v>-83026.679999999993</v>
      </c>
      <c r="D71" s="78"/>
      <c r="E71" s="78"/>
      <c r="F71" s="78"/>
      <c r="G71" s="79">
        <f t="shared" si="2"/>
        <v>-83026.679999999993</v>
      </c>
      <c r="H71" s="78" t="s">
        <v>274</v>
      </c>
      <c r="I71" s="79">
        <f t="shared" si="3"/>
        <v>-83026.679999999993</v>
      </c>
    </row>
    <row r="72" spans="1:15" x14ac:dyDescent="0.4">
      <c r="A72" s="68" t="s">
        <v>1034</v>
      </c>
      <c r="B72" s="68" t="s">
        <v>963</v>
      </c>
      <c r="C72" s="77">
        <v>-86683.76</v>
      </c>
      <c r="D72" s="78"/>
      <c r="E72" s="78"/>
      <c r="F72" s="78"/>
      <c r="G72" s="79">
        <f t="shared" si="2"/>
        <v>-86683.76</v>
      </c>
      <c r="H72" s="78" t="s">
        <v>274</v>
      </c>
      <c r="I72" s="79">
        <f t="shared" si="3"/>
        <v>-86683.76</v>
      </c>
    </row>
    <row r="73" spans="1:15" x14ac:dyDescent="0.4">
      <c r="A73" s="68" t="s">
        <v>1035</v>
      </c>
      <c r="B73" s="68" t="s">
        <v>964</v>
      </c>
      <c r="C73" s="77">
        <v>-94792.35</v>
      </c>
      <c r="D73" s="78"/>
      <c r="E73" s="78"/>
      <c r="F73" s="78"/>
      <c r="G73" s="79">
        <f t="shared" si="2"/>
        <v>-94792.35</v>
      </c>
      <c r="H73" s="78" t="s">
        <v>274</v>
      </c>
      <c r="I73" s="79">
        <f t="shared" si="3"/>
        <v>-94792.35</v>
      </c>
    </row>
    <row r="74" spans="1:15" x14ac:dyDescent="0.4">
      <c r="A74" s="68" t="s">
        <v>1036</v>
      </c>
      <c r="B74" s="68" t="s">
        <v>965</v>
      </c>
      <c r="C74" s="77">
        <v>-130000</v>
      </c>
      <c r="D74" s="78"/>
      <c r="E74" s="78"/>
      <c r="F74" s="78"/>
      <c r="G74" s="79">
        <f t="shared" si="2"/>
        <v>-130000</v>
      </c>
      <c r="H74" s="78" t="s">
        <v>274</v>
      </c>
      <c r="I74" s="79">
        <f t="shared" si="3"/>
        <v>-130000</v>
      </c>
    </row>
    <row r="75" spans="1:15" s="76" customFormat="1" x14ac:dyDescent="0.4">
      <c r="A75" s="68" t="s">
        <v>1045</v>
      </c>
      <c r="B75" s="68" t="s">
        <v>1046</v>
      </c>
      <c r="C75" s="77">
        <v>-48378.79</v>
      </c>
      <c r="D75" s="78"/>
      <c r="E75" s="78"/>
      <c r="F75" s="78"/>
      <c r="G75" s="79">
        <f t="shared" si="2"/>
        <v>-48378.79</v>
      </c>
      <c r="H75" s="78" t="s">
        <v>274</v>
      </c>
      <c r="I75" s="79">
        <f t="shared" si="3"/>
        <v>-48378.79</v>
      </c>
    </row>
    <row r="76" spans="1:15" x14ac:dyDescent="0.4">
      <c r="A76" s="68" t="s">
        <v>1037</v>
      </c>
      <c r="B76" s="68" t="s">
        <v>966</v>
      </c>
      <c r="C76" s="77">
        <v>-111846.34</v>
      </c>
      <c r="D76" s="78"/>
      <c r="E76" s="78"/>
      <c r="F76" s="78"/>
      <c r="G76" s="79">
        <f t="shared" si="2"/>
        <v>-111846.34</v>
      </c>
      <c r="H76" s="78" t="s">
        <v>274</v>
      </c>
      <c r="I76" s="79">
        <f t="shared" si="3"/>
        <v>-111846.34</v>
      </c>
    </row>
    <row r="77" spans="1:15" x14ac:dyDescent="0.4">
      <c r="A77" s="68" t="s">
        <v>1038</v>
      </c>
      <c r="B77" s="68" t="s">
        <v>967</v>
      </c>
      <c r="C77" s="77">
        <v>-420000</v>
      </c>
      <c r="D77" s="78"/>
      <c r="E77" s="78"/>
      <c r="F77" s="78"/>
      <c r="G77" s="79">
        <f t="shared" si="2"/>
        <v>-420000</v>
      </c>
      <c r="H77" s="78" t="s">
        <v>274</v>
      </c>
      <c r="I77" s="79">
        <f t="shared" si="3"/>
        <v>-420000</v>
      </c>
    </row>
    <row r="78" spans="1:15" x14ac:dyDescent="0.4">
      <c r="A78" s="68" t="s">
        <v>1039</v>
      </c>
      <c r="B78" s="68" t="s">
        <v>138</v>
      </c>
      <c r="C78" s="77">
        <v>20808269.530000001</v>
      </c>
      <c r="D78" s="78"/>
      <c r="E78" s="78"/>
      <c r="F78" s="78"/>
      <c r="G78" s="79">
        <f t="shared" si="2"/>
        <v>20808269.530000001</v>
      </c>
      <c r="H78" s="78" t="s">
        <v>278</v>
      </c>
      <c r="I78" s="79">
        <f t="shared" si="3"/>
        <v>20808269.530000001</v>
      </c>
    </row>
    <row r="79" spans="1:15" x14ac:dyDescent="0.4">
      <c r="A79" s="68" t="s">
        <v>1040</v>
      </c>
      <c r="B79" s="68" t="s">
        <v>968</v>
      </c>
      <c r="C79" s="77">
        <v>-754016.84</v>
      </c>
      <c r="D79" s="78"/>
      <c r="E79" s="78"/>
      <c r="F79" s="78"/>
      <c r="G79" s="79">
        <f t="shared" si="2"/>
        <v>-754016.84</v>
      </c>
      <c r="H79" s="78" t="s">
        <v>276</v>
      </c>
      <c r="I79" s="79">
        <f t="shared" si="3"/>
        <v>-754016.84</v>
      </c>
    </row>
    <row r="80" spans="1:15" x14ac:dyDescent="0.4">
      <c r="A80" s="68" t="s">
        <v>1041</v>
      </c>
      <c r="B80" s="68" t="s">
        <v>969</v>
      </c>
      <c r="C80" s="77">
        <v>5437.5</v>
      </c>
      <c r="D80" s="78"/>
      <c r="E80" s="78"/>
      <c r="F80" s="78"/>
      <c r="G80" s="79">
        <f t="shared" si="2"/>
        <v>5437.5</v>
      </c>
      <c r="H80" s="78" t="s">
        <v>275</v>
      </c>
      <c r="I80" s="79">
        <f t="shared" si="3"/>
        <v>5437.5</v>
      </c>
    </row>
    <row r="81" spans="1:15" x14ac:dyDescent="0.4">
      <c r="A81" s="68" t="s">
        <v>1042</v>
      </c>
      <c r="B81" s="68" t="s">
        <v>970</v>
      </c>
      <c r="C81" s="77">
        <v>-20785924.02</v>
      </c>
      <c r="D81" s="78"/>
      <c r="E81" s="78"/>
      <c r="F81" s="78"/>
      <c r="G81" s="79">
        <f t="shared" si="2"/>
        <v>-20785924.02</v>
      </c>
      <c r="H81" s="78" t="s">
        <v>277</v>
      </c>
      <c r="I81" s="79">
        <f t="shared" si="3"/>
        <v>-20785924.02</v>
      </c>
    </row>
    <row r="82" spans="1:15" x14ac:dyDescent="0.4">
      <c r="A82" s="68" t="s">
        <v>304</v>
      </c>
      <c r="B82" s="68" t="s">
        <v>142</v>
      </c>
      <c r="C82" s="77">
        <v>-103803.24</v>
      </c>
      <c r="D82" s="78"/>
      <c r="E82" s="78"/>
      <c r="F82" s="78"/>
      <c r="G82" s="79">
        <f t="shared" si="2"/>
        <v>-103803.24</v>
      </c>
      <c r="H82" s="78" t="s">
        <v>278</v>
      </c>
      <c r="I82" s="79">
        <f t="shared" si="3"/>
        <v>-103803.24</v>
      </c>
      <c r="L82" s="92"/>
      <c r="M82" s="92"/>
    </row>
    <row r="83" spans="1:15" x14ac:dyDescent="0.4">
      <c r="A83" s="2" t="s">
        <v>483</v>
      </c>
      <c r="B83" s="8"/>
      <c r="C83" s="20">
        <f t="shared" ref="C83:I83" si="4">SUM(C6:C47)+SUM(C48:C82)</f>
        <v>0</v>
      </c>
      <c r="D83" s="20">
        <f t="shared" si="4"/>
        <v>0</v>
      </c>
      <c r="E83" s="20">
        <f t="shared" si="4"/>
        <v>0</v>
      </c>
      <c r="F83" s="20">
        <f t="shared" si="4"/>
        <v>0</v>
      </c>
      <c r="G83" s="20">
        <f t="shared" si="4"/>
        <v>0</v>
      </c>
      <c r="H83" s="20">
        <f t="shared" si="4"/>
        <v>0</v>
      </c>
      <c r="I83" s="20">
        <f t="shared" si="4"/>
        <v>0</v>
      </c>
      <c r="J83" s="92"/>
      <c r="K83" s="92"/>
    </row>
    <row r="84" spans="1:15" x14ac:dyDescent="0.4">
      <c r="B84" s="8"/>
      <c r="H84" s="78"/>
    </row>
    <row r="85" spans="1:15" x14ac:dyDescent="0.4">
      <c r="B85" s="8" t="s">
        <v>261</v>
      </c>
      <c r="H85" s="78"/>
    </row>
    <row r="86" spans="1:15" x14ac:dyDescent="0.4">
      <c r="B86" s="2" t="s">
        <v>285</v>
      </c>
      <c r="C86" s="17">
        <f t="shared" ref="C86:I86" si="5">SUM(C6:C47)</f>
        <v>9153628.8000000007</v>
      </c>
      <c r="D86" s="78">
        <f t="shared" si="5"/>
        <v>0</v>
      </c>
      <c r="E86" s="78">
        <f t="shared" si="5"/>
        <v>0</v>
      </c>
      <c r="F86" s="78">
        <f t="shared" si="5"/>
        <v>0</v>
      </c>
      <c r="G86" s="78">
        <f t="shared" si="5"/>
        <v>9153628.8000000007</v>
      </c>
      <c r="H86" s="78">
        <f t="shared" si="5"/>
        <v>0</v>
      </c>
      <c r="I86" s="78">
        <f t="shared" si="5"/>
        <v>9153628.8000000007</v>
      </c>
      <c r="J86" s="16"/>
    </row>
    <row r="87" spans="1:15" s="18" customFormat="1" x14ac:dyDescent="0.4">
      <c r="A87" s="2"/>
      <c r="B87" s="2" t="s">
        <v>286</v>
      </c>
      <c r="C87" s="17">
        <f t="shared" ref="C87:I87" si="6">SUM(C48:C77)</f>
        <v>-8323591.7300000004</v>
      </c>
      <c r="D87" s="78">
        <f t="shared" si="6"/>
        <v>0</v>
      </c>
      <c r="E87" s="78">
        <f t="shared" si="6"/>
        <v>0</v>
      </c>
      <c r="F87" s="78">
        <f t="shared" si="6"/>
        <v>0</v>
      </c>
      <c r="G87" s="78">
        <f t="shared" si="6"/>
        <v>-8323591.7300000004</v>
      </c>
      <c r="H87" s="78">
        <f t="shared" si="6"/>
        <v>0</v>
      </c>
      <c r="I87" s="78">
        <f t="shared" si="6"/>
        <v>-8323591.7300000004</v>
      </c>
      <c r="J87" s="16"/>
      <c r="K87" s="2"/>
      <c r="L87" s="2"/>
      <c r="M87" s="2"/>
      <c r="N87" s="2"/>
      <c r="O87" s="2"/>
    </row>
    <row r="88" spans="1:15" s="18" customFormat="1" x14ac:dyDescent="0.4">
      <c r="A88" s="2"/>
      <c r="B88" s="2" t="s">
        <v>607</v>
      </c>
      <c r="C88" s="17">
        <f>SUM(C78:C82)</f>
        <v>-830037.07</v>
      </c>
      <c r="D88" s="78">
        <f t="shared" ref="D88:I88" si="7">SUM(D78:D82)</f>
        <v>0</v>
      </c>
      <c r="E88" s="78">
        <f t="shared" si="7"/>
        <v>0</v>
      </c>
      <c r="F88" s="78">
        <f t="shared" si="7"/>
        <v>0</v>
      </c>
      <c r="G88" s="78">
        <f t="shared" si="7"/>
        <v>-830037.07</v>
      </c>
      <c r="H88" s="78">
        <f t="shared" si="7"/>
        <v>0</v>
      </c>
      <c r="I88" s="78">
        <f t="shared" si="7"/>
        <v>-830037.07</v>
      </c>
      <c r="J88" s="16"/>
      <c r="K88" s="2"/>
      <c r="L88" s="2"/>
      <c r="M88" s="2"/>
    </row>
    <row r="89" spans="1:15" s="18" customFormat="1" x14ac:dyDescent="0.4">
      <c r="A89" s="2"/>
      <c r="B89" s="2" t="s">
        <v>483</v>
      </c>
      <c r="C89" s="17">
        <f>SUM(C86:C88)</f>
        <v>0</v>
      </c>
      <c r="D89" s="78">
        <f t="shared" ref="D89:I89" si="8">SUM(D86:D88)</f>
        <v>0</v>
      </c>
      <c r="E89" s="78">
        <f t="shared" si="8"/>
        <v>0</v>
      </c>
      <c r="F89" s="78">
        <f t="shared" si="8"/>
        <v>0</v>
      </c>
      <c r="G89" s="78">
        <f t="shared" si="8"/>
        <v>0</v>
      </c>
      <c r="H89" s="78">
        <f t="shared" si="8"/>
        <v>0</v>
      </c>
      <c r="I89" s="78">
        <f t="shared" si="8"/>
        <v>0</v>
      </c>
      <c r="J89" s="16"/>
      <c r="K89" s="2"/>
      <c r="L89" s="2"/>
      <c r="M89" s="2"/>
    </row>
    <row r="90" spans="1:15" s="18" customFormat="1" x14ac:dyDescent="0.4">
      <c r="A90" s="2"/>
      <c r="B90" s="2"/>
      <c r="C90" s="17"/>
      <c r="D90" s="17"/>
      <c r="E90" s="77">
        <f>C83+F83</f>
        <v>0</v>
      </c>
      <c r="F90" s="76"/>
      <c r="G90" s="78"/>
      <c r="H90" s="78"/>
      <c r="J90" s="2"/>
      <c r="K90" s="2"/>
      <c r="L90" s="2"/>
      <c r="M90" s="2"/>
    </row>
    <row r="91" spans="1:15" s="18" customFormat="1" x14ac:dyDescent="0.4">
      <c r="A91" s="2"/>
      <c r="B91" s="2"/>
      <c r="C91" s="17"/>
      <c r="D91" s="17"/>
      <c r="E91" s="77"/>
      <c r="F91" s="76"/>
      <c r="G91" s="78"/>
      <c r="H91" s="78"/>
      <c r="J91" s="2"/>
      <c r="K91" s="2"/>
      <c r="L91" s="2"/>
      <c r="M91" s="2"/>
    </row>
    <row r="92" spans="1:15" s="18" customFormat="1" x14ac:dyDescent="0.4">
      <c r="A92" s="2"/>
      <c r="B92" s="2"/>
      <c r="C92" s="17"/>
      <c r="D92" s="17"/>
      <c r="E92" s="77"/>
      <c r="F92" s="76"/>
      <c r="G92" s="78"/>
      <c r="H92" s="78"/>
      <c r="J92" s="2"/>
      <c r="K92" s="2"/>
      <c r="L92" s="2"/>
      <c r="M92" s="2"/>
    </row>
    <row r="93" spans="1:15" s="18" customFormat="1" x14ac:dyDescent="0.4">
      <c r="A93" s="2"/>
      <c r="B93" s="2"/>
      <c r="C93" s="17"/>
      <c r="D93" s="17"/>
      <c r="E93" s="76"/>
      <c r="F93" s="76"/>
      <c r="G93" s="78"/>
      <c r="H93" s="78"/>
      <c r="J93" s="2"/>
      <c r="K93" s="2"/>
      <c r="L93" s="2"/>
      <c r="M93" s="2"/>
    </row>
    <row r="94" spans="1:15" s="18" customFormat="1" x14ac:dyDescent="0.4">
      <c r="A94" s="2"/>
      <c r="B94" s="2"/>
      <c r="C94" s="17"/>
      <c r="D94" s="17"/>
      <c r="E94" s="17"/>
      <c r="F94" s="17"/>
      <c r="H94" s="78"/>
      <c r="J94" s="2"/>
      <c r="K94" s="2"/>
      <c r="L94" s="2"/>
      <c r="M94" s="2"/>
    </row>
    <row r="95" spans="1:15" s="18" customFormat="1" x14ac:dyDescent="0.4">
      <c r="A95" s="2"/>
      <c r="B95" s="2"/>
      <c r="C95" s="17"/>
      <c r="D95" s="17"/>
      <c r="E95" s="17"/>
      <c r="F95" s="17"/>
      <c r="H95" s="78"/>
      <c r="J95" s="2"/>
      <c r="K95" s="2"/>
      <c r="L95" s="2"/>
      <c r="M95" s="2"/>
    </row>
    <row r="96" spans="1:15" s="18" customFormat="1" x14ac:dyDescent="0.4">
      <c r="A96" s="2"/>
      <c r="B96" s="2"/>
      <c r="C96" s="17"/>
      <c r="D96" s="17"/>
      <c r="E96" s="17"/>
      <c r="F96" s="17"/>
      <c r="H96" s="78"/>
      <c r="J96" s="16" t="s">
        <v>261</v>
      </c>
      <c r="K96" s="2"/>
      <c r="L96" s="2"/>
      <c r="M96" s="2"/>
    </row>
    <row r="97" spans="1:13" s="18" customFormat="1" x14ac:dyDescent="0.4">
      <c r="A97" s="2"/>
      <c r="B97" s="2"/>
      <c r="C97" s="17"/>
      <c r="D97" s="17"/>
      <c r="E97" s="17"/>
      <c r="F97" s="17"/>
      <c r="H97" s="78"/>
      <c r="J97" s="2"/>
      <c r="K97" s="2"/>
      <c r="L97" s="2"/>
      <c r="M97" s="2"/>
    </row>
    <row r="98" spans="1:13" s="18" customFormat="1" x14ac:dyDescent="0.4">
      <c r="A98" s="2"/>
      <c r="B98" s="2"/>
      <c r="C98" s="17"/>
      <c r="D98" s="17"/>
      <c r="E98" s="17"/>
      <c r="F98" s="17"/>
      <c r="H98" s="78"/>
      <c r="J98" s="2"/>
      <c r="K98" s="2"/>
      <c r="L98" s="2"/>
      <c r="M98" s="2"/>
    </row>
    <row r="99" spans="1:13" s="18" customFormat="1" x14ac:dyDescent="0.4">
      <c r="A99" s="2"/>
      <c r="B99" s="2"/>
      <c r="C99" s="17"/>
      <c r="D99" s="17"/>
      <c r="E99" s="17"/>
      <c r="F99" s="17"/>
      <c r="H99" s="78"/>
      <c r="J99" s="2"/>
      <c r="K99" s="2"/>
      <c r="L99" s="2"/>
      <c r="M99" s="2"/>
    </row>
    <row r="100" spans="1:13" s="18" customFormat="1" x14ac:dyDescent="0.4">
      <c r="A100" s="2"/>
      <c r="B100" s="2"/>
      <c r="C100" s="17"/>
      <c r="D100" s="17"/>
      <c r="E100" s="17"/>
      <c r="F100" s="17"/>
      <c r="H100" s="78"/>
      <c r="J100" s="2"/>
      <c r="K100" s="2"/>
      <c r="L100" s="2"/>
      <c r="M100" s="2"/>
    </row>
    <row r="101" spans="1:13" s="18" customFormat="1" x14ac:dyDescent="0.4">
      <c r="A101" s="2"/>
      <c r="B101" s="2"/>
      <c r="C101" s="17"/>
      <c r="D101" s="17"/>
      <c r="E101" s="17"/>
      <c r="F101" s="17"/>
      <c r="H101" s="78"/>
      <c r="J101" s="2"/>
      <c r="K101" s="2"/>
      <c r="L101" s="2"/>
      <c r="M101" s="2"/>
    </row>
    <row r="102" spans="1:13" s="18" customFormat="1" x14ac:dyDescent="0.4">
      <c r="A102" s="2"/>
      <c r="B102" s="2"/>
      <c r="C102" s="17"/>
      <c r="D102" s="17"/>
      <c r="E102" s="17"/>
      <c r="F102" s="17"/>
      <c r="H102" s="78"/>
      <c r="J102" s="2"/>
      <c r="K102" s="2"/>
      <c r="L102" s="2"/>
      <c r="M102" s="2"/>
    </row>
    <row r="103" spans="1:13" s="18" customFormat="1" x14ac:dyDescent="0.4">
      <c r="A103" s="2"/>
      <c r="B103" s="2"/>
      <c r="C103" s="17"/>
      <c r="D103" s="17"/>
      <c r="E103" s="17"/>
      <c r="F103" s="17"/>
      <c r="H103" s="78"/>
      <c r="J103" s="2"/>
      <c r="K103" s="2"/>
      <c r="L103" s="2"/>
      <c r="M103" s="2"/>
    </row>
    <row r="104" spans="1:13" s="18" customFormat="1" x14ac:dyDescent="0.4">
      <c r="A104" s="2"/>
      <c r="B104" s="2"/>
      <c r="C104" s="17"/>
      <c r="D104" s="17"/>
      <c r="E104" s="17"/>
      <c r="F104" s="17"/>
      <c r="H104" s="78"/>
      <c r="J104" s="2"/>
      <c r="K104" s="2"/>
      <c r="L104" s="2"/>
      <c r="M104" s="2"/>
    </row>
    <row r="105" spans="1:13" s="18" customFormat="1" x14ac:dyDescent="0.4">
      <c r="A105" s="2"/>
      <c r="B105" s="2"/>
      <c r="C105" s="17"/>
      <c r="D105" s="17"/>
      <c r="E105" s="17"/>
      <c r="F105" s="17"/>
      <c r="H105" s="78"/>
      <c r="J105" s="2"/>
      <c r="K105" s="2"/>
      <c r="L105" s="2"/>
      <c r="M105" s="2"/>
    </row>
    <row r="106" spans="1:13" s="18" customFormat="1" x14ac:dyDescent="0.4">
      <c r="A106" s="2"/>
      <c r="B106" s="2"/>
      <c r="C106" s="17"/>
      <c r="D106" s="17"/>
      <c r="E106" s="17"/>
      <c r="F106" s="17"/>
      <c r="H106" s="78"/>
      <c r="J106" s="2"/>
      <c r="K106" s="2"/>
      <c r="L106" s="2"/>
      <c r="M106" s="2"/>
    </row>
    <row r="107" spans="1:13" s="18" customFormat="1" x14ac:dyDescent="0.4">
      <c r="A107" s="2"/>
      <c r="B107" s="2"/>
      <c r="C107" s="17"/>
      <c r="D107" s="17"/>
      <c r="E107" s="17"/>
      <c r="F107" s="17"/>
      <c r="H107" s="78"/>
      <c r="J107" s="2"/>
      <c r="K107" s="2"/>
      <c r="L107" s="2"/>
      <c r="M107" s="2"/>
    </row>
    <row r="108" spans="1:13" s="18" customFormat="1" x14ac:dyDescent="0.4">
      <c r="A108" s="2"/>
      <c r="B108" s="2"/>
      <c r="C108" s="17"/>
      <c r="D108" s="17"/>
      <c r="E108" s="17"/>
      <c r="F108" s="17"/>
      <c r="H108" s="78"/>
      <c r="J108" s="2"/>
      <c r="K108" s="2"/>
      <c r="L108" s="2"/>
      <c r="M108" s="2"/>
    </row>
    <row r="109" spans="1:13" s="18" customFormat="1" x14ac:dyDescent="0.4">
      <c r="A109" s="2"/>
      <c r="B109" s="2"/>
      <c r="C109" s="17"/>
      <c r="D109" s="17"/>
      <c r="E109" s="17"/>
      <c r="F109" s="17"/>
      <c r="H109" s="78"/>
      <c r="J109" s="2"/>
      <c r="K109" s="2"/>
      <c r="L109" s="2"/>
      <c r="M109" s="2"/>
    </row>
    <row r="110" spans="1:13" s="18" customFormat="1" x14ac:dyDescent="0.4">
      <c r="A110" s="2"/>
      <c r="B110" s="2"/>
      <c r="C110" s="17"/>
      <c r="D110" s="17"/>
      <c r="E110" s="17"/>
      <c r="F110" s="17"/>
      <c r="H110" s="78"/>
      <c r="J110" s="2"/>
      <c r="K110" s="2"/>
      <c r="L110" s="2"/>
      <c r="M110" s="2"/>
    </row>
    <row r="111" spans="1:13" s="18" customFormat="1" x14ac:dyDescent="0.4">
      <c r="A111" s="2"/>
      <c r="B111" s="2"/>
      <c r="C111" s="17"/>
      <c r="D111" s="17"/>
      <c r="E111" s="17"/>
      <c r="F111" s="17"/>
      <c r="H111" s="78"/>
      <c r="J111" s="2"/>
      <c r="K111" s="2"/>
      <c r="L111" s="2"/>
      <c r="M111" s="2"/>
    </row>
    <row r="112" spans="1:13" s="18" customFormat="1" x14ac:dyDescent="0.4">
      <c r="A112" s="2"/>
      <c r="B112" s="2"/>
      <c r="C112" s="17"/>
      <c r="D112" s="17"/>
      <c r="E112" s="17"/>
      <c r="F112" s="17"/>
      <c r="H112" s="78"/>
      <c r="J112" s="2"/>
      <c r="K112" s="2"/>
      <c r="L112" s="2"/>
      <c r="M112" s="2"/>
    </row>
    <row r="113" spans="1:13" s="18" customFormat="1" x14ac:dyDescent="0.4">
      <c r="A113" s="2"/>
      <c r="B113" s="2"/>
      <c r="C113" s="17"/>
      <c r="D113" s="17"/>
      <c r="E113" s="17"/>
      <c r="F113" s="17"/>
      <c r="H113" s="78"/>
      <c r="J113" s="2"/>
      <c r="K113" s="2"/>
      <c r="L113" s="2"/>
      <c r="M113" s="2"/>
    </row>
    <row r="114" spans="1:13" s="18" customFormat="1" x14ac:dyDescent="0.4">
      <c r="A114" s="2"/>
      <c r="B114" s="2"/>
      <c r="C114" s="17"/>
      <c r="D114" s="17"/>
      <c r="E114" s="17"/>
      <c r="F114" s="17"/>
      <c r="H114" s="78"/>
      <c r="J114" s="2"/>
      <c r="K114" s="2"/>
      <c r="L114" s="2"/>
      <c r="M114" s="2"/>
    </row>
    <row r="115" spans="1:13" s="18" customFormat="1" x14ac:dyDescent="0.4">
      <c r="A115" s="2"/>
      <c r="B115" s="2"/>
      <c r="C115" s="17"/>
      <c r="D115" s="17"/>
      <c r="E115" s="17"/>
      <c r="F115" s="17"/>
      <c r="H115" s="78"/>
      <c r="J115" s="2"/>
      <c r="K115" s="2"/>
      <c r="L115" s="2"/>
      <c r="M115" s="2"/>
    </row>
    <row r="116" spans="1:13" s="18" customFormat="1" x14ac:dyDescent="0.4">
      <c r="A116" s="2"/>
      <c r="B116" s="2"/>
      <c r="C116" s="17"/>
      <c r="D116" s="17"/>
      <c r="E116" s="17"/>
      <c r="F116" s="17"/>
      <c r="H116" s="78"/>
      <c r="J116" s="2"/>
      <c r="K116" s="2"/>
      <c r="L116" s="2"/>
      <c r="M116" s="2"/>
    </row>
    <row r="117" spans="1:13" s="18" customFormat="1" x14ac:dyDescent="0.4">
      <c r="A117" s="2"/>
      <c r="B117" s="2"/>
      <c r="C117" s="17"/>
      <c r="D117" s="17"/>
      <c r="E117" s="17"/>
      <c r="F117" s="17"/>
      <c r="H117" s="78"/>
      <c r="J117" s="2"/>
      <c r="K117" s="2"/>
      <c r="L117" s="2"/>
      <c r="M117" s="2"/>
    </row>
    <row r="118" spans="1:13" s="18" customFormat="1" x14ac:dyDescent="0.4">
      <c r="A118" s="2"/>
      <c r="B118" s="2"/>
      <c r="C118" s="17"/>
      <c r="D118" s="17"/>
      <c r="E118" s="17"/>
      <c r="F118" s="17"/>
      <c r="H118" s="78"/>
      <c r="J118" s="2"/>
      <c r="K118" s="2"/>
      <c r="L118" s="2"/>
      <c r="M118" s="2"/>
    </row>
    <row r="119" spans="1:13" s="18" customFormat="1" x14ac:dyDescent="0.4">
      <c r="A119" s="2"/>
      <c r="B119" s="2"/>
      <c r="C119" s="17"/>
      <c r="D119" s="17"/>
      <c r="E119" s="17"/>
      <c r="F119" s="17"/>
      <c r="H119" s="78"/>
      <c r="J119" s="2"/>
      <c r="K119" s="2"/>
      <c r="L119" s="2"/>
      <c r="M119" s="2"/>
    </row>
    <row r="120" spans="1:13" s="18" customFormat="1" x14ac:dyDescent="0.4">
      <c r="A120" s="2"/>
      <c r="B120" s="2"/>
      <c r="C120" s="17"/>
      <c r="D120" s="17"/>
      <c r="E120" s="17"/>
      <c r="F120" s="17"/>
      <c r="H120" s="78"/>
      <c r="J120" s="2"/>
      <c r="K120" s="2"/>
      <c r="L120" s="2"/>
      <c r="M120" s="2"/>
    </row>
    <row r="121" spans="1:13" s="18" customFormat="1" x14ac:dyDescent="0.4">
      <c r="A121" s="2"/>
      <c r="B121" s="2"/>
      <c r="C121" s="17"/>
      <c r="D121" s="17"/>
      <c r="E121" s="17"/>
      <c r="F121" s="17"/>
      <c r="H121" s="78"/>
      <c r="J121" s="2"/>
      <c r="K121" s="2"/>
      <c r="L121" s="2"/>
      <c r="M121" s="2"/>
    </row>
    <row r="122" spans="1:13" s="18" customFormat="1" x14ac:dyDescent="0.4">
      <c r="A122" s="2"/>
      <c r="B122" s="2"/>
      <c r="C122" s="17"/>
      <c r="D122" s="17"/>
      <c r="E122" s="17"/>
      <c r="F122" s="17"/>
      <c r="H122" s="78"/>
      <c r="J122" s="2"/>
      <c r="K122" s="2"/>
      <c r="L122" s="2"/>
      <c r="M122" s="2"/>
    </row>
    <row r="123" spans="1:13" s="18" customFormat="1" x14ac:dyDescent="0.4">
      <c r="A123" s="2"/>
      <c r="B123" s="2"/>
      <c r="C123" s="17"/>
      <c r="D123" s="17"/>
      <c r="E123" s="17"/>
      <c r="F123" s="17"/>
      <c r="H123" s="78"/>
      <c r="J123" s="2"/>
      <c r="K123" s="2"/>
      <c r="L123" s="2"/>
      <c r="M123" s="2"/>
    </row>
    <row r="124" spans="1:13" s="18" customFormat="1" x14ac:dyDescent="0.4">
      <c r="A124" s="2"/>
      <c r="B124" s="2"/>
      <c r="C124" s="17"/>
      <c r="D124" s="17"/>
      <c r="E124" s="17"/>
      <c r="F124" s="17"/>
      <c r="H124" s="78"/>
      <c r="J124" s="2"/>
      <c r="K124" s="2"/>
      <c r="L124" s="2"/>
      <c r="M124" s="2"/>
    </row>
    <row r="125" spans="1:13" s="18" customFormat="1" x14ac:dyDescent="0.4">
      <c r="A125" s="2"/>
      <c r="B125" s="2"/>
      <c r="C125" s="17"/>
      <c r="D125" s="17"/>
      <c r="E125" s="17"/>
      <c r="F125" s="17"/>
      <c r="H125" s="78"/>
      <c r="J125" s="2"/>
      <c r="K125" s="2"/>
      <c r="L125" s="2"/>
      <c r="M125" s="2"/>
    </row>
    <row r="126" spans="1:13" s="18" customFormat="1" x14ac:dyDescent="0.4">
      <c r="A126" s="2"/>
      <c r="B126" s="2"/>
      <c r="C126" s="17"/>
      <c r="D126" s="17"/>
      <c r="E126" s="17"/>
      <c r="F126" s="17"/>
      <c r="H126" s="78"/>
      <c r="J126" s="2"/>
      <c r="K126" s="2"/>
      <c r="L126" s="2"/>
      <c r="M126" s="2"/>
    </row>
    <row r="127" spans="1:13" s="18" customFormat="1" x14ac:dyDescent="0.4">
      <c r="A127" s="2"/>
      <c r="B127" s="2"/>
      <c r="C127" s="17"/>
      <c r="D127" s="17"/>
      <c r="E127" s="17"/>
      <c r="F127" s="17"/>
      <c r="H127" s="78"/>
      <c r="J127" s="2"/>
      <c r="K127" s="2"/>
      <c r="L127" s="2"/>
      <c r="M127" s="2"/>
    </row>
    <row r="128" spans="1:13" s="18" customFormat="1" x14ac:dyDescent="0.4">
      <c r="A128" s="2"/>
      <c r="B128" s="2"/>
      <c r="C128" s="17"/>
      <c r="D128" s="17"/>
      <c r="E128" s="17"/>
      <c r="F128" s="17"/>
      <c r="H128" s="78"/>
      <c r="J128" s="2"/>
      <c r="K128" s="2"/>
      <c r="L128" s="2"/>
      <c r="M128" s="2"/>
    </row>
    <row r="129" spans="1:13" s="18" customFormat="1" x14ac:dyDescent="0.4">
      <c r="A129" s="2"/>
      <c r="B129" s="2"/>
      <c r="C129" s="17"/>
      <c r="D129" s="17"/>
      <c r="E129" s="17"/>
      <c r="F129" s="17"/>
      <c r="H129" s="78"/>
      <c r="J129" s="2"/>
      <c r="K129" s="2"/>
      <c r="L129" s="2"/>
      <c r="M129" s="2"/>
    </row>
    <row r="130" spans="1:13" s="18" customFormat="1" x14ac:dyDescent="0.4">
      <c r="A130" s="2"/>
      <c r="B130" s="2"/>
      <c r="C130" s="17"/>
      <c r="D130" s="17"/>
      <c r="E130" s="17"/>
      <c r="F130" s="17"/>
      <c r="H130" s="78"/>
      <c r="J130" s="2"/>
      <c r="K130" s="2"/>
      <c r="L130" s="2"/>
      <c r="M130" s="2"/>
    </row>
    <row r="131" spans="1:13" s="18" customFormat="1" x14ac:dyDescent="0.4">
      <c r="A131" s="2"/>
      <c r="B131" s="2"/>
      <c r="C131" s="17"/>
      <c r="D131" s="17"/>
      <c r="E131" s="17"/>
      <c r="F131" s="17"/>
      <c r="H131" s="78"/>
      <c r="J131" s="2"/>
      <c r="K131" s="2"/>
      <c r="L131" s="2"/>
      <c r="M131" s="2"/>
    </row>
    <row r="132" spans="1:13" s="18" customFormat="1" x14ac:dyDescent="0.4">
      <c r="A132" s="2"/>
      <c r="B132" s="2"/>
      <c r="C132" s="17"/>
      <c r="D132" s="17"/>
      <c r="E132" s="17"/>
      <c r="F132" s="17"/>
      <c r="H132" s="78"/>
      <c r="J132" s="2"/>
      <c r="K132" s="2"/>
      <c r="L132" s="2"/>
      <c r="M132" s="2"/>
    </row>
    <row r="133" spans="1:13" s="18" customFormat="1" x14ac:dyDescent="0.4">
      <c r="A133" s="2"/>
      <c r="B133" s="2"/>
      <c r="C133" s="17"/>
      <c r="D133" s="17"/>
      <c r="E133" s="17"/>
      <c r="F133" s="17"/>
      <c r="H133" s="78"/>
      <c r="J133" s="2"/>
      <c r="K133" s="2"/>
      <c r="L133" s="2"/>
      <c r="M133" s="2"/>
    </row>
    <row r="134" spans="1:13" s="18" customFormat="1" x14ac:dyDescent="0.4">
      <c r="A134" s="2"/>
      <c r="B134" s="2"/>
      <c r="C134" s="17"/>
      <c r="D134" s="17"/>
      <c r="E134" s="17"/>
      <c r="F134" s="17"/>
      <c r="H134" s="78"/>
      <c r="J134" s="2"/>
      <c r="K134" s="2"/>
      <c r="L134" s="2"/>
      <c r="M134" s="2"/>
    </row>
    <row r="135" spans="1:13" s="18" customFormat="1" x14ac:dyDescent="0.4">
      <c r="A135" s="2"/>
      <c r="B135" s="2"/>
      <c r="C135" s="17"/>
      <c r="D135" s="17"/>
      <c r="E135" s="17"/>
      <c r="F135" s="17"/>
      <c r="H135" s="78"/>
      <c r="J135" s="2"/>
      <c r="K135" s="2"/>
      <c r="L135" s="2"/>
      <c r="M135" s="2"/>
    </row>
    <row r="136" spans="1:13" s="18" customFormat="1" x14ac:dyDescent="0.4">
      <c r="A136" s="2"/>
      <c r="B136" s="2"/>
      <c r="C136" s="17"/>
      <c r="D136" s="17"/>
      <c r="E136" s="17"/>
      <c r="F136" s="17"/>
      <c r="H136" s="78"/>
      <c r="J136" s="2"/>
      <c r="K136" s="2"/>
      <c r="L136" s="2"/>
      <c r="M136" s="2"/>
    </row>
    <row r="137" spans="1:13" s="18" customFormat="1" x14ac:dyDescent="0.4">
      <c r="A137" s="2"/>
      <c r="B137" s="2"/>
      <c r="C137" s="17"/>
      <c r="D137" s="17"/>
      <c r="E137" s="17"/>
      <c r="F137" s="17"/>
      <c r="H137" s="78"/>
      <c r="J137" s="2"/>
      <c r="K137" s="2"/>
      <c r="L137" s="2"/>
      <c r="M137" s="2"/>
    </row>
    <row r="138" spans="1:13" s="18" customFormat="1" x14ac:dyDescent="0.4">
      <c r="A138" s="2"/>
      <c r="B138" s="2"/>
      <c r="C138" s="17"/>
      <c r="D138" s="17"/>
      <c r="E138" s="17"/>
      <c r="F138" s="17"/>
      <c r="H138" s="78"/>
      <c r="J138" s="2"/>
      <c r="K138" s="2"/>
      <c r="L138" s="2"/>
      <c r="M138" s="2"/>
    </row>
    <row r="139" spans="1:13" s="18" customFormat="1" x14ac:dyDescent="0.4">
      <c r="A139" s="2"/>
      <c r="B139" s="2"/>
      <c r="C139" s="17"/>
      <c r="D139" s="17"/>
      <c r="E139" s="17"/>
      <c r="F139" s="17"/>
      <c r="H139" s="78"/>
      <c r="J139" s="2"/>
      <c r="K139" s="2"/>
      <c r="L139" s="2"/>
      <c r="M139" s="2"/>
    </row>
    <row r="140" spans="1:13" s="18" customFormat="1" x14ac:dyDescent="0.4">
      <c r="A140" s="2"/>
      <c r="B140" s="2"/>
      <c r="C140" s="17"/>
      <c r="D140" s="17"/>
      <c r="E140" s="17"/>
      <c r="F140" s="17"/>
      <c r="H140" s="78"/>
      <c r="J140" s="2"/>
      <c r="K140" s="2"/>
      <c r="L140" s="2"/>
      <c r="M140" s="2"/>
    </row>
    <row r="141" spans="1:13" s="18" customFormat="1" x14ac:dyDescent="0.4">
      <c r="A141" s="2"/>
      <c r="B141" s="2"/>
      <c r="C141" s="17"/>
      <c r="D141" s="17"/>
      <c r="E141" s="17"/>
      <c r="F141" s="17"/>
      <c r="H141" s="78"/>
      <c r="J141" s="2"/>
      <c r="K141" s="2"/>
      <c r="L141" s="2"/>
      <c r="M141" s="2"/>
    </row>
    <row r="142" spans="1:13" s="18" customFormat="1" x14ac:dyDescent="0.4">
      <c r="A142" s="2"/>
      <c r="B142" s="2"/>
      <c r="C142" s="17"/>
      <c r="D142" s="17"/>
      <c r="E142" s="17"/>
      <c r="F142" s="17"/>
      <c r="H142" s="78"/>
      <c r="J142" s="2"/>
      <c r="K142" s="2"/>
      <c r="L142" s="2"/>
      <c r="M142" s="2"/>
    </row>
    <row r="143" spans="1:13" s="18" customFormat="1" x14ac:dyDescent="0.4">
      <c r="A143" s="2"/>
      <c r="B143" s="2"/>
      <c r="C143" s="17"/>
      <c r="D143" s="17"/>
      <c r="E143" s="17"/>
      <c r="F143" s="17"/>
      <c r="H143" s="78"/>
      <c r="J143" s="2"/>
      <c r="K143" s="2"/>
      <c r="L143" s="2"/>
      <c r="M143" s="2"/>
    </row>
    <row r="144" spans="1:13" s="18" customFormat="1" x14ac:dyDescent="0.4">
      <c r="A144" s="2"/>
      <c r="B144" s="2"/>
      <c r="C144" s="17"/>
      <c r="D144" s="17"/>
      <c r="E144" s="17"/>
      <c r="F144" s="17"/>
      <c r="H144" s="78"/>
      <c r="J144" s="2"/>
      <c r="K144" s="2"/>
      <c r="L144" s="2"/>
      <c r="M144" s="2"/>
    </row>
    <row r="145" spans="1:15" s="18" customFormat="1" x14ac:dyDescent="0.4">
      <c r="A145" s="2"/>
      <c r="B145" s="2"/>
      <c r="C145" s="17"/>
      <c r="D145" s="17"/>
      <c r="E145" s="17"/>
      <c r="F145" s="17"/>
      <c r="H145" s="78"/>
      <c r="J145" s="2"/>
      <c r="K145" s="2"/>
      <c r="L145" s="2"/>
      <c r="M145" s="2"/>
    </row>
    <row r="146" spans="1:15" s="18" customFormat="1" x14ac:dyDescent="0.4">
      <c r="A146" s="2"/>
      <c r="B146" s="2"/>
      <c r="C146" s="17"/>
      <c r="D146" s="17"/>
      <c r="E146" s="17"/>
      <c r="F146" s="17"/>
      <c r="H146" s="78"/>
      <c r="J146" s="2"/>
      <c r="K146" s="2"/>
      <c r="L146" s="2"/>
      <c r="M146" s="2"/>
    </row>
    <row r="147" spans="1:15" s="18" customFormat="1" x14ac:dyDescent="0.4">
      <c r="A147" s="2"/>
      <c r="B147" s="2"/>
      <c r="C147" s="17"/>
      <c r="D147" s="17"/>
      <c r="E147" s="17"/>
      <c r="F147" s="17"/>
      <c r="H147" s="78"/>
      <c r="J147" s="2"/>
      <c r="K147" s="2"/>
      <c r="L147" s="2"/>
      <c r="M147" s="2"/>
    </row>
    <row r="148" spans="1:15" s="18" customFormat="1" x14ac:dyDescent="0.4">
      <c r="A148" s="2"/>
      <c r="B148" s="2"/>
      <c r="C148" s="17"/>
      <c r="D148" s="17"/>
      <c r="E148" s="17"/>
      <c r="F148" s="17"/>
      <c r="H148" s="78"/>
      <c r="J148" s="2"/>
      <c r="K148" s="2"/>
      <c r="L148" s="2"/>
      <c r="M148" s="2"/>
    </row>
    <row r="149" spans="1:15" s="18" customFormat="1" x14ac:dyDescent="0.4">
      <c r="A149" s="2"/>
      <c r="B149" s="2"/>
      <c r="C149" s="17"/>
      <c r="D149" s="17"/>
      <c r="E149" s="17"/>
      <c r="F149" s="17"/>
      <c r="H149" s="78"/>
      <c r="J149" s="2"/>
      <c r="K149" s="2"/>
      <c r="L149" s="2"/>
      <c r="M149" s="2"/>
    </row>
    <row r="150" spans="1:15" s="18" customFormat="1" x14ac:dyDescent="0.4">
      <c r="A150" s="2"/>
      <c r="B150" s="2"/>
      <c r="C150" s="17"/>
      <c r="D150" s="17"/>
      <c r="E150" s="17"/>
      <c r="F150" s="17"/>
      <c r="H150" s="78"/>
      <c r="J150" s="2"/>
      <c r="K150" s="2"/>
      <c r="L150" s="2"/>
      <c r="M150" s="2"/>
    </row>
    <row r="151" spans="1:15" s="18" customFormat="1" x14ac:dyDescent="0.4">
      <c r="A151" s="2"/>
      <c r="B151" s="2"/>
      <c r="C151" s="17"/>
      <c r="D151" s="17"/>
      <c r="E151" s="17"/>
      <c r="F151" s="17"/>
      <c r="H151" s="78"/>
      <c r="J151" s="2"/>
      <c r="K151" s="2"/>
      <c r="L151" s="2"/>
      <c r="M151" s="2"/>
    </row>
    <row r="152" spans="1:15" s="18" customFormat="1" x14ac:dyDescent="0.4">
      <c r="A152" s="2"/>
      <c r="B152" s="2"/>
      <c r="C152" s="17"/>
      <c r="D152" s="17"/>
      <c r="E152" s="17"/>
      <c r="F152" s="17"/>
      <c r="H152" s="78"/>
      <c r="J152" s="2"/>
      <c r="K152" s="2"/>
      <c r="L152" s="2"/>
      <c r="M152" s="2"/>
    </row>
    <row r="153" spans="1:15" s="18" customFormat="1" x14ac:dyDescent="0.4">
      <c r="A153" s="2"/>
      <c r="B153" s="2"/>
      <c r="C153" s="17"/>
      <c r="D153" s="17"/>
      <c r="E153" s="17"/>
      <c r="F153" s="17"/>
      <c r="H153" s="78"/>
      <c r="J153" s="2"/>
      <c r="K153" s="2"/>
      <c r="L153" s="2"/>
      <c r="M153" s="2"/>
    </row>
    <row r="154" spans="1:15" s="18" customFormat="1" x14ac:dyDescent="0.4">
      <c r="A154" s="2"/>
      <c r="B154" s="2"/>
      <c r="C154" s="17"/>
      <c r="D154" s="17"/>
      <c r="E154" s="17"/>
      <c r="F154" s="17"/>
      <c r="H154" s="78"/>
      <c r="J154" s="2"/>
      <c r="K154" s="2"/>
      <c r="L154" s="2"/>
      <c r="M154" s="2"/>
    </row>
    <row r="155" spans="1:15" s="18" customFormat="1" x14ac:dyDescent="0.4">
      <c r="A155" s="2"/>
      <c r="B155" s="2"/>
      <c r="C155" s="17"/>
      <c r="D155" s="17"/>
      <c r="E155" s="17"/>
      <c r="F155" s="17"/>
      <c r="H155" s="78"/>
      <c r="J155" s="2"/>
      <c r="K155" s="2"/>
      <c r="L155" s="2"/>
      <c r="M155" s="2"/>
    </row>
    <row r="156" spans="1:15" s="18" customFormat="1" x14ac:dyDescent="0.4">
      <c r="A156" s="2"/>
      <c r="B156" s="2"/>
      <c r="C156" s="17"/>
      <c r="D156" s="17"/>
      <c r="E156" s="17"/>
      <c r="F156" s="17"/>
      <c r="H156" s="78"/>
      <c r="J156" s="2"/>
      <c r="K156" s="2"/>
      <c r="L156" s="2"/>
      <c r="M156" s="2"/>
    </row>
    <row r="157" spans="1:15" s="18" customFormat="1" x14ac:dyDescent="0.4">
      <c r="A157" s="2"/>
      <c r="B157" s="2"/>
      <c r="C157" s="17"/>
      <c r="D157" s="17"/>
      <c r="E157" s="17"/>
      <c r="F157" s="17"/>
      <c r="H157" s="78"/>
      <c r="J157" s="2"/>
      <c r="K157" s="2"/>
      <c r="L157" s="2"/>
      <c r="M157" s="2"/>
    </row>
    <row r="158" spans="1:15" s="18" customFormat="1" x14ac:dyDescent="0.4">
      <c r="A158" s="2"/>
      <c r="B158" s="2"/>
      <c r="C158" s="17"/>
      <c r="D158" s="17"/>
      <c r="E158" s="17"/>
      <c r="F158" s="17"/>
      <c r="H158" s="78"/>
      <c r="J158" s="2"/>
      <c r="K158" s="2"/>
      <c r="L158" s="2"/>
      <c r="M158" s="2"/>
    </row>
    <row r="159" spans="1:15" s="18" customFormat="1" x14ac:dyDescent="0.4">
      <c r="A159" s="2"/>
      <c r="B159" s="2"/>
      <c r="C159" s="17"/>
      <c r="D159" s="17"/>
      <c r="E159" s="17"/>
      <c r="F159" s="17"/>
      <c r="H159" s="78"/>
      <c r="J159" s="2"/>
      <c r="K159" s="2"/>
      <c r="L159" s="2"/>
      <c r="M159" s="2"/>
    </row>
    <row r="160" spans="1:15" x14ac:dyDescent="0.4">
      <c r="H160" s="78"/>
      <c r="N160" s="18"/>
      <c r="O160" s="18"/>
    </row>
    <row r="161" spans="1:15" x14ac:dyDescent="0.4">
      <c r="H161" s="78"/>
    </row>
    <row r="162" spans="1:15" s="18" customFormat="1" x14ac:dyDescent="0.4">
      <c r="A162" s="2"/>
      <c r="B162" s="2"/>
      <c r="C162" s="17"/>
      <c r="D162" s="17"/>
      <c r="E162" s="17"/>
      <c r="F162" s="17"/>
      <c r="H162" s="78"/>
      <c r="J162" s="2"/>
      <c r="K162" s="2"/>
      <c r="L162" s="2"/>
      <c r="M162" s="2"/>
      <c r="N162" s="2"/>
      <c r="O162" s="2"/>
    </row>
    <row r="163" spans="1:15" x14ac:dyDescent="0.4">
      <c r="H163" s="78"/>
      <c r="N163" s="18"/>
      <c r="O163" s="18"/>
    </row>
    <row r="164" spans="1:15" x14ac:dyDescent="0.4">
      <c r="H164" s="78"/>
    </row>
    <row r="165" spans="1:15" x14ac:dyDescent="0.4">
      <c r="H165" s="78"/>
    </row>
    <row r="166" spans="1:15" x14ac:dyDescent="0.4">
      <c r="H166" s="78"/>
    </row>
    <row r="167" spans="1:15" x14ac:dyDescent="0.4">
      <c r="H167" s="78"/>
    </row>
    <row r="168" spans="1:15" x14ac:dyDescent="0.4">
      <c r="H168" s="78"/>
    </row>
    <row r="169" spans="1:15" x14ac:dyDescent="0.4">
      <c r="H169" s="78"/>
    </row>
    <row r="170" spans="1:15" x14ac:dyDescent="0.4">
      <c r="H170" s="78"/>
    </row>
    <row r="171" spans="1:15" x14ac:dyDescent="0.4">
      <c r="H171" s="78"/>
    </row>
    <row r="172" spans="1:15" x14ac:dyDescent="0.4">
      <c r="H172" s="78"/>
    </row>
    <row r="173" spans="1:15" x14ac:dyDescent="0.4">
      <c r="H173" s="78"/>
    </row>
    <row r="174" spans="1:15" x14ac:dyDescent="0.4">
      <c r="A174" s="18"/>
      <c r="B174" s="18"/>
      <c r="H174" s="78"/>
    </row>
    <row r="181" spans="3:13" x14ac:dyDescent="0.4">
      <c r="L181" s="18"/>
      <c r="M181" s="18"/>
    </row>
    <row r="182" spans="3:13" x14ac:dyDescent="0.4">
      <c r="C182" s="2"/>
      <c r="D182" s="2"/>
      <c r="E182" s="2"/>
      <c r="F182" s="2"/>
      <c r="G182" s="2"/>
      <c r="I182" s="2"/>
      <c r="J182" s="18"/>
      <c r="K182" s="18"/>
    </row>
    <row r="280" spans="1:15" s="17" customFormat="1" x14ac:dyDescent="0.4">
      <c r="A280" s="2"/>
      <c r="B280" s="2"/>
      <c r="G280" s="18"/>
      <c r="H280" s="76"/>
      <c r="I280" s="18"/>
      <c r="J280" s="2"/>
      <c r="K280" s="2"/>
      <c r="L280" s="2"/>
      <c r="M280" s="2"/>
      <c r="N280" s="2"/>
      <c r="O280" s="2"/>
    </row>
    <row r="281" spans="1:15" s="17" customFormat="1" x14ac:dyDescent="0.4">
      <c r="A281" s="2"/>
      <c r="B281" s="2"/>
      <c r="G281" s="18"/>
      <c r="H281" s="76"/>
      <c r="I281" s="18"/>
      <c r="J281" s="2"/>
      <c r="K281" s="2"/>
      <c r="L281" s="2"/>
      <c r="M281" s="2"/>
    </row>
    <row r="282" spans="1:15" s="17" customFormat="1" x14ac:dyDescent="0.4">
      <c r="A282" s="2"/>
      <c r="B282" s="2"/>
      <c r="G282" s="18"/>
      <c r="H282" s="76"/>
      <c r="I282" s="18"/>
      <c r="J282" s="2"/>
      <c r="K282" s="2"/>
      <c r="L282" s="2"/>
      <c r="M282" s="2"/>
    </row>
    <row r="283" spans="1:15" s="17" customFormat="1" x14ac:dyDescent="0.4">
      <c r="A283" s="2"/>
      <c r="B283" s="2"/>
      <c r="G283" s="18"/>
      <c r="H283" s="76"/>
      <c r="I283" s="18"/>
      <c r="J283" s="2"/>
      <c r="K283" s="2"/>
      <c r="L283" s="2"/>
      <c r="M283" s="2"/>
    </row>
    <row r="284" spans="1:15" s="17" customFormat="1" x14ac:dyDescent="0.4">
      <c r="A284" s="2"/>
      <c r="B284" s="2"/>
      <c r="G284" s="18"/>
      <c r="H284" s="76"/>
      <c r="I284" s="18"/>
      <c r="J284" s="2"/>
      <c r="K284" s="2"/>
      <c r="L284" s="2"/>
      <c r="M284" s="2"/>
    </row>
    <row r="285" spans="1:15" s="17" customFormat="1" x14ac:dyDescent="0.4">
      <c r="A285" s="2"/>
      <c r="B285" s="2"/>
      <c r="G285" s="18"/>
      <c r="H285" s="76"/>
      <c r="I285" s="18"/>
      <c r="J285" s="2"/>
      <c r="K285" s="2"/>
      <c r="L285" s="2"/>
      <c r="M285" s="2"/>
    </row>
    <row r="286" spans="1:15" s="17" customFormat="1" x14ac:dyDescent="0.4">
      <c r="A286" s="2"/>
      <c r="B286" s="2"/>
      <c r="G286" s="18"/>
      <c r="H286" s="76"/>
      <c r="I286" s="18"/>
      <c r="J286" s="2"/>
      <c r="K286" s="2"/>
      <c r="L286" s="2"/>
      <c r="M286" s="2"/>
    </row>
    <row r="287" spans="1:15" s="17" customFormat="1" x14ac:dyDescent="0.4">
      <c r="A287" s="2"/>
      <c r="B287" s="2"/>
      <c r="G287" s="18"/>
      <c r="H287" s="76"/>
      <c r="I287" s="18"/>
      <c r="J287" s="2"/>
      <c r="K287" s="2"/>
      <c r="L287" s="2"/>
      <c r="M287" s="2"/>
    </row>
    <row r="288" spans="1:15" s="17" customFormat="1" x14ac:dyDescent="0.4">
      <c r="A288" s="2"/>
      <c r="B288" s="2"/>
      <c r="G288" s="18"/>
      <c r="H288" s="76"/>
      <c r="I288" s="18"/>
      <c r="J288" s="2"/>
      <c r="K288" s="2"/>
      <c r="L288" s="2"/>
      <c r="M288" s="2"/>
    </row>
    <row r="289" spans="1:13" s="17" customFormat="1" x14ac:dyDescent="0.4">
      <c r="A289" s="2"/>
      <c r="B289" s="2"/>
      <c r="G289" s="18"/>
      <c r="H289" s="76"/>
      <c r="I289" s="18"/>
      <c r="J289" s="2"/>
      <c r="K289" s="2"/>
      <c r="L289" s="2"/>
      <c r="M289" s="2"/>
    </row>
    <row r="290" spans="1:13" s="17" customFormat="1" x14ac:dyDescent="0.4">
      <c r="A290" s="2"/>
      <c r="B290" s="2"/>
      <c r="G290" s="18"/>
      <c r="H290" s="76"/>
      <c r="I290" s="18"/>
      <c r="J290" s="2"/>
      <c r="K290" s="2"/>
      <c r="L290" s="2"/>
      <c r="M290" s="2"/>
    </row>
    <row r="291" spans="1:13" s="17" customFormat="1" x14ac:dyDescent="0.4">
      <c r="A291" s="2"/>
      <c r="B291" s="2"/>
      <c r="G291" s="18"/>
      <c r="H291" s="76"/>
      <c r="I291" s="18"/>
      <c r="J291" s="2"/>
      <c r="K291" s="2"/>
      <c r="L291" s="2"/>
      <c r="M291" s="2"/>
    </row>
    <row r="292" spans="1:13" s="17" customFormat="1" x14ac:dyDescent="0.4">
      <c r="A292" s="2"/>
      <c r="B292" s="2"/>
      <c r="G292" s="18"/>
      <c r="H292" s="76"/>
      <c r="I292" s="18"/>
      <c r="J292" s="2"/>
      <c r="K292" s="2"/>
      <c r="L292" s="2"/>
      <c r="M292" s="2"/>
    </row>
    <row r="293" spans="1:13" s="17" customFormat="1" x14ac:dyDescent="0.4">
      <c r="A293" s="2"/>
      <c r="B293" s="2"/>
      <c r="G293" s="18"/>
      <c r="H293" s="76"/>
      <c r="I293" s="18"/>
      <c r="J293" s="2"/>
      <c r="K293" s="2"/>
      <c r="L293" s="2"/>
      <c r="M293" s="2"/>
    </row>
    <row r="294" spans="1:13" s="17" customFormat="1" x14ac:dyDescent="0.4">
      <c r="A294" s="2"/>
      <c r="B294" s="2"/>
      <c r="G294" s="18"/>
      <c r="H294" s="76"/>
      <c r="I294" s="18"/>
      <c r="J294" s="2"/>
      <c r="K294" s="2"/>
      <c r="L294" s="2"/>
      <c r="M294" s="2"/>
    </row>
    <row r="295" spans="1:13" s="17" customFormat="1" x14ac:dyDescent="0.4">
      <c r="A295" s="2"/>
      <c r="B295" s="2"/>
      <c r="C295" s="14"/>
      <c r="G295" s="18"/>
      <c r="H295" s="76"/>
      <c r="I295" s="18"/>
      <c r="J295" s="2"/>
      <c r="K295" s="2"/>
      <c r="L295" s="2"/>
      <c r="M295" s="2"/>
    </row>
    <row r="296" spans="1:13" s="17" customFormat="1" x14ac:dyDescent="0.4">
      <c r="A296" s="2"/>
      <c r="B296" s="2"/>
      <c r="C296" s="14"/>
      <c r="G296" s="18"/>
      <c r="H296" s="76"/>
      <c r="I296" s="18"/>
      <c r="J296" s="2"/>
      <c r="K296" s="2"/>
      <c r="L296" s="2"/>
      <c r="M296" s="2"/>
    </row>
    <row r="297" spans="1:13" s="17" customFormat="1" x14ac:dyDescent="0.4">
      <c r="A297" s="2"/>
      <c r="B297" s="2"/>
      <c r="C297" s="14"/>
      <c r="G297" s="18"/>
      <c r="H297" s="76"/>
      <c r="I297" s="18"/>
      <c r="J297" s="2"/>
      <c r="K297" s="2"/>
      <c r="L297" s="2"/>
      <c r="M297" s="2"/>
    </row>
    <row r="298" spans="1:13" s="17" customFormat="1" x14ac:dyDescent="0.4">
      <c r="A298" s="2"/>
      <c r="B298" s="2"/>
      <c r="C298" s="14"/>
      <c r="G298" s="18"/>
      <c r="H298" s="76"/>
      <c r="I298" s="18"/>
      <c r="J298" s="2"/>
      <c r="K298" s="2"/>
      <c r="L298" s="2"/>
      <c r="M298" s="2"/>
    </row>
    <row r="299" spans="1:13" s="17" customFormat="1" x14ac:dyDescent="0.4">
      <c r="A299" s="2"/>
      <c r="B299" s="2"/>
      <c r="C299" s="14"/>
      <c r="G299" s="18"/>
      <c r="H299" s="76"/>
      <c r="I299" s="18"/>
      <c r="J299" s="2"/>
      <c r="K299" s="2"/>
      <c r="L299" s="2"/>
      <c r="M299" s="2"/>
    </row>
    <row r="300" spans="1:13" s="17" customFormat="1" x14ac:dyDescent="0.4">
      <c r="A300" s="2"/>
      <c r="B300" s="2"/>
      <c r="C300" s="14"/>
      <c r="G300" s="18"/>
      <c r="H300" s="76"/>
      <c r="I300" s="18"/>
      <c r="J300" s="2"/>
      <c r="K300" s="2"/>
      <c r="L300" s="2"/>
      <c r="M300" s="2"/>
    </row>
    <row r="301" spans="1:13" s="17" customFormat="1" x14ac:dyDescent="0.4">
      <c r="A301" s="2"/>
      <c r="B301" s="2"/>
      <c r="C301" s="14"/>
      <c r="G301" s="18"/>
      <c r="H301" s="76"/>
      <c r="I301" s="18"/>
      <c r="J301" s="2"/>
      <c r="K301" s="2"/>
      <c r="L301" s="2"/>
      <c r="M301" s="2"/>
    </row>
    <row r="302" spans="1:13" s="17" customFormat="1" x14ac:dyDescent="0.4">
      <c r="A302" s="2"/>
      <c r="B302" s="2"/>
      <c r="C302" s="14"/>
      <c r="G302" s="18"/>
      <c r="H302" s="76"/>
      <c r="I302" s="18"/>
      <c r="J302" s="2"/>
      <c r="K302" s="2"/>
      <c r="L302" s="2"/>
      <c r="M302" s="2"/>
    </row>
    <row r="303" spans="1:13" s="17" customFormat="1" x14ac:dyDescent="0.4">
      <c r="A303" s="2"/>
      <c r="B303" s="2"/>
      <c r="C303" s="14"/>
      <c r="G303" s="18"/>
      <c r="H303" s="76"/>
      <c r="I303" s="18"/>
      <c r="J303" s="2"/>
      <c r="K303" s="2"/>
      <c r="L303" s="2"/>
      <c r="M303" s="2"/>
    </row>
    <row r="304" spans="1:13" s="17" customFormat="1" x14ac:dyDescent="0.4">
      <c r="A304" s="2"/>
      <c r="B304" s="2"/>
      <c r="C304" s="14"/>
      <c r="G304" s="18"/>
      <c r="H304" s="76"/>
      <c r="I304" s="18"/>
      <c r="J304" s="2"/>
      <c r="K304" s="2"/>
      <c r="L304" s="2"/>
      <c r="M304" s="2"/>
    </row>
    <row r="305" spans="1:15" s="17" customFormat="1" x14ac:dyDescent="0.4">
      <c r="A305" s="2"/>
      <c r="B305" s="2"/>
      <c r="C305" s="14"/>
      <c r="G305" s="18"/>
      <c r="H305" s="76"/>
      <c r="I305" s="18"/>
      <c r="J305" s="2"/>
      <c r="K305" s="2"/>
      <c r="L305" s="2"/>
      <c r="M305" s="2"/>
    </row>
    <row r="306" spans="1:15" s="17" customFormat="1" x14ac:dyDescent="0.4">
      <c r="A306" s="2"/>
      <c r="B306" s="2"/>
      <c r="C306" s="14"/>
      <c r="G306" s="18"/>
      <c r="H306" s="76"/>
      <c r="I306" s="18"/>
      <c r="J306" s="2"/>
      <c r="K306" s="2"/>
      <c r="L306" s="2"/>
      <c r="M306" s="2"/>
    </row>
    <row r="307" spans="1:15" s="17" customFormat="1" x14ac:dyDescent="0.4">
      <c r="A307" s="2"/>
      <c r="B307" s="2"/>
      <c r="C307" s="14"/>
      <c r="G307" s="18"/>
      <c r="H307" s="76"/>
      <c r="I307" s="18"/>
      <c r="J307" s="2"/>
      <c r="K307" s="2"/>
      <c r="L307" s="2"/>
      <c r="M307" s="2"/>
    </row>
    <row r="308" spans="1:15" s="17" customFormat="1" x14ac:dyDescent="0.4">
      <c r="A308" s="2"/>
      <c r="B308" s="2"/>
      <c r="C308" s="14"/>
      <c r="G308" s="18"/>
      <c r="H308" s="76"/>
      <c r="I308" s="18"/>
      <c r="J308" s="2"/>
      <c r="K308" s="2"/>
      <c r="L308" s="2"/>
      <c r="M308" s="2"/>
    </row>
    <row r="309" spans="1:15" s="17" customFormat="1" x14ac:dyDescent="0.4">
      <c r="A309" s="2"/>
      <c r="B309" s="2"/>
      <c r="C309" s="14"/>
      <c r="G309" s="18"/>
      <c r="H309" s="76"/>
      <c r="I309" s="18"/>
      <c r="J309" s="2"/>
      <c r="K309" s="2"/>
      <c r="L309" s="2"/>
      <c r="M309" s="2"/>
    </row>
    <row r="310" spans="1:15" s="17" customFormat="1" x14ac:dyDescent="0.4">
      <c r="A310" s="2"/>
      <c r="B310" s="2"/>
      <c r="C310" s="14"/>
      <c r="G310" s="18"/>
      <c r="H310" s="76"/>
      <c r="I310" s="18"/>
      <c r="J310" s="2"/>
      <c r="K310" s="2"/>
      <c r="L310" s="2"/>
      <c r="M310" s="2"/>
    </row>
    <row r="311" spans="1:15" s="17" customFormat="1" x14ac:dyDescent="0.4">
      <c r="A311" s="2"/>
      <c r="B311" s="2"/>
      <c r="C311" s="14"/>
      <c r="G311" s="18"/>
      <c r="H311" s="76"/>
      <c r="I311" s="18"/>
      <c r="J311" s="2"/>
      <c r="K311" s="2"/>
      <c r="L311" s="2"/>
      <c r="M311" s="2"/>
    </row>
    <row r="312" spans="1:15" s="17" customFormat="1" x14ac:dyDescent="0.4">
      <c r="A312" s="2"/>
      <c r="B312" s="2"/>
      <c r="C312" s="14"/>
      <c r="G312" s="18"/>
      <c r="H312" s="76"/>
      <c r="I312" s="18"/>
      <c r="J312" s="2"/>
      <c r="K312" s="2"/>
      <c r="L312" s="2"/>
      <c r="M312" s="2"/>
    </row>
    <row r="313" spans="1:15" s="17" customFormat="1" x14ac:dyDescent="0.4">
      <c r="A313" s="2"/>
      <c r="B313" s="2"/>
      <c r="C313" s="14"/>
      <c r="G313" s="18"/>
      <c r="H313" s="76"/>
      <c r="I313" s="18"/>
      <c r="J313" s="2"/>
      <c r="K313" s="2"/>
      <c r="L313" s="2"/>
      <c r="M313" s="2"/>
    </row>
    <row r="314" spans="1:15" x14ac:dyDescent="0.4">
      <c r="C314" s="14"/>
      <c r="N314" s="17"/>
      <c r="O314" s="17"/>
    </row>
    <row r="315" spans="1:15" x14ac:dyDescent="0.4">
      <c r="C315" s="14"/>
    </row>
    <row r="316" spans="1:15" x14ac:dyDescent="0.4">
      <c r="C316" s="14"/>
    </row>
    <row r="317" spans="1:15" x14ac:dyDescent="0.4">
      <c r="C317" s="14"/>
    </row>
    <row r="318" spans="1:15" x14ac:dyDescent="0.4">
      <c r="C318" s="14"/>
    </row>
    <row r="319" spans="1:15" x14ac:dyDescent="0.4">
      <c r="C319" s="14"/>
    </row>
    <row r="320" spans="1:15" x14ac:dyDescent="0.4">
      <c r="C320" s="14"/>
    </row>
    <row r="321" spans="3:9" x14ac:dyDescent="0.4">
      <c r="C321" s="14"/>
    </row>
    <row r="322" spans="3:9" x14ac:dyDescent="0.4">
      <c r="C322" s="14"/>
    </row>
    <row r="323" spans="3:9" x14ac:dyDescent="0.4">
      <c r="C323" s="14"/>
    </row>
    <row r="324" spans="3:9" x14ac:dyDescent="0.4">
      <c r="C324" s="14"/>
    </row>
    <row r="325" spans="3:9" x14ac:dyDescent="0.4">
      <c r="C325" s="14"/>
    </row>
    <row r="326" spans="3:9" x14ac:dyDescent="0.4">
      <c r="C326" s="14"/>
      <c r="D326" s="2"/>
      <c r="E326" s="2"/>
      <c r="F326" s="2"/>
      <c r="G326" s="2"/>
      <c r="I326" s="2"/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</sheetPr>
  <dimension ref="A1:N145"/>
  <sheetViews>
    <sheetView workbookViewId="0">
      <pane ySplit="5" topLeftCell="A87" activePane="bottomLeft" state="frozen"/>
      <selection pane="bottomLeft" activeCell="E106" sqref="E106"/>
    </sheetView>
  </sheetViews>
  <sheetFormatPr defaultColWidth="10.3515625" defaultRowHeight="14.35" outlineLevelCol="1" x14ac:dyDescent="0.5"/>
  <cols>
    <col min="1" max="1" width="13.05859375" style="9" customWidth="1" outlineLevel="1"/>
    <col min="2" max="2" width="12.87890625" style="9" customWidth="1" outlineLevel="1"/>
    <col min="3" max="3" width="10.3515625" style="21"/>
    <col min="4" max="4" width="31.46875" style="9" customWidth="1"/>
    <col min="5" max="5" width="17.8203125" style="78" bestFit="1" customWidth="1"/>
    <col min="6" max="6" width="24.64453125" style="78" hidden="1" customWidth="1" outlineLevel="1"/>
    <col min="7" max="7" width="17.8203125" style="78" bestFit="1" customWidth="1" collapsed="1"/>
    <col min="8" max="8" width="13.46875" style="98" bestFit="1" customWidth="1"/>
    <col min="9" max="9" width="12.64453125" style="13" bestFit="1" customWidth="1"/>
    <col min="10" max="10" width="12.3515625" style="21" bestFit="1" customWidth="1"/>
    <col min="11" max="11" width="10.64453125" style="21" bestFit="1" customWidth="1"/>
    <col min="12" max="12" width="24.05859375" style="21" customWidth="1"/>
    <col min="13" max="13" width="22.17578125" style="21" customWidth="1"/>
    <col min="14" max="14" width="10.3515625" style="21"/>
    <col min="15" max="15" width="13.46875" style="21" bestFit="1" customWidth="1"/>
    <col min="16" max="16384" width="10.3515625" style="21"/>
  </cols>
  <sheetData>
    <row r="1" spans="1:14" x14ac:dyDescent="0.5">
      <c r="A1" s="75">
        <v>-1</v>
      </c>
      <c r="B1" s="75"/>
      <c r="C1" s="75" t="s">
        <v>1292</v>
      </c>
      <c r="D1" s="75"/>
    </row>
    <row r="2" spans="1:14" x14ac:dyDescent="0.5">
      <c r="A2" s="75"/>
      <c r="B2" s="75"/>
      <c r="C2" s="132" t="s">
        <v>1253</v>
      </c>
      <c r="D2" s="75"/>
    </row>
    <row r="3" spans="1:14" x14ac:dyDescent="0.5">
      <c r="A3" s="3"/>
      <c r="B3" s="3"/>
      <c r="C3" s="3" t="s">
        <v>1471</v>
      </c>
      <c r="D3" s="3"/>
      <c r="E3" s="137" t="s">
        <v>1472</v>
      </c>
      <c r="G3" s="137" t="s">
        <v>1472</v>
      </c>
    </row>
    <row r="4" spans="1:14" x14ac:dyDescent="0.5">
      <c r="E4" s="137" t="s">
        <v>1264</v>
      </c>
      <c r="G4" s="137" t="s">
        <v>1264</v>
      </c>
    </row>
    <row r="5" spans="1:14" s="10" customFormat="1" ht="12.7" x14ac:dyDescent="0.4">
      <c r="A5" s="193" t="s">
        <v>1473</v>
      </c>
      <c r="B5" s="193" t="s">
        <v>1474</v>
      </c>
      <c r="C5" s="130" t="s">
        <v>484</v>
      </c>
      <c r="D5" s="28" t="s">
        <v>279</v>
      </c>
      <c r="E5" s="131" t="s">
        <v>1475</v>
      </c>
      <c r="F5" s="131" t="s">
        <v>280</v>
      </c>
      <c r="G5" s="131" t="s">
        <v>1476</v>
      </c>
      <c r="I5" s="83"/>
    </row>
    <row r="6" spans="1:14" s="10" customFormat="1" x14ac:dyDescent="0.5">
      <c r="A6" s="89">
        <v>1823219.22</v>
      </c>
      <c r="B6" s="89">
        <v>2003238.28</v>
      </c>
      <c r="C6" s="133" t="s">
        <v>1047</v>
      </c>
      <c r="D6" s="12" t="s">
        <v>1048</v>
      </c>
      <c r="E6" s="149">
        <f t="shared" ref="E6:E38" si="0">ROUND(A6,0)</f>
        <v>1823219</v>
      </c>
      <c r="F6" s="7" t="s">
        <v>1277</v>
      </c>
      <c r="G6" s="149">
        <f>ROUND(B6,0)</f>
        <v>2003238</v>
      </c>
      <c r="I6" s="13"/>
      <c r="L6" s="154" t="s">
        <v>282</v>
      </c>
      <c r="M6" s="154" t="s">
        <v>1481</v>
      </c>
      <c r="N6"/>
    </row>
    <row r="7" spans="1:14" s="10" customFormat="1" x14ac:dyDescent="0.5">
      <c r="A7" s="89">
        <v>315001.15000000002</v>
      </c>
      <c r="B7" s="89">
        <v>159538.82</v>
      </c>
      <c r="C7" s="133" t="s">
        <v>1049</v>
      </c>
      <c r="D7" s="12" t="s">
        <v>1050</v>
      </c>
      <c r="E7" s="149">
        <f t="shared" si="0"/>
        <v>315001</v>
      </c>
      <c r="F7" s="7" t="s">
        <v>1278</v>
      </c>
      <c r="G7" s="149">
        <f t="shared" ref="G7:G71" si="1">ROUND(B7,0)</f>
        <v>159539</v>
      </c>
      <c r="I7" s="13"/>
      <c r="L7" s="148" t="s">
        <v>1279</v>
      </c>
      <c r="M7" s="223">
        <v>-8040510</v>
      </c>
      <c r="N7"/>
    </row>
    <row r="8" spans="1:14" s="10" customFormat="1" x14ac:dyDescent="0.5">
      <c r="A8" s="89">
        <v>-357.25</v>
      </c>
      <c r="B8" s="89">
        <v>2840</v>
      </c>
      <c r="C8" s="133" t="s">
        <v>1051</v>
      </c>
      <c r="D8" s="12" t="s">
        <v>1052</v>
      </c>
      <c r="E8" s="149">
        <f t="shared" si="0"/>
        <v>-357</v>
      </c>
      <c r="F8" s="7" t="s">
        <v>1278</v>
      </c>
      <c r="G8" s="149">
        <f t="shared" si="1"/>
        <v>2840</v>
      </c>
      <c r="I8" s="13"/>
      <c r="L8" s="148" t="s">
        <v>1281</v>
      </c>
      <c r="M8" s="223">
        <v>-713698</v>
      </c>
      <c r="N8"/>
    </row>
    <row r="9" spans="1:14" s="10" customFormat="1" x14ac:dyDescent="0.5">
      <c r="A9" s="89">
        <v>454559.44</v>
      </c>
      <c r="B9" s="89">
        <v>421415.04</v>
      </c>
      <c r="C9" s="133" t="s">
        <v>1053</v>
      </c>
      <c r="D9" s="12" t="s">
        <v>1054</v>
      </c>
      <c r="E9" s="149">
        <f t="shared" si="0"/>
        <v>454559</v>
      </c>
      <c r="F9" s="7" t="s">
        <v>1278</v>
      </c>
      <c r="G9" s="149">
        <f t="shared" si="1"/>
        <v>421415</v>
      </c>
      <c r="I9" s="13"/>
      <c r="L9" s="148" t="s">
        <v>1283</v>
      </c>
      <c r="M9" s="223">
        <v>-566838</v>
      </c>
      <c r="N9"/>
    </row>
    <row r="10" spans="1:14" s="10" customFormat="1" x14ac:dyDescent="0.5">
      <c r="A10" s="89">
        <v>249890</v>
      </c>
      <c r="B10" s="89">
        <f>129800-2000</f>
        <v>127800</v>
      </c>
      <c r="C10" s="68" t="s">
        <v>1055</v>
      </c>
      <c r="D10" s="12" t="s">
        <v>1056</v>
      </c>
      <c r="E10" s="149">
        <f t="shared" si="0"/>
        <v>249890</v>
      </c>
      <c r="F10" s="7" t="s">
        <v>1278</v>
      </c>
      <c r="G10" s="149">
        <f t="shared" si="1"/>
        <v>127800</v>
      </c>
      <c r="I10" s="13"/>
      <c r="L10" s="148" t="s">
        <v>292</v>
      </c>
      <c r="M10" s="223">
        <v>-780881</v>
      </c>
      <c r="N10"/>
    </row>
    <row r="11" spans="1:14" s="10" customFormat="1" x14ac:dyDescent="0.5">
      <c r="A11" s="89">
        <v>7624204.71</v>
      </c>
      <c r="B11" s="89">
        <v>4278911.58</v>
      </c>
      <c r="C11" s="125" t="s">
        <v>1057</v>
      </c>
      <c r="D11" s="125" t="s">
        <v>1058</v>
      </c>
      <c r="E11" s="149">
        <f t="shared" si="0"/>
        <v>7624205</v>
      </c>
      <c r="F11" s="7" t="s">
        <v>1278</v>
      </c>
      <c r="G11" s="149">
        <f t="shared" si="1"/>
        <v>4278912</v>
      </c>
      <c r="I11" s="13"/>
      <c r="L11" s="148" t="s">
        <v>1285</v>
      </c>
      <c r="M11" s="223">
        <v>1762</v>
      </c>
      <c r="N11"/>
    </row>
    <row r="12" spans="1:14" s="78" customFormat="1" x14ac:dyDescent="0.5">
      <c r="A12" s="89">
        <v>173119.08</v>
      </c>
      <c r="B12" s="89">
        <v>32875</v>
      </c>
      <c r="C12" s="133" t="s">
        <v>1059</v>
      </c>
      <c r="D12" s="12" t="s">
        <v>1060</v>
      </c>
      <c r="E12" s="149">
        <f t="shared" si="0"/>
        <v>173119</v>
      </c>
      <c r="F12" s="7" t="s">
        <v>1278</v>
      </c>
      <c r="G12" s="149">
        <f t="shared" si="1"/>
        <v>32875</v>
      </c>
      <c r="I12" s="13"/>
      <c r="J12" s="10"/>
      <c r="K12" s="10"/>
      <c r="L12" s="148" t="s">
        <v>1282</v>
      </c>
      <c r="M12" s="223">
        <v>-487345</v>
      </c>
      <c r="N12"/>
    </row>
    <row r="13" spans="1:14" s="78" customFormat="1" x14ac:dyDescent="0.5">
      <c r="A13" s="89">
        <v>14643.98</v>
      </c>
      <c r="B13" s="89">
        <v>11627.97</v>
      </c>
      <c r="C13" s="133" t="s">
        <v>1234</v>
      </c>
      <c r="D13" s="12" t="s">
        <v>1235</v>
      </c>
      <c r="E13" s="149">
        <f t="shared" si="0"/>
        <v>14644</v>
      </c>
      <c r="F13" s="7" t="s">
        <v>1278</v>
      </c>
      <c r="G13" s="149">
        <f t="shared" si="1"/>
        <v>11628</v>
      </c>
      <c r="I13" s="13"/>
      <c r="J13" s="10"/>
      <c r="K13" s="10"/>
      <c r="L13" s="148" t="s">
        <v>161</v>
      </c>
      <c r="M13" s="223">
        <v>52151</v>
      </c>
      <c r="N13"/>
    </row>
    <row r="14" spans="1:14" s="78" customFormat="1" x14ac:dyDescent="0.5">
      <c r="A14" s="78">
        <v>0</v>
      </c>
      <c r="B14" s="78">
        <v>0</v>
      </c>
      <c r="C14" s="133" t="s">
        <v>1061</v>
      </c>
      <c r="D14" s="12" t="s">
        <v>1062</v>
      </c>
      <c r="E14" s="149">
        <f t="shared" si="0"/>
        <v>0</v>
      </c>
      <c r="F14" s="7" t="s">
        <v>1278</v>
      </c>
      <c r="G14" s="149">
        <f t="shared" si="1"/>
        <v>0</v>
      </c>
      <c r="I14" s="13"/>
      <c r="J14" s="10"/>
      <c r="K14" s="10"/>
      <c r="L14" s="148" t="s">
        <v>1277</v>
      </c>
      <c r="M14" s="223">
        <v>1823219</v>
      </c>
      <c r="N14"/>
    </row>
    <row r="15" spans="1:14" s="78" customFormat="1" x14ac:dyDescent="0.5">
      <c r="A15" s="89">
        <v>559453.30000000005</v>
      </c>
      <c r="B15" s="89">
        <v>675671.48</v>
      </c>
      <c r="C15" s="133" t="s">
        <v>1063</v>
      </c>
      <c r="D15" s="12" t="s">
        <v>1064</v>
      </c>
      <c r="E15" s="149">
        <f t="shared" si="0"/>
        <v>559453</v>
      </c>
      <c r="F15" s="7" t="s">
        <v>1278</v>
      </c>
      <c r="G15" s="149">
        <f t="shared" si="1"/>
        <v>675671</v>
      </c>
      <c r="I15" s="13"/>
      <c r="J15" s="10"/>
      <c r="K15" s="10"/>
      <c r="L15" s="148" t="s">
        <v>1280</v>
      </c>
      <c r="M15" s="223">
        <v>-315447</v>
      </c>
      <c r="N15"/>
    </row>
    <row r="16" spans="1:14" s="10" customFormat="1" x14ac:dyDescent="0.5">
      <c r="A16" s="10">
        <v>0</v>
      </c>
      <c r="B16" s="10">
        <v>-213.12</v>
      </c>
      <c r="C16" s="133" t="s">
        <v>1065</v>
      </c>
      <c r="D16" s="12" t="s">
        <v>1066</v>
      </c>
      <c r="E16" s="149">
        <f t="shared" si="0"/>
        <v>0</v>
      </c>
      <c r="F16" s="7" t="s">
        <v>1278</v>
      </c>
      <c r="G16" s="149">
        <f t="shared" si="1"/>
        <v>-213</v>
      </c>
      <c r="I16" s="13"/>
      <c r="L16" s="148" t="s">
        <v>1278</v>
      </c>
      <c r="M16" s="223">
        <v>9395942</v>
      </c>
      <c r="N16"/>
    </row>
    <row r="17" spans="1:14" s="10" customFormat="1" x14ac:dyDescent="0.5">
      <c r="A17" s="89">
        <v>30871.279999999999</v>
      </c>
      <c r="B17" s="89">
        <v>46565.1</v>
      </c>
      <c r="C17" s="133" t="s">
        <v>1067</v>
      </c>
      <c r="D17" s="12" t="s">
        <v>1068</v>
      </c>
      <c r="E17" s="149">
        <f t="shared" si="0"/>
        <v>30871</v>
      </c>
      <c r="F17" s="7" t="s">
        <v>1278</v>
      </c>
      <c r="G17" s="149">
        <f t="shared" si="1"/>
        <v>46565</v>
      </c>
      <c r="I17" s="13"/>
      <c r="L17" s="148" t="s">
        <v>1284</v>
      </c>
      <c r="M17" s="134">
        <v>-113315</v>
      </c>
      <c r="N17"/>
    </row>
    <row r="18" spans="1:14" s="10" customFormat="1" ht="15.7" x14ac:dyDescent="0.55000000000000004">
      <c r="A18" s="89">
        <v>5511.03</v>
      </c>
      <c r="B18" s="89">
        <v>12.5</v>
      </c>
      <c r="C18" s="133" t="s">
        <v>1069</v>
      </c>
      <c r="D18" s="12" t="s">
        <v>1070</v>
      </c>
      <c r="E18" s="149">
        <f t="shared" si="0"/>
        <v>5511</v>
      </c>
      <c r="F18" s="7" t="s">
        <v>1278</v>
      </c>
      <c r="G18" s="149">
        <f t="shared" si="1"/>
        <v>13</v>
      </c>
      <c r="I18" s="13"/>
      <c r="L18" s="157" t="s">
        <v>283</v>
      </c>
      <c r="M18" s="158">
        <v>255040</v>
      </c>
      <c r="N18"/>
    </row>
    <row r="19" spans="1:14" s="10" customFormat="1" x14ac:dyDescent="0.5">
      <c r="A19" s="89">
        <v>-66985.45</v>
      </c>
      <c r="B19" s="89">
        <v>11028.84</v>
      </c>
      <c r="C19" s="133" t="s">
        <v>1071</v>
      </c>
      <c r="D19" s="12" t="s">
        <v>1072</v>
      </c>
      <c r="E19" s="149">
        <f t="shared" si="0"/>
        <v>-66985</v>
      </c>
      <c r="F19" s="7" t="s">
        <v>1278</v>
      </c>
      <c r="G19" s="149">
        <f t="shared" si="1"/>
        <v>11029</v>
      </c>
      <c r="H19" s="151">
        <f>SUM(E6:E21)</f>
        <v>11192300</v>
      </c>
      <c r="I19" s="13"/>
      <c r="L19"/>
      <c r="M19"/>
      <c r="N19"/>
    </row>
    <row r="20" spans="1:14" s="10" customFormat="1" x14ac:dyDescent="0.5">
      <c r="A20" s="89">
        <v>23.3</v>
      </c>
      <c r="B20" s="89">
        <v>18.39</v>
      </c>
      <c r="C20" s="27" t="s">
        <v>1073</v>
      </c>
      <c r="D20" s="125" t="s">
        <v>1074</v>
      </c>
      <c r="E20" s="149">
        <f t="shared" si="0"/>
        <v>23</v>
      </c>
      <c r="F20" s="7" t="s">
        <v>1278</v>
      </c>
      <c r="G20" s="149">
        <f t="shared" si="1"/>
        <v>18</v>
      </c>
      <c r="H20" s="156">
        <f>SUM(G6:G20)</f>
        <v>7771330</v>
      </c>
      <c r="I20" s="13"/>
      <c r="L20"/>
      <c r="M20"/>
      <c r="N20"/>
    </row>
    <row r="21" spans="1:14" s="10" customFormat="1" x14ac:dyDescent="0.5">
      <c r="A21" s="89">
        <v>9147.16</v>
      </c>
      <c r="B21" s="89">
        <v>0</v>
      </c>
      <c r="C21" s="27" t="s">
        <v>1483</v>
      </c>
      <c r="D21" s="125" t="s">
        <v>1272</v>
      </c>
      <c r="E21" s="149">
        <f t="shared" si="0"/>
        <v>9147</v>
      </c>
      <c r="F21" s="7" t="s">
        <v>1279</v>
      </c>
      <c r="G21" s="149">
        <f t="shared" si="1"/>
        <v>0</v>
      </c>
      <c r="H21" s="156"/>
      <c r="I21" s="13"/>
      <c r="L21" s="98"/>
      <c r="M21" s="98"/>
      <c r="N21" s="98"/>
    </row>
    <row r="22" spans="1:14" s="10" customFormat="1" x14ac:dyDescent="0.5">
      <c r="A22" s="89">
        <v>-6213939.7199999997</v>
      </c>
      <c r="B22" s="89">
        <v>-2899639.54</v>
      </c>
      <c r="C22" s="133" t="s">
        <v>1075</v>
      </c>
      <c r="D22" s="12" t="s">
        <v>1076</v>
      </c>
      <c r="E22" s="149">
        <f t="shared" si="0"/>
        <v>-6213940</v>
      </c>
      <c r="F22" s="7" t="s">
        <v>1279</v>
      </c>
      <c r="G22" s="149">
        <f t="shared" si="1"/>
        <v>-2899640</v>
      </c>
      <c r="H22" s="105"/>
      <c r="I22" s="13"/>
      <c r="L22" s="152" t="s">
        <v>282</v>
      </c>
      <c r="M22" s="152" t="s">
        <v>1482</v>
      </c>
      <c r="N22"/>
    </row>
    <row r="23" spans="1:14" s="10" customFormat="1" x14ac:dyDescent="0.5">
      <c r="A23" s="89">
        <v>872034.64</v>
      </c>
      <c r="B23" s="135">
        <v>426580.55</v>
      </c>
      <c r="C23" s="133" t="s">
        <v>509</v>
      </c>
      <c r="D23" s="12" t="s">
        <v>1077</v>
      </c>
      <c r="E23" s="149">
        <f t="shared" si="0"/>
        <v>872035</v>
      </c>
      <c r="F23" s="7" t="s">
        <v>1279</v>
      </c>
      <c r="G23" s="149">
        <f t="shared" si="1"/>
        <v>426581</v>
      </c>
      <c r="H23" s="105"/>
      <c r="I23" s="13"/>
      <c r="L23" s="148" t="s">
        <v>1279</v>
      </c>
      <c r="M23" s="134">
        <v>-4685296</v>
      </c>
      <c r="N23"/>
    </row>
    <row r="24" spans="1:14" s="10" customFormat="1" x14ac:dyDescent="0.5">
      <c r="A24" s="89">
        <v>-237020.45</v>
      </c>
      <c r="B24" s="135">
        <v>-30597</v>
      </c>
      <c r="C24" s="133" t="s">
        <v>1078</v>
      </c>
      <c r="D24" s="27" t="s">
        <v>1079</v>
      </c>
      <c r="E24" s="149">
        <f t="shared" si="0"/>
        <v>-237020</v>
      </c>
      <c r="F24" s="7" t="s">
        <v>1279</v>
      </c>
      <c r="G24" s="149">
        <f t="shared" si="1"/>
        <v>-30597</v>
      </c>
      <c r="H24" s="105"/>
      <c r="I24" s="13"/>
      <c r="L24" s="148" t="s">
        <v>1281</v>
      </c>
      <c r="M24" s="134">
        <v>-654467</v>
      </c>
      <c r="N24"/>
    </row>
    <row r="25" spans="1:14" s="10" customFormat="1" x14ac:dyDescent="0.5">
      <c r="A25" s="89">
        <v>-450061.23</v>
      </c>
      <c r="B25" s="135">
        <v>-538974.12</v>
      </c>
      <c r="C25" s="133" t="s">
        <v>1080</v>
      </c>
      <c r="D25" s="12" t="s">
        <v>1081</v>
      </c>
      <c r="E25" s="149">
        <f t="shared" si="0"/>
        <v>-450061</v>
      </c>
      <c r="F25" s="7" t="s">
        <v>1279</v>
      </c>
      <c r="G25" s="149">
        <f t="shared" si="1"/>
        <v>-538974</v>
      </c>
      <c r="H25" s="105"/>
      <c r="I25" s="13"/>
      <c r="L25" s="148" t="s">
        <v>1283</v>
      </c>
      <c r="M25" s="134">
        <v>0</v>
      </c>
      <c r="N25"/>
    </row>
    <row r="26" spans="1:14" s="10" customFormat="1" x14ac:dyDescent="0.5">
      <c r="A26" s="89">
        <v>-57000</v>
      </c>
      <c r="B26" s="135">
        <v>-92600</v>
      </c>
      <c r="C26" s="133" t="s">
        <v>1082</v>
      </c>
      <c r="D26" s="12" t="s">
        <v>1083</v>
      </c>
      <c r="E26" s="149">
        <f t="shared" si="0"/>
        <v>-57000</v>
      </c>
      <c r="F26" s="7" t="s">
        <v>1279</v>
      </c>
      <c r="G26" s="149">
        <f t="shared" si="1"/>
        <v>-92600</v>
      </c>
      <c r="H26" s="105"/>
      <c r="I26" s="13"/>
      <c r="L26" s="148" t="s">
        <v>292</v>
      </c>
      <c r="M26" s="134">
        <v>-603047</v>
      </c>
      <c r="N26"/>
    </row>
    <row r="27" spans="1:14" s="10" customFormat="1" x14ac:dyDescent="0.5">
      <c r="A27" s="89">
        <v>-660.72</v>
      </c>
      <c r="B27" s="135">
        <v>4899.59</v>
      </c>
      <c r="C27" s="125" t="s">
        <v>1084</v>
      </c>
      <c r="D27" s="125" t="s">
        <v>1085</v>
      </c>
      <c r="E27" s="149">
        <f t="shared" si="0"/>
        <v>-661</v>
      </c>
      <c r="F27" s="7" t="s">
        <v>1279</v>
      </c>
      <c r="G27" s="149">
        <f t="shared" si="1"/>
        <v>4900</v>
      </c>
      <c r="H27" s="105"/>
      <c r="I27" s="13"/>
      <c r="L27" s="148" t="s">
        <v>1285</v>
      </c>
      <c r="M27" s="134">
        <v>15603</v>
      </c>
      <c r="N27"/>
    </row>
    <row r="28" spans="1:14" s="10" customFormat="1" x14ac:dyDescent="0.5">
      <c r="A28" s="89">
        <v>-26114.59</v>
      </c>
      <c r="B28" s="135">
        <v>-74804.789999999994</v>
      </c>
      <c r="C28" s="133" t="s">
        <v>1086</v>
      </c>
      <c r="D28" s="12" t="s">
        <v>1252</v>
      </c>
      <c r="E28" s="149">
        <f t="shared" si="0"/>
        <v>-26115</v>
      </c>
      <c r="F28" s="7" t="s">
        <v>1279</v>
      </c>
      <c r="G28" s="149">
        <f t="shared" si="1"/>
        <v>-74805</v>
      </c>
      <c r="H28" s="105"/>
      <c r="I28" s="13"/>
      <c r="L28" s="148" t="s">
        <v>1282</v>
      </c>
      <c r="M28" s="134">
        <v>-614257</v>
      </c>
      <c r="N28"/>
    </row>
    <row r="29" spans="1:14" s="10" customFormat="1" x14ac:dyDescent="0.5">
      <c r="A29" s="89">
        <v>-110628.09</v>
      </c>
      <c r="B29" s="135">
        <v>-72822.759999999995</v>
      </c>
      <c r="C29" s="133" t="s">
        <v>1088</v>
      </c>
      <c r="D29" s="12" t="s">
        <v>1089</v>
      </c>
      <c r="E29" s="149">
        <f t="shared" si="0"/>
        <v>-110628</v>
      </c>
      <c r="F29" s="7" t="s">
        <v>1279</v>
      </c>
      <c r="G29" s="149">
        <f t="shared" si="1"/>
        <v>-72823</v>
      </c>
      <c r="H29" s="105"/>
      <c r="I29" s="13"/>
      <c r="L29" s="148" t="s">
        <v>161</v>
      </c>
      <c r="M29" s="134">
        <v>114397</v>
      </c>
      <c r="N29"/>
    </row>
    <row r="30" spans="1:14" s="10" customFormat="1" x14ac:dyDescent="0.5">
      <c r="A30" s="89">
        <v>-29737.96</v>
      </c>
      <c r="B30" s="135">
        <v>-13818.81</v>
      </c>
      <c r="C30" s="133" t="s">
        <v>1090</v>
      </c>
      <c r="D30" s="12" t="s">
        <v>1091</v>
      </c>
      <c r="E30" s="149">
        <f t="shared" si="0"/>
        <v>-29738</v>
      </c>
      <c r="F30" s="7" t="s">
        <v>1279</v>
      </c>
      <c r="G30" s="149">
        <f t="shared" si="1"/>
        <v>-13819</v>
      </c>
      <c r="H30" s="105"/>
      <c r="I30" s="13"/>
      <c r="L30" s="148" t="s">
        <v>1277</v>
      </c>
      <c r="M30" s="134">
        <v>2003238</v>
      </c>
      <c r="N30"/>
    </row>
    <row r="31" spans="1:14" s="10" customFormat="1" x14ac:dyDescent="0.5">
      <c r="A31" s="89">
        <v>-886.6</v>
      </c>
      <c r="B31" s="135">
        <v>-1276.5</v>
      </c>
      <c r="C31" s="133" t="s">
        <v>1092</v>
      </c>
      <c r="D31" s="12" t="s">
        <v>1093</v>
      </c>
      <c r="E31" s="149">
        <f t="shared" si="0"/>
        <v>-887</v>
      </c>
      <c r="F31" s="7" t="s">
        <v>1279</v>
      </c>
      <c r="G31" s="149">
        <f t="shared" si="1"/>
        <v>-1277</v>
      </c>
      <c r="H31" s="105"/>
      <c r="I31" s="13"/>
      <c r="L31" s="148" t="s">
        <v>1280</v>
      </c>
      <c r="M31" s="134">
        <v>-249015</v>
      </c>
      <c r="N31"/>
    </row>
    <row r="32" spans="1:14" s="10" customFormat="1" x14ac:dyDescent="0.5">
      <c r="A32" s="89">
        <v>-15000</v>
      </c>
      <c r="B32" s="135">
        <v>-25830.44</v>
      </c>
      <c r="C32" s="133" t="s">
        <v>1094</v>
      </c>
      <c r="D32" s="12" t="s">
        <v>1095</v>
      </c>
      <c r="E32" s="149">
        <f t="shared" si="0"/>
        <v>-15000</v>
      </c>
      <c r="F32" s="7" t="s">
        <v>1280</v>
      </c>
      <c r="G32" s="149">
        <f t="shared" si="1"/>
        <v>-25830</v>
      </c>
      <c r="H32" s="105"/>
      <c r="I32" s="13"/>
      <c r="L32" s="148" t="s">
        <v>1278</v>
      </c>
      <c r="M32" s="134">
        <v>5717992</v>
      </c>
      <c r="N32"/>
    </row>
    <row r="33" spans="1:14" s="10" customFormat="1" x14ac:dyDescent="0.5">
      <c r="A33" s="89">
        <v>-286664.21999999997</v>
      </c>
      <c r="B33" s="135">
        <v>-121225.25</v>
      </c>
      <c r="C33" s="133" t="s">
        <v>1096</v>
      </c>
      <c r="D33" s="12" t="s">
        <v>1097</v>
      </c>
      <c r="E33" s="149">
        <f t="shared" si="0"/>
        <v>-286664</v>
      </c>
      <c r="F33" s="7" t="s">
        <v>1279</v>
      </c>
      <c r="G33" s="149">
        <f t="shared" si="1"/>
        <v>-121225</v>
      </c>
      <c r="H33" s="151">
        <f>SUM(E22:E34)</f>
        <v>-7267919</v>
      </c>
      <c r="I33" s="13"/>
      <c r="L33" s="148" t="s">
        <v>1284</v>
      </c>
      <c r="M33" s="134">
        <v>-303566</v>
      </c>
      <c r="N33"/>
    </row>
    <row r="34" spans="1:14" s="10" customFormat="1" x14ac:dyDescent="0.5">
      <c r="A34" s="89">
        <v>-712240.39</v>
      </c>
      <c r="B34" s="135">
        <v>-648252.18000000005</v>
      </c>
      <c r="C34" s="133" t="s">
        <v>1098</v>
      </c>
      <c r="D34" s="12" t="s">
        <v>1099</v>
      </c>
      <c r="E34" s="149">
        <f t="shared" si="0"/>
        <v>-712240</v>
      </c>
      <c r="F34" s="7" t="s">
        <v>1281</v>
      </c>
      <c r="G34" s="149">
        <f t="shared" si="1"/>
        <v>-648252</v>
      </c>
      <c r="H34" s="156">
        <f>SUM(G22:G34)</f>
        <v>-4088361</v>
      </c>
      <c r="I34" s="13"/>
      <c r="L34" s="153" t="s">
        <v>283</v>
      </c>
      <c r="M34" s="159">
        <v>741582</v>
      </c>
      <c r="N34"/>
    </row>
    <row r="35" spans="1:14" s="10" customFormat="1" x14ac:dyDescent="0.5">
      <c r="A35" s="89">
        <v>-191179.64</v>
      </c>
      <c r="B35" s="222">
        <v>-168519.94</v>
      </c>
      <c r="C35" s="145" t="s">
        <v>1267</v>
      </c>
      <c r="D35" s="146" t="s">
        <v>292</v>
      </c>
      <c r="E35" s="149">
        <f t="shared" si="0"/>
        <v>-191180</v>
      </c>
      <c r="F35" s="7" t="s">
        <v>292</v>
      </c>
      <c r="G35" s="149">
        <f t="shared" si="1"/>
        <v>-168520</v>
      </c>
      <c r="H35" s="105"/>
      <c r="I35" s="97"/>
      <c r="L35"/>
      <c r="M35"/>
      <c r="N35"/>
    </row>
    <row r="36" spans="1:14" s="78" customFormat="1" x14ac:dyDescent="0.5">
      <c r="A36" s="89">
        <v>-192935.87</v>
      </c>
      <c r="B36" s="222">
        <v>-145053.37</v>
      </c>
      <c r="C36" s="133" t="s">
        <v>1100</v>
      </c>
      <c r="D36" s="12" t="s">
        <v>1101</v>
      </c>
      <c r="E36" s="149">
        <f t="shared" si="0"/>
        <v>-192936</v>
      </c>
      <c r="F36" s="7" t="s">
        <v>292</v>
      </c>
      <c r="G36" s="149">
        <f t="shared" si="1"/>
        <v>-145053</v>
      </c>
      <c r="H36" s="105"/>
      <c r="I36" s="97"/>
      <c r="J36" s="10"/>
      <c r="K36" s="10"/>
      <c r="L36"/>
      <c r="M36"/>
      <c r="N36"/>
    </row>
    <row r="37" spans="1:14" s="78" customFormat="1" x14ac:dyDescent="0.5">
      <c r="A37" s="89">
        <v>-126972.23</v>
      </c>
      <c r="B37" s="222">
        <v>-62884.58</v>
      </c>
      <c r="C37" s="133" t="s">
        <v>1102</v>
      </c>
      <c r="D37" s="12" t="s">
        <v>1103</v>
      </c>
      <c r="E37" s="149">
        <f t="shared" si="0"/>
        <v>-126972</v>
      </c>
      <c r="F37" s="7" t="s">
        <v>1280</v>
      </c>
      <c r="G37" s="149">
        <f t="shared" si="1"/>
        <v>-62885</v>
      </c>
      <c r="H37" s="79"/>
      <c r="I37" s="97"/>
      <c r="J37" s="10"/>
      <c r="K37" s="10"/>
      <c r="L37"/>
      <c r="M37"/>
      <c r="N37"/>
    </row>
    <row r="38" spans="1:14" s="10" customFormat="1" x14ac:dyDescent="0.5">
      <c r="A38" s="89">
        <v>-68201.37</v>
      </c>
      <c r="B38" s="222">
        <v>-56930.879999999997</v>
      </c>
      <c r="C38" s="133" t="s">
        <v>1104</v>
      </c>
      <c r="D38" s="12" t="s">
        <v>1105</v>
      </c>
      <c r="E38" s="149">
        <f t="shared" si="0"/>
        <v>-68201</v>
      </c>
      <c r="F38" s="7" t="s">
        <v>1279</v>
      </c>
      <c r="G38" s="149">
        <f t="shared" si="1"/>
        <v>-56931</v>
      </c>
      <c r="H38" s="79"/>
      <c r="I38" s="97"/>
      <c r="L38"/>
      <c r="M38"/>
      <c r="N38"/>
    </row>
    <row r="39" spans="1:14" s="10" customFormat="1" x14ac:dyDescent="0.5">
      <c r="A39" s="89">
        <v>-141641.47</v>
      </c>
      <c r="B39" s="222">
        <v>-117732.56</v>
      </c>
      <c r="C39" s="133" t="s">
        <v>1106</v>
      </c>
      <c r="D39" s="12" t="s">
        <v>1107</v>
      </c>
      <c r="E39" s="149">
        <f t="shared" ref="E39:E70" si="2">ROUND(A39,0)</f>
        <v>-141641</v>
      </c>
      <c r="F39" s="7" t="s">
        <v>1279</v>
      </c>
      <c r="G39" s="149">
        <f t="shared" si="1"/>
        <v>-117733</v>
      </c>
      <c r="H39" s="105"/>
      <c r="I39" s="97"/>
      <c r="L39"/>
      <c r="M39"/>
      <c r="N39"/>
    </row>
    <row r="40" spans="1:14" s="10" customFormat="1" ht="12.7" x14ac:dyDescent="0.4">
      <c r="A40" s="89">
        <v>-370057.86</v>
      </c>
      <c r="B40" s="222">
        <v>-293351.57</v>
      </c>
      <c r="C40" s="133" t="s">
        <v>1108</v>
      </c>
      <c r="D40" s="12" t="s">
        <v>1109</v>
      </c>
      <c r="E40" s="149">
        <f t="shared" si="2"/>
        <v>-370058</v>
      </c>
      <c r="F40" s="7" t="s">
        <v>1279</v>
      </c>
      <c r="G40" s="149">
        <f t="shared" si="1"/>
        <v>-293352</v>
      </c>
      <c r="H40" s="105"/>
      <c r="I40" s="97"/>
    </row>
    <row r="41" spans="1:14" s="10" customFormat="1" ht="12.7" x14ac:dyDescent="0.4">
      <c r="A41" s="89">
        <v>-7500</v>
      </c>
      <c r="B41" s="222">
        <v>0</v>
      </c>
      <c r="C41" s="133" t="s">
        <v>1110</v>
      </c>
      <c r="D41" s="12" t="s">
        <v>1111</v>
      </c>
      <c r="E41" s="149">
        <f t="shared" si="2"/>
        <v>-7500</v>
      </c>
      <c r="F41" s="7" t="s">
        <v>1279</v>
      </c>
      <c r="G41" s="149">
        <f t="shared" si="1"/>
        <v>0</v>
      </c>
      <c r="H41" s="105"/>
      <c r="I41" s="97"/>
    </row>
    <row r="42" spans="1:14" s="10" customFormat="1" ht="12.7" x14ac:dyDescent="0.4">
      <c r="A42" s="89">
        <v>-337.8</v>
      </c>
      <c r="B42" s="222">
        <v>0</v>
      </c>
      <c r="C42" s="133" t="s">
        <v>1112</v>
      </c>
      <c r="D42" s="12" t="s">
        <v>1113</v>
      </c>
      <c r="E42" s="149">
        <f t="shared" si="2"/>
        <v>-338</v>
      </c>
      <c r="F42" s="7" t="s">
        <v>1279</v>
      </c>
      <c r="G42" s="149">
        <f t="shared" si="1"/>
        <v>0</v>
      </c>
      <c r="H42" s="105"/>
      <c r="I42" s="97"/>
    </row>
    <row r="43" spans="1:14" s="10" customFormat="1" ht="12.7" x14ac:dyDescent="0.4">
      <c r="A43" s="89">
        <v>-0.13</v>
      </c>
      <c r="B43" s="222">
        <v>0</v>
      </c>
      <c r="C43" s="133" t="s">
        <v>1114</v>
      </c>
      <c r="D43" s="12" t="s">
        <v>1115</v>
      </c>
      <c r="E43" s="149">
        <f t="shared" si="2"/>
        <v>0</v>
      </c>
      <c r="F43" s="7" t="s">
        <v>1279</v>
      </c>
      <c r="G43" s="149">
        <f t="shared" si="1"/>
        <v>0</v>
      </c>
      <c r="H43" s="105"/>
      <c r="I43" s="97"/>
    </row>
    <row r="44" spans="1:14" s="10" customFormat="1" ht="12.7" x14ac:dyDescent="0.4">
      <c r="A44" s="89">
        <v>-56557.89</v>
      </c>
      <c r="B44" s="222">
        <v>-33630.550000000003</v>
      </c>
      <c r="C44" s="68" t="s">
        <v>1116</v>
      </c>
      <c r="D44" s="12" t="s">
        <v>1117</v>
      </c>
      <c r="E44" s="149">
        <f t="shared" si="2"/>
        <v>-56558</v>
      </c>
      <c r="F44" s="7" t="s">
        <v>1280</v>
      </c>
      <c r="G44" s="149">
        <f t="shared" si="1"/>
        <v>-33631</v>
      </c>
      <c r="H44" s="101"/>
      <c r="I44" s="97"/>
    </row>
    <row r="45" spans="1:14" s="10" customFormat="1" ht="12.7" x14ac:dyDescent="0.4">
      <c r="A45" s="89">
        <v>-13861.28</v>
      </c>
      <c r="B45" s="222">
        <v>-33012.370000000003</v>
      </c>
      <c r="C45" s="68" t="s">
        <v>1118</v>
      </c>
      <c r="D45" s="12" t="s">
        <v>1119</v>
      </c>
      <c r="E45" s="149">
        <f t="shared" si="2"/>
        <v>-13861</v>
      </c>
      <c r="F45" s="7" t="s">
        <v>1280</v>
      </c>
      <c r="G45" s="149">
        <f t="shared" si="1"/>
        <v>-33012</v>
      </c>
      <c r="H45" s="79"/>
      <c r="I45" s="97"/>
    </row>
    <row r="46" spans="1:14" s="10" customFormat="1" ht="12.7" x14ac:dyDescent="0.4">
      <c r="A46" s="89">
        <v>0</v>
      </c>
      <c r="B46" s="222">
        <v>-1551.18</v>
      </c>
      <c r="C46" s="133" t="s">
        <v>1120</v>
      </c>
      <c r="D46" s="12" t="s">
        <v>1121</v>
      </c>
      <c r="E46" s="149">
        <f t="shared" si="2"/>
        <v>0</v>
      </c>
      <c r="F46" s="7" t="s">
        <v>1279</v>
      </c>
      <c r="G46" s="149">
        <f t="shared" si="1"/>
        <v>-1551</v>
      </c>
      <c r="H46" s="105"/>
      <c r="I46" s="97"/>
    </row>
    <row r="47" spans="1:14" s="10" customFormat="1" ht="12.7" x14ac:dyDescent="0.4">
      <c r="A47" s="89">
        <v>-39186.269999999997</v>
      </c>
      <c r="B47" s="222">
        <v>-38315.919999999998</v>
      </c>
      <c r="C47" s="133" t="s">
        <v>1122</v>
      </c>
      <c r="D47" s="12" t="s">
        <v>1123</v>
      </c>
      <c r="E47" s="149">
        <f t="shared" si="2"/>
        <v>-39186</v>
      </c>
      <c r="F47" s="7" t="s">
        <v>1279</v>
      </c>
      <c r="G47" s="149">
        <f t="shared" si="1"/>
        <v>-38316</v>
      </c>
      <c r="H47" s="105"/>
      <c r="I47" s="97"/>
    </row>
    <row r="48" spans="1:14" s="10" customFormat="1" ht="12.7" x14ac:dyDescent="0.4">
      <c r="A48" s="89">
        <v>-499.25</v>
      </c>
      <c r="B48" s="222">
        <v>0</v>
      </c>
      <c r="C48" s="133" t="s">
        <v>1124</v>
      </c>
      <c r="D48" s="12" t="s">
        <v>1125</v>
      </c>
      <c r="E48" s="149">
        <f t="shared" si="2"/>
        <v>-499</v>
      </c>
      <c r="F48" s="7" t="s">
        <v>1279</v>
      </c>
      <c r="G48" s="149">
        <f t="shared" si="1"/>
        <v>0</v>
      </c>
      <c r="H48" s="105"/>
      <c r="I48" s="97"/>
    </row>
    <row r="49" spans="1:9" s="10" customFormat="1" ht="12.7" x14ac:dyDescent="0.4">
      <c r="A49" s="89">
        <v>-58669.75</v>
      </c>
      <c r="B49" s="222">
        <v>-55549.55</v>
      </c>
      <c r="C49" s="133" t="s">
        <v>1126</v>
      </c>
      <c r="D49" s="12" t="s">
        <v>1127</v>
      </c>
      <c r="E49" s="149">
        <f t="shared" si="2"/>
        <v>-58670</v>
      </c>
      <c r="F49" s="7" t="s">
        <v>1279</v>
      </c>
      <c r="G49" s="149">
        <f t="shared" si="1"/>
        <v>-55550</v>
      </c>
      <c r="H49" s="105"/>
      <c r="I49" s="97"/>
    </row>
    <row r="50" spans="1:9" s="10" customFormat="1" ht="12.7" x14ac:dyDescent="0.4">
      <c r="A50" s="89">
        <v>-27546.799999999999</v>
      </c>
      <c r="B50" s="222">
        <v>-29521.8</v>
      </c>
      <c r="C50" s="133" t="s">
        <v>1128</v>
      </c>
      <c r="D50" s="12" t="s">
        <v>1129</v>
      </c>
      <c r="E50" s="149">
        <f t="shared" si="2"/>
        <v>-27547</v>
      </c>
      <c r="F50" s="7" t="s">
        <v>292</v>
      </c>
      <c r="G50" s="149">
        <f t="shared" si="1"/>
        <v>-29522</v>
      </c>
      <c r="H50" s="105"/>
      <c r="I50" s="97"/>
    </row>
    <row r="51" spans="1:9" s="10" customFormat="1" ht="12.7" x14ac:dyDescent="0.4">
      <c r="A51" s="89">
        <v>-21357.46</v>
      </c>
      <c r="B51" s="222">
        <v>0</v>
      </c>
      <c r="C51" s="142" t="s">
        <v>1269</v>
      </c>
      <c r="D51" s="12" t="s">
        <v>1270</v>
      </c>
      <c r="E51" s="149">
        <f t="shared" si="2"/>
        <v>-21357</v>
      </c>
      <c r="F51" s="7" t="s">
        <v>292</v>
      </c>
      <c r="G51" s="149">
        <f t="shared" si="1"/>
        <v>0</v>
      </c>
      <c r="H51" s="105"/>
      <c r="I51" s="97"/>
    </row>
    <row r="52" spans="1:9" s="10" customFormat="1" ht="12.7" x14ac:dyDescent="0.4">
      <c r="A52" s="89">
        <v>-12139.75</v>
      </c>
      <c r="B52" s="222">
        <v>-9645.25</v>
      </c>
      <c r="C52" s="133" t="s">
        <v>1130</v>
      </c>
      <c r="D52" s="12" t="s">
        <v>1131</v>
      </c>
      <c r="E52" s="149">
        <f t="shared" si="2"/>
        <v>-12140</v>
      </c>
      <c r="F52" s="7" t="s">
        <v>292</v>
      </c>
      <c r="G52" s="149">
        <f t="shared" si="1"/>
        <v>-9645</v>
      </c>
      <c r="H52" s="105"/>
      <c r="I52" s="97"/>
    </row>
    <row r="53" spans="1:9" s="10" customFormat="1" ht="12.7" x14ac:dyDescent="0.4">
      <c r="A53" s="89">
        <v>-6578.94</v>
      </c>
      <c r="B53" s="222">
        <v>-313.89999999999998</v>
      </c>
      <c r="C53" s="133" t="s">
        <v>1132</v>
      </c>
      <c r="D53" s="12" t="s">
        <v>186</v>
      </c>
      <c r="E53" s="149">
        <f t="shared" si="2"/>
        <v>-6579</v>
      </c>
      <c r="F53" s="7" t="s">
        <v>292</v>
      </c>
      <c r="G53" s="149">
        <f t="shared" si="1"/>
        <v>-314</v>
      </c>
      <c r="H53" s="105"/>
      <c r="I53" s="97"/>
    </row>
    <row r="54" spans="1:9" s="10" customFormat="1" ht="12.7" x14ac:dyDescent="0.4">
      <c r="A54" s="89">
        <v>-6736.42</v>
      </c>
      <c r="B54" s="222">
        <v>-12510.38</v>
      </c>
      <c r="C54" s="133" t="s">
        <v>1133</v>
      </c>
      <c r="D54" s="12" t="s">
        <v>1134</v>
      </c>
      <c r="E54" s="149">
        <f t="shared" si="2"/>
        <v>-6736</v>
      </c>
      <c r="F54" s="7" t="s">
        <v>292</v>
      </c>
      <c r="G54" s="149">
        <f t="shared" si="1"/>
        <v>-12510</v>
      </c>
      <c r="H54" s="105"/>
      <c r="I54" s="97"/>
    </row>
    <row r="55" spans="1:9" s="10" customFormat="1" ht="12.7" x14ac:dyDescent="0.4">
      <c r="A55" s="89">
        <v>-22785.23</v>
      </c>
      <c r="B55" s="222">
        <v>-3818.33</v>
      </c>
      <c r="C55" s="133" t="s">
        <v>1135</v>
      </c>
      <c r="D55" s="12" t="s">
        <v>1136</v>
      </c>
      <c r="E55" s="149">
        <f t="shared" si="2"/>
        <v>-22785</v>
      </c>
      <c r="F55" s="7" t="s">
        <v>292</v>
      </c>
      <c r="G55" s="149">
        <f t="shared" si="1"/>
        <v>-3818</v>
      </c>
      <c r="H55" s="105"/>
      <c r="I55" s="97"/>
    </row>
    <row r="56" spans="1:9" s="10" customFormat="1" ht="12.7" x14ac:dyDescent="0.4">
      <c r="A56" s="89">
        <v>4197.25</v>
      </c>
      <c r="B56" s="222">
        <v>3741.25</v>
      </c>
      <c r="C56" s="133" t="s">
        <v>1137</v>
      </c>
      <c r="D56" s="12" t="s">
        <v>1138</v>
      </c>
      <c r="E56" s="149">
        <f t="shared" si="2"/>
        <v>4197</v>
      </c>
      <c r="F56" s="7" t="s">
        <v>292</v>
      </c>
      <c r="G56" s="149">
        <f t="shared" si="1"/>
        <v>3741</v>
      </c>
      <c r="H56" s="105"/>
      <c r="I56" s="97"/>
    </row>
    <row r="57" spans="1:9" s="10" customFormat="1" ht="12.7" x14ac:dyDescent="0.4">
      <c r="A57" s="89">
        <v>-12367.75</v>
      </c>
      <c r="B57" s="222">
        <v>-2921.66</v>
      </c>
      <c r="C57" s="133" t="s">
        <v>1139</v>
      </c>
      <c r="D57" s="12" t="s">
        <v>1140</v>
      </c>
      <c r="E57" s="149">
        <f t="shared" si="2"/>
        <v>-12368</v>
      </c>
      <c r="F57" s="7" t="s">
        <v>292</v>
      </c>
      <c r="G57" s="149">
        <f t="shared" si="1"/>
        <v>-2922</v>
      </c>
      <c r="H57" s="105"/>
      <c r="I57" s="97"/>
    </row>
    <row r="58" spans="1:9" s="10" customFormat="1" ht="12.7" x14ac:dyDescent="0.4">
      <c r="A58" s="89">
        <v>0</v>
      </c>
      <c r="B58" s="222">
        <v>0</v>
      </c>
      <c r="C58" s="133" t="s">
        <v>1238</v>
      </c>
      <c r="D58" s="12" t="s">
        <v>1251</v>
      </c>
      <c r="E58" s="149">
        <f t="shared" si="2"/>
        <v>0</v>
      </c>
      <c r="F58" s="7" t="s">
        <v>1282</v>
      </c>
      <c r="G58" s="149">
        <f t="shared" si="1"/>
        <v>0</v>
      </c>
      <c r="H58" s="105"/>
      <c r="I58" s="97"/>
    </row>
    <row r="59" spans="1:9" s="10" customFormat="1" ht="12.7" x14ac:dyDescent="0.4">
      <c r="A59" s="89">
        <v>-8557.3799999999992</v>
      </c>
      <c r="B59" s="222">
        <v>-8221.94</v>
      </c>
      <c r="C59" s="133" t="s">
        <v>1141</v>
      </c>
      <c r="D59" s="12" t="s">
        <v>1142</v>
      </c>
      <c r="E59" s="149">
        <f t="shared" si="2"/>
        <v>-8557</v>
      </c>
      <c r="F59" s="7" t="s">
        <v>292</v>
      </c>
      <c r="G59" s="149">
        <f t="shared" si="1"/>
        <v>-8222</v>
      </c>
      <c r="H59" s="105"/>
      <c r="I59" s="97"/>
    </row>
    <row r="60" spans="1:9" s="10" customFormat="1" ht="12.7" x14ac:dyDescent="0.4">
      <c r="A60" s="89">
        <v>-445399.59</v>
      </c>
      <c r="B60" s="222">
        <v>-594831.11</v>
      </c>
      <c r="C60" s="133" t="s">
        <v>1143</v>
      </c>
      <c r="D60" s="12" t="s">
        <v>1144</v>
      </c>
      <c r="E60" s="149">
        <f t="shared" si="2"/>
        <v>-445400</v>
      </c>
      <c r="F60" s="7" t="s">
        <v>1282</v>
      </c>
      <c r="G60" s="149">
        <f t="shared" si="1"/>
        <v>-594831</v>
      </c>
      <c r="H60" s="105"/>
      <c r="I60" s="97"/>
    </row>
    <row r="61" spans="1:9" s="10" customFormat="1" ht="12.7" x14ac:dyDescent="0.4">
      <c r="A61" s="89">
        <v>-566837.91</v>
      </c>
      <c r="B61" s="222">
        <v>0</v>
      </c>
      <c r="C61" s="142" t="s">
        <v>1275</v>
      </c>
      <c r="D61" s="12" t="s">
        <v>1276</v>
      </c>
      <c r="E61" s="149">
        <f t="shared" si="2"/>
        <v>-566838</v>
      </c>
      <c r="F61" s="7" t="s">
        <v>1283</v>
      </c>
      <c r="G61" s="149">
        <f t="shared" si="1"/>
        <v>0</v>
      </c>
      <c r="H61" s="105"/>
      <c r="I61" s="97"/>
    </row>
    <row r="62" spans="1:9" s="10" customFormat="1" ht="12.7" x14ac:dyDescent="0.4">
      <c r="A62" s="89">
        <v>-5114.45</v>
      </c>
      <c r="B62" s="222">
        <v>-19425.72</v>
      </c>
      <c r="C62" s="133" t="s">
        <v>1145</v>
      </c>
      <c r="D62" s="12" t="s">
        <v>1146</v>
      </c>
      <c r="E62" s="149">
        <f t="shared" si="2"/>
        <v>-5114</v>
      </c>
      <c r="F62" s="7" t="s">
        <v>1282</v>
      </c>
      <c r="G62" s="149">
        <f t="shared" si="1"/>
        <v>-19426</v>
      </c>
      <c r="H62" s="105"/>
      <c r="I62" s="97"/>
    </row>
    <row r="63" spans="1:9" s="10" customFormat="1" ht="12.7" x14ac:dyDescent="0.4">
      <c r="A63" s="89">
        <v>-2300</v>
      </c>
      <c r="B63" s="222">
        <v>0</v>
      </c>
      <c r="C63" s="133" t="s">
        <v>1147</v>
      </c>
      <c r="D63" s="12" t="s">
        <v>1148</v>
      </c>
      <c r="E63" s="149">
        <f t="shared" si="2"/>
        <v>-2300</v>
      </c>
      <c r="F63" s="7" t="s">
        <v>1282</v>
      </c>
      <c r="G63" s="149">
        <f t="shared" si="1"/>
        <v>0</v>
      </c>
      <c r="H63" s="105"/>
      <c r="I63" s="97"/>
    </row>
    <row r="64" spans="1:9" s="10" customFormat="1" ht="12.7" x14ac:dyDescent="0.4">
      <c r="A64" s="89">
        <v>-13289.31</v>
      </c>
      <c r="B64" s="222">
        <v>-3987.67</v>
      </c>
      <c r="C64" s="125" t="s">
        <v>1149</v>
      </c>
      <c r="D64" s="125" t="s">
        <v>204</v>
      </c>
      <c r="E64" s="149">
        <f t="shared" si="2"/>
        <v>-13289</v>
      </c>
      <c r="F64" s="7" t="s">
        <v>292</v>
      </c>
      <c r="G64" s="149">
        <f t="shared" si="1"/>
        <v>-3988</v>
      </c>
      <c r="H64" s="105"/>
      <c r="I64" s="97"/>
    </row>
    <row r="65" spans="1:9" s="10" customFormat="1" ht="12.7" x14ac:dyDescent="0.4">
      <c r="A65" s="89">
        <v>-160182.76</v>
      </c>
      <c r="B65" s="222">
        <v>-128915.83</v>
      </c>
      <c r="C65" s="133" t="s">
        <v>1150</v>
      </c>
      <c r="D65" s="12" t="s">
        <v>1151</v>
      </c>
      <c r="E65" s="149">
        <f t="shared" si="2"/>
        <v>-160183</v>
      </c>
      <c r="F65" s="7" t="s">
        <v>292</v>
      </c>
      <c r="G65" s="149">
        <f t="shared" si="1"/>
        <v>-128916</v>
      </c>
      <c r="H65" s="105"/>
      <c r="I65" s="97"/>
    </row>
    <row r="66" spans="1:9" s="10" customFormat="1" ht="12.7" x14ac:dyDescent="0.4">
      <c r="A66" s="89">
        <v>-82022.490000000005</v>
      </c>
      <c r="B66" s="222">
        <v>-26321.15</v>
      </c>
      <c r="C66" s="133" t="s">
        <v>1152</v>
      </c>
      <c r="D66" s="12" t="s">
        <v>1153</v>
      </c>
      <c r="E66" s="149">
        <f t="shared" si="2"/>
        <v>-82022</v>
      </c>
      <c r="F66" s="7" t="s">
        <v>292</v>
      </c>
      <c r="G66" s="149">
        <f t="shared" si="1"/>
        <v>-26321</v>
      </c>
      <c r="H66" s="105"/>
      <c r="I66" s="97"/>
    </row>
    <row r="67" spans="1:9" s="10" customFormat="1" ht="12.7" x14ac:dyDescent="0.4">
      <c r="A67" s="89">
        <v>-855.83</v>
      </c>
      <c r="B67" s="222">
        <v>-227.73</v>
      </c>
      <c r="C67" s="133" t="s">
        <v>1154</v>
      </c>
      <c r="D67" s="12" t="s">
        <v>210</v>
      </c>
      <c r="E67" s="149">
        <f t="shared" si="2"/>
        <v>-856</v>
      </c>
      <c r="F67" s="7" t="s">
        <v>292</v>
      </c>
      <c r="G67" s="149">
        <f t="shared" si="1"/>
        <v>-228</v>
      </c>
      <c r="H67" s="105"/>
      <c r="I67" s="97"/>
    </row>
    <row r="68" spans="1:9" s="10" customFormat="1" ht="12.7" x14ac:dyDescent="0.4">
      <c r="A68" s="89">
        <v>-4627</v>
      </c>
      <c r="B68" s="222">
        <v>-7400</v>
      </c>
      <c r="C68" s="133" t="s">
        <v>1155</v>
      </c>
      <c r="D68" s="12" t="s">
        <v>1156</v>
      </c>
      <c r="E68" s="149">
        <f t="shared" si="2"/>
        <v>-4627</v>
      </c>
      <c r="F68" s="7" t="s">
        <v>292</v>
      </c>
      <c r="G68" s="149">
        <f t="shared" si="1"/>
        <v>-7400</v>
      </c>
      <c r="H68" s="105"/>
      <c r="I68" s="97"/>
    </row>
    <row r="69" spans="1:9" s="10" customFormat="1" ht="12.7" x14ac:dyDescent="0.4">
      <c r="A69" s="89">
        <v>-26.97</v>
      </c>
      <c r="B69" s="222">
        <v>-777.37</v>
      </c>
      <c r="C69" s="133" t="s">
        <v>1157</v>
      </c>
      <c r="D69" s="12" t="s">
        <v>1158</v>
      </c>
      <c r="E69" s="149">
        <f t="shared" si="2"/>
        <v>-27</v>
      </c>
      <c r="F69" s="7" t="s">
        <v>292</v>
      </c>
      <c r="G69" s="149">
        <f t="shared" si="1"/>
        <v>-777</v>
      </c>
      <c r="H69" s="105"/>
      <c r="I69" s="97"/>
    </row>
    <row r="70" spans="1:9" s="10" customFormat="1" ht="12.7" x14ac:dyDescent="0.4">
      <c r="A70" s="89">
        <v>36008.1</v>
      </c>
      <c r="B70" s="222">
        <v>-50100.34</v>
      </c>
      <c r="C70" s="133" t="s">
        <v>1159</v>
      </c>
      <c r="D70" s="12" t="s">
        <v>181</v>
      </c>
      <c r="E70" s="149">
        <f t="shared" si="2"/>
        <v>36008</v>
      </c>
      <c r="F70" s="7" t="s">
        <v>1278</v>
      </c>
      <c r="G70" s="149">
        <f t="shared" si="1"/>
        <v>-50100</v>
      </c>
      <c r="H70" s="105"/>
      <c r="I70" s="97"/>
    </row>
    <row r="71" spans="1:9" s="10" customFormat="1" ht="12.7" x14ac:dyDescent="0.4">
      <c r="A71" s="89">
        <v>-11730.06</v>
      </c>
      <c r="B71" s="222">
        <v>-10679.04</v>
      </c>
      <c r="C71" s="125" t="s">
        <v>1160</v>
      </c>
      <c r="D71" s="125" t="s">
        <v>203</v>
      </c>
      <c r="E71" s="149">
        <f t="shared" ref="E71:E102" si="3">ROUND(A71,0)</f>
        <v>-11730</v>
      </c>
      <c r="F71" s="7" t="s">
        <v>292</v>
      </c>
      <c r="G71" s="149">
        <f t="shared" si="1"/>
        <v>-10679</v>
      </c>
      <c r="H71" s="105"/>
      <c r="I71" s="97"/>
    </row>
    <row r="72" spans="1:9" s="10" customFormat="1" ht="12.7" x14ac:dyDescent="0.4">
      <c r="A72" s="89">
        <v>-6559.49</v>
      </c>
      <c r="B72" s="222">
        <v>-7010.22</v>
      </c>
      <c r="C72" s="133" t="s">
        <v>1161</v>
      </c>
      <c r="D72" s="12" t="s">
        <v>1162</v>
      </c>
      <c r="E72" s="149">
        <f t="shared" si="3"/>
        <v>-6559</v>
      </c>
      <c r="F72" s="7" t="s">
        <v>292</v>
      </c>
      <c r="G72" s="149">
        <f t="shared" ref="G72:G111" si="4">ROUND(B72,0)</f>
        <v>-7010</v>
      </c>
      <c r="H72" s="105"/>
      <c r="I72" s="97"/>
    </row>
    <row r="73" spans="1:9" s="10" customFormat="1" ht="12.7" x14ac:dyDescent="0.4">
      <c r="A73" s="89">
        <v>-18913.09</v>
      </c>
      <c r="B73" s="222">
        <v>-18129.32</v>
      </c>
      <c r="C73" s="133" t="s">
        <v>1163</v>
      </c>
      <c r="D73" s="12" t="s">
        <v>250</v>
      </c>
      <c r="E73" s="149">
        <f t="shared" si="3"/>
        <v>-18913</v>
      </c>
      <c r="F73" s="7" t="s">
        <v>1280</v>
      </c>
      <c r="G73" s="149">
        <f t="shared" si="4"/>
        <v>-18129</v>
      </c>
      <c r="H73" s="105"/>
      <c r="I73" s="97"/>
    </row>
    <row r="74" spans="1:9" s="10" customFormat="1" ht="12.7" x14ac:dyDescent="0.4">
      <c r="A74" s="89">
        <v>-33999.550000000003</v>
      </c>
      <c r="B74" s="222">
        <v>-22863.3</v>
      </c>
      <c r="C74" s="133" t="s">
        <v>1164</v>
      </c>
      <c r="D74" s="12" t="s">
        <v>1165</v>
      </c>
      <c r="E74" s="149">
        <f t="shared" si="3"/>
        <v>-34000</v>
      </c>
      <c r="F74" s="7" t="s">
        <v>1280</v>
      </c>
      <c r="G74" s="149">
        <f t="shared" si="4"/>
        <v>-22863</v>
      </c>
      <c r="H74" s="105"/>
      <c r="I74" s="97"/>
    </row>
    <row r="75" spans="1:9" s="10" customFormat="1" ht="12.7" x14ac:dyDescent="0.4">
      <c r="A75" s="89">
        <v>-48862.96</v>
      </c>
      <c r="B75" s="222">
        <v>-47573.55</v>
      </c>
      <c r="C75" s="133" t="s">
        <v>1166</v>
      </c>
      <c r="D75" s="12" t="s">
        <v>1167</v>
      </c>
      <c r="E75" s="149">
        <f t="shared" si="3"/>
        <v>-48863</v>
      </c>
      <c r="F75" s="7" t="s">
        <v>1280</v>
      </c>
      <c r="G75" s="149">
        <f t="shared" si="4"/>
        <v>-47574</v>
      </c>
      <c r="H75" s="105"/>
      <c r="I75" s="97"/>
    </row>
    <row r="76" spans="1:9" s="10" customFormat="1" ht="12.7" x14ac:dyDescent="0.4">
      <c r="A76" s="89">
        <v>-1279.6400000000001</v>
      </c>
      <c r="B76" s="222">
        <v>-5091.45</v>
      </c>
      <c r="C76" s="133" t="s">
        <v>1168</v>
      </c>
      <c r="D76" s="12" t="s">
        <v>1169</v>
      </c>
      <c r="E76" s="149">
        <f t="shared" si="3"/>
        <v>-1280</v>
      </c>
      <c r="F76" s="7" t="s">
        <v>1280</v>
      </c>
      <c r="G76" s="149">
        <f t="shared" si="4"/>
        <v>-5091</v>
      </c>
      <c r="H76" s="105"/>
      <c r="I76" s="97"/>
    </row>
    <row r="77" spans="1:9" s="10" customFormat="1" ht="12.7" x14ac:dyDescent="0.4">
      <c r="A77" s="89">
        <v>-5971.97</v>
      </c>
      <c r="B77" s="222">
        <v>-3390.2</v>
      </c>
      <c r="C77" s="133" t="s">
        <v>1170</v>
      </c>
      <c r="D77" s="12" t="s">
        <v>1171</v>
      </c>
      <c r="E77" s="149">
        <f t="shared" si="3"/>
        <v>-5972</v>
      </c>
      <c r="F77" s="7" t="s">
        <v>292</v>
      </c>
      <c r="G77" s="149">
        <f t="shared" si="4"/>
        <v>-3390</v>
      </c>
      <c r="H77" s="105"/>
      <c r="I77" s="97"/>
    </row>
    <row r="78" spans="1:9" s="10" customFormat="1" ht="12.7" x14ac:dyDescent="0.4">
      <c r="A78" s="89">
        <v>-24158.79</v>
      </c>
      <c r="B78" s="222">
        <v>-34967.93</v>
      </c>
      <c r="C78" s="133" t="s">
        <v>1172</v>
      </c>
      <c r="D78" s="12" t="s">
        <v>1173</v>
      </c>
      <c r="E78" s="149">
        <f t="shared" si="3"/>
        <v>-24159</v>
      </c>
      <c r="F78" s="7" t="s">
        <v>1279</v>
      </c>
      <c r="G78" s="149">
        <f t="shared" si="4"/>
        <v>-34968</v>
      </c>
      <c r="H78" s="105"/>
      <c r="I78" s="97"/>
    </row>
    <row r="79" spans="1:9" s="10" customFormat="1" ht="12.7" x14ac:dyDescent="0.4">
      <c r="A79" s="89">
        <v>-570</v>
      </c>
      <c r="B79" s="222">
        <v>-57</v>
      </c>
      <c r="C79" s="133" t="s">
        <v>1174</v>
      </c>
      <c r="D79" s="12" t="s">
        <v>1175</v>
      </c>
      <c r="E79" s="149">
        <f t="shared" si="3"/>
        <v>-570</v>
      </c>
      <c r="F79" s="7" t="s">
        <v>292</v>
      </c>
      <c r="G79" s="149">
        <f t="shared" si="4"/>
        <v>-57</v>
      </c>
      <c r="H79" s="105"/>
      <c r="I79" s="97"/>
    </row>
    <row r="80" spans="1:9" s="10" customFormat="1" ht="12.7" x14ac:dyDescent="0.4">
      <c r="A80" s="89">
        <v>-1458</v>
      </c>
      <c r="B80" s="222">
        <v>-6214.91</v>
      </c>
      <c r="C80" s="133" t="s">
        <v>1176</v>
      </c>
      <c r="D80" s="12" t="s">
        <v>1177</v>
      </c>
      <c r="E80" s="149">
        <f t="shared" si="3"/>
        <v>-1458</v>
      </c>
      <c r="F80" s="7" t="s">
        <v>1281</v>
      </c>
      <c r="G80" s="149">
        <f t="shared" si="4"/>
        <v>-6215</v>
      </c>
      <c r="H80" s="105"/>
      <c r="I80" s="97"/>
    </row>
    <row r="81" spans="1:9" s="10" customFormat="1" ht="12.7" x14ac:dyDescent="0.4">
      <c r="A81" s="89">
        <v>0</v>
      </c>
      <c r="B81" s="222">
        <v>-3999.16</v>
      </c>
      <c r="C81" s="133" t="s">
        <v>1178</v>
      </c>
      <c r="D81" s="12" t="s">
        <v>1179</v>
      </c>
      <c r="E81" s="149">
        <f t="shared" si="3"/>
        <v>0</v>
      </c>
      <c r="F81" s="7" t="s">
        <v>292</v>
      </c>
      <c r="G81" s="149">
        <f t="shared" si="4"/>
        <v>-3999</v>
      </c>
      <c r="H81" s="105"/>
      <c r="I81" s="97"/>
    </row>
    <row r="82" spans="1:9" s="10" customFormat="1" ht="12.7" x14ac:dyDescent="0.4">
      <c r="A82" s="89">
        <v>-830</v>
      </c>
      <c r="B82" s="222">
        <v>-20664.55</v>
      </c>
      <c r="C82" s="133" t="s">
        <v>1180</v>
      </c>
      <c r="D82" s="12" t="s">
        <v>1181</v>
      </c>
      <c r="E82" s="149">
        <f t="shared" si="3"/>
        <v>-830</v>
      </c>
      <c r="F82" s="7" t="s">
        <v>1279</v>
      </c>
      <c r="G82" s="149">
        <f t="shared" si="4"/>
        <v>-20665</v>
      </c>
      <c r="H82" s="105"/>
      <c r="I82" s="97"/>
    </row>
    <row r="83" spans="1:9" s="10" customFormat="1" ht="12.7" x14ac:dyDescent="0.4">
      <c r="A83" s="89">
        <v>-88200</v>
      </c>
      <c r="B83" s="222">
        <v>-78400</v>
      </c>
      <c r="C83" s="125" t="s">
        <v>1182</v>
      </c>
      <c r="D83" s="125" t="s">
        <v>1183</v>
      </c>
      <c r="E83" s="149">
        <f t="shared" si="3"/>
        <v>-88200</v>
      </c>
      <c r="F83" s="7" t="s">
        <v>1279</v>
      </c>
      <c r="G83" s="149">
        <f t="shared" si="4"/>
        <v>-78400</v>
      </c>
      <c r="H83" s="105"/>
      <c r="I83" s="97"/>
    </row>
    <row r="84" spans="1:9" s="10" customFormat="1" ht="12.7" x14ac:dyDescent="0.4">
      <c r="A84" s="89">
        <v>-7748.85</v>
      </c>
      <c r="B84" s="222">
        <v>-7177.66</v>
      </c>
      <c r="C84" s="133" t="s">
        <v>1184</v>
      </c>
      <c r="D84" s="12" t="s">
        <v>1185</v>
      </c>
      <c r="E84" s="149">
        <f t="shared" si="3"/>
        <v>-7749</v>
      </c>
      <c r="F84" s="7" t="s">
        <v>292</v>
      </c>
      <c r="G84" s="149">
        <f t="shared" si="4"/>
        <v>-7178</v>
      </c>
      <c r="H84" s="105"/>
      <c r="I84" s="97"/>
    </row>
    <row r="85" spans="1:9" s="10" customFormat="1" ht="12.7" x14ac:dyDescent="0.4">
      <c r="A85" s="89">
        <v>-27583.18</v>
      </c>
      <c r="B85" s="222">
        <v>-14822.17</v>
      </c>
      <c r="C85" s="133" t="s">
        <v>1186</v>
      </c>
      <c r="D85" s="12" t="s">
        <v>252</v>
      </c>
      <c r="E85" s="149">
        <f t="shared" si="3"/>
        <v>-27583</v>
      </c>
      <c r="F85" s="7" t="s">
        <v>1279</v>
      </c>
      <c r="G85" s="149">
        <f t="shared" si="4"/>
        <v>-14822</v>
      </c>
      <c r="H85" s="105"/>
      <c r="I85" s="97"/>
    </row>
    <row r="86" spans="1:9" s="10" customFormat="1" ht="12.7" x14ac:dyDescent="0.4">
      <c r="A86" s="89">
        <v>-5563.04</v>
      </c>
      <c r="B86" s="222">
        <v>-16256.31</v>
      </c>
      <c r="C86" s="133" t="s">
        <v>1187</v>
      </c>
      <c r="D86" s="12" t="s">
        <v>1188</v>
      </c>
      <c r="E86" s="149">
        <f t="shared" si="3"/>
        <v>-5563</v>
      </c>
      <c r="F86" s="7" t="s">
        <v>292</v>
      </c>
      <c r="G86" s="149">
        <f t="shared" si="4"/>
        <v>-16256</v>
      </c>
      <c r="H86" s="105"/>
      <c r="I86" s="97"/>
    </row>
    <row r="87" spans="1:9" s="10" customFormat="1" ht="12.7" x14ac:dyDescent="0.4">
      <c r="A87" s="89">
        <v>-1958.55</v>
      </c>
      <c r="B87" s="222">
        <v>-1279.56</v>
      </c>
      <c r="C87" s="133" t="s">
        <v>1189</v>
      </c>
      <c r="D87" s="12" t="s">
        <v>220</v>
      </c>
      <c r="E87" s="149">
        <f t="shared" si="3"/>
        <v>-1959</v>
      </c>
      <c r="F87" s="7" t="s">
        <v>292</v>
      </c>
      <c r="G87" s="149">
        <f t="shared" si="4"/>
        <v>-1280</v>
      </c>
      <c r="H87" s="105"/>
      <c r="I87" s="97"/>
    </row>
    <row r="88" spans="1:9" s="10" customFormat="1" ht="12.7" x14ac:dyDescent="0.4">
      <c r="A88" s="89">
        <v>-357</v>
      </c>
      <c r="B88" s="222">
        <v>-1359</v>
      </c>
      <c r="C88" s="133" t="s">
        <v>1190</v>
      </c>
      <c r="D88" s="12" t="s">
        <v>1191</v>
      </c>
      <c r="E88" s="149">
        <f t="shared" si="3"/>
        <v>-357</v>
      </c>
      <c r="F88" s="7" t="s">
        <v>292</v>
      </c>
      <c r="G88" s="149">
        <f t="shared" si="4"/>
        <v>-1359</v>
      </c>
      <c r="H88" s="105"/>
      <c r="I88" s="97"/>
    </row>
    <row r="89" spans="1:9" s="10" customFormat="1" ht="12.7" x14ac:dyDescent="0.4">
      <c r="A89" s="89">
        <v>-9676.36</v>
      </c>
      <c r="B89" s="222">
        <v>-7344.32</v>
      </c>
      <c r="C89" s="133" t="s">
        <v>1192</v>
      </c>
      <c r="D89" s="12" t="s">
        <v>1193</v>
      </c>
      <c r="E89" s="149">
        <f t="shared" si="3"/>
        <v>-9676</v>
      </c>
      <c r="F89" s="7" t="s">
        <v>1279</v>
      </c>
      <c r="G89" s="149">
        <f t="shared" si="4"/>
        <v>-7344</v>
      </c>
      <c r="H89" s="105"/>
      <c r="I89" s="97"/>
    </row>
    <row r="90" spans="1:9" s="10" customFormat="1" ht="12.7" x14ac:dyDescent="0.4">
      <c r="A90" s="89">
        <v>-131217.95000000001</v>
      </c>
      <c r="B90" s="222">
        <v>-124324.66</v>
      </c>
      <c r="C90" s="133" t="s">
        <v>1194</v>
      </c>
      <c r="D90" s="12" t="s">
        <v>1195</v>
      </c>
      <c r="E90" s="149">
        <f t="shared" si="3"/>
        <v>-131218</v>
      </c>
      <c r="F90" s="7" t="s">
        <v>1279</v>
      </c>
      <c r="G90" s="149">
        <f t="shared" si="4"/>
        <v>-124325</v>
      </c>
      <c r="H90" s="105"/>
      <c r="I90" s="97"/>
    </row>
    <row r="91" spans="1:9" s="10" customFormat="1" ht="12.7" x14ac:dyDescent="0.4">
      <c r="A91" s="89">
        <v>-13994.57</v>
      </c>
      <c r="B91" s="222">
        <v>-10407.07</v>
      </c>
      <c r="C91" s="133" t="s">
        <v>1196</v>
      </c>
      <c r="D91" s="12" t="s">
        <v>1197</v>
      </c>
      <c r="E91" s="149">
        <f t="shared" si="3"/>
        <v>-13995</v>
      </c>
      <c r="F91" s="7" t="s">
        <v>1279</v>
      </c>
      <c r="G91" s="149">
        <f t="shared" si="4"/>
        <v>-10407</v>
      </c>
      <c r="H91" s="105"/>
      <c r="I91" s="97"/>
    </row>
    <row r="92" spans="1:9" s="10" customFormat="1" ht="12.7" x14ac:dyDescent="0.4">
      <c r="A92" s="89">
        <v>-15021.36</v>
      </c>
      <c r="B92" s="222">
        <v>-12987.36</v>
      </c>
      <c r="C92" s="133" t="s">
        <v>1198</v>
      </c>
      <c r="D92" s="12" t="s">
        <v>1199</v>
      </c>
      <c r="E92" s="149">
        <f t="shared" si="3"/>
        <v>-15021</v>
      </c>
      <c r="F92" s="7" t="s">
        <v>1279</v>
      </c>
      <c r="G92" s="149">
        <f t="shared" si="4"/>
        <v>-12987</v>
      </c>
      <c r="H92" s="105"/>
      <c r="I92" s="97"/>
    </row>
    <row r="93" spans="1:9" s="10" customFormat="1" ht="12.7" x14ac:dyDescent="0.4">
      <c r="A93" s="89">
        <v>-4355.12</v>
      </c>
      <c r="B93" s="222">
        <v>-9468.09</v>
      </c>
      <c r="C93" s="133" t="s">
        <v>1200</v>
      </c>
      <c r="D93" s="12" t="s">
        <v>1201</v>
      </c>
      <c r="E93" s="149">
        <f t="shared" si="3"/>
        <v>-4355</v>
      </c>
      <c r="F93" s="7" t="s">
        <v>1279</v>
      </c>
      <c r="G93" s="149">
        <f t="shared" si="4"/>
        <v>-9468</v>
      </c>
      <c r="H93" s="105"/>
      <c r="I93" s="97"/>
    </row>
    <row r="94" spans="1:9" s="10" customFormat="1" ht="12.7" x14ac:dyDescent="0.4">
      <c r="A94" s="89">
        <v>-26359.89</v>
      </c>
      <c r="B94" s="222">
        <v>-16357.25</v>
      </c>
      <c r="C94" s="133" t="s">
        <v>1202</v>
      </c>
      <c r="D94" s="12" t="s">
        <v>1203</v>
      </c>
      <c r="E94" s="149">
        <f t="shared" si="3"/>
        <v>-26360</v>
      </c>
      <c r="F94" s="7" t="s">
        <v>1279</v>
      </c>
      <c r="G94" s="149">
        <f t="shared" si="4"/>
        <v>-16357</v>
      </c>
      <c r="H94" s="105"/>
      <c r="I94" s="97"/>
    </row>
    <row r="95" spans="1:9" s="10" customFormat="1" ht="12.7" x14ac:dyDescent="0.4">
      <c r="A95" s="89">
        <v>-13584.08</v>
      </c>
      <c r="B95" s="222">
        <v>6026.86</v>
      </c>
      <c r="C95" s="133" t="s">
        <v>1204</v>
      </c>
      <c r="D95" s="12" t="s">
        <v>1205</v>
      </c>
      <c r="E95" s="149">
        <f t="shared" si="3"/>
        <v>-13584</v>
      </c>
      <c r="F95" s="7" t="s">
        <v>1279</v>
      </c>
      <c r="G95" s="149">
        <f t="shared" si="4"/>
        <v>6027</v>
      </c>
      <c r="H95" s="105"/>
      <c r="I95" s="97"/>
    </row>
    <row r="96" spans="1:9" s="10" customFormat="1" ht="12.7" x14ac:dyDescent="0.4">
      <c r="A96" s="89">
        <v>-25651.34</v>
      </c>
      <c r="B96" s="222">
        <v>-10813.26</v>
      </c>
      <c r="C96" s="133" t="s">
        <v>1206</v>
      </c>
      <c r="D96" s="12" t="s">
        <v>1207</v>
      </c>
      <c r="E96" s="149">
        <f t="shared" si="3"/>
        <v>-25651</v>
      </c>
      <c r="F96" s="7" t="s">
        <v>1279</v>
      </c>
      <c r="G96" s="149">
        <f t="shared" si="4"/>
        <v>-10813</v>
      </c>
      <c r="H96" s="151">
        <f>SUM(E35:E98)</f>
        <v>-3447241</v>
      </c>
      <c r="I96" s="97"/>
    </row>
    <row r="97" spans="1:12" s="10" customFormat="1" ht="12.7" x14ac:dyDescent="0.4">
      <c r="A97" s="89">
        <v>-295255.90000000002</v>
      </c>
      <c r="B97" s="222">
        <v>-241645.7</v>
      </c>
      <c r="C97" s="133" t="s">
        <v>1208</v>
      </c>
      <c r="D97" s="12" t="s">
        <v>1209</v>
      </c>
      <c r="E97" s="149">
        <f t="shared" si="3"/>
        <v>-295256</v>
      </c>
      <c r="F97" s="7" t="s">
        <v>1279</v>
      </c>
      <c r="G97" s="149">
        <f t="shared" si="4"/>
        <v>-241646</v>
      </c>
      <c r="H97" s="156">
        <f>SUM(G35:G98)</f>
        <v>-2628988</v>
      </c>
      <c r="I97" s="97"/>
    </row>
    <row r="98" spans="1:12" s="10" customFormat="1" x14ac:dyDescent="0.5">
      <c r="A98" s="89">
        <v>-259.97000000000003</v>
      </c>
      <c r="B98" s="135">
        <v>0</v>
      </c>
      <c r="C98" s="142" t="s">
        <v>1271</v>
      </c>
      <c r="D98" s="12" t="s">
        <v>1272</v>
      </c>
      <c r="E98" s="149">
        <f t="shared" si="3"/>
        <v>-260</v>
      </c>
      <c r="F98" s="7" t="s">
        <v>1279</v>
      </c>
      <c r="G98" s="149">
        <f t="shared" si="4"/>
        <v>0</v>
      </c>
      <c r="H98" s="105"/>
      <c r="I98" s="97"/>
    </row>
    <row r="99" spans="1:12" s="10" customFormat="1" ht="12.7" x14ac:dyDescent="0.4">
      <c r="A99" s="89">
        <v>1762.09</v>
      </c>
      <c r="B99" s="89">
        <v>15603.41</v>
      </c>
      <c r="C99" s="133" t="s">
        <v>1210</v>
      </c>
      <c r="D99" s="12" t="s">
        <v>1211</v>
      </c>
      <c r="E99" s="149">
        <f t="shared" si="3"/>
        <v>1762</v>
      </c>
      <c r="F99" s="7" t="s">
        <v>1285</v>
      </c>
      <c r="G99" s="149">
        <f t="shared" si="4"/>
        <v>15603</v>
      </c>
      <c r="H99" s="105"/>
      <c r="I99" s="97"/>
    </row>
    <row r="100" spans="1:12" s="10" customFormat="1" ht="12.7" x14ac:dyDescent="0.4">
      <c r="A100" s="89">
        <v>51533.72</v>
      </c>
      <c r="B100" s="89">
        <v>114396.59</v>
      </c>
      <c r="C100" s="133" t="s">
        <v>1212</v>
      </c>
      <c r="D100" s="12" t="s">
        <v>161</v>
      </c>
      <c r="E100" s="149">
        <f t="shared" si="3"/>
        <v>51534</v>
      </c>
      <c r="F100" s="7" t="s">
        <v>161</v>
      </c>
      <c r="G100" s="149">
        <f t="shared" si="4"/>
        <v>114397</v>
      </c>
      <c r="H100" s="105"/>
      <c r="I100" s="97"/>
    </row>
    <row r="101" spans="1:12" s="10" customFormat="1" ht="12.7" x14ac:dyDescent="0.4">
      <c r="A101" s="89">
        <v>617.04999999999995</v>
      </c>
      <c r="B101" s="89">
        <v>0</v>
      </c>
      <c r="C101" s="133" t="s">
        <v>1213</v>
      </c>
      <c r="D101" s="12" t="s">
        <v>900</v>
      </c>
      <c r="E101" s="149">
        <f t="shared" si="3"/>
        <v>617</v>
      </c>
      <c r="F101" s="7" t="s">
        <v>161</v>
      </c>
      <c r="G101" s="149">
        <f t="shared" si="4"/>
        <v>0</v>
      </c>
      <c r="H101" s="105"/>
      <c r="I101" s="97"/>
    </row>
    <row r="102" spans="1:12" s="10" customFormat="1" ht="12.7" x14ac:dyDescent="0.4">
      <c r="A102" s="89">
        <v>0</v>
      </c>
      <c r="B102" s="89">
        <v>0</v>
      </c>
      <c r="C102" s="133" t="s">
        <v>1214</v>
      </c>
      <c r="D102" s="12" t="s">
        <v>1215</v>
      </c>
      <c r="E102" s="149">
        <f t="shared" si="3"/>
        <v>0</v>
      </c>
      <c r="F102" s="7" t="s">
        <v>1285</v>
      </c>
      <c r="G102" s="149">
        <f t="shared" si="4"/>
        <v>0</v>
      </c>
      <c r="H102" s="105"/>
      <c r="I102" s="97"/>
    </row>
    <row r="103" spans="1:12" s="10" customFormat="1" ht="12.7" x14ac:dyDescent="0.4">
      <c r="A103" s="89">
        <v>0</v>
      </c>
      <c r="B103" s="89">
        <v>0</v>
      </c>
      <c r="C103" s="133" t="s">
        <v>1216</v>
      </c>
      <c r="D103" s="12" t="s">
        <v>1217</v>
      </c>
      <c r="E103" s="149">
        <f t="shared" ref="E103:E109" si="5">ROUND(A103,0)</f>
        <v>0</v>
      </c>
      <c r="F103" s="7" t="s">
        <v>1285</v>
      </c>
      <c r="G103" s="149">
        <f t="shared" si="4"/>
        <v>0</v>
      </c>
      <c r="H103" s="105"/>
      <c r="I103" s="97"/>
    </row>
    <row r="104" spans="1:12" s="10" customFormat="1" ht="12.7" x14ac:dyDescent="0.4">
      <c r="A104" s="89">
        <v>-80494.720000000001</v>
      </c>
      <c r="B104" s="89">
        <v>-5066.1000000000004</v>
      </c>
      <c r="C104" s="133" t="s">
        <v>1218</v>
      </c>
      <c r="D104" s="12" t="s">
        <v>1219</v>
      </c>
      <c r="E104" s="149">
        <f t="shared" si="5"/>
        <v>-80495</v>
      </c>
      <c r="F104" s="7" t="s">
        <v>292</v>
      </c>
      <c r="G104" s="149">
        <f t="shared" si="4"/>
        <v>-5066</v>
      </c>
      <c r="H104" s="105"/>
      <c r="I104" s="97"/>
    </row>
    <row r="105" spans="1:12" s="10" customFormat="1" ht="12.7" x14ac:dyDescent="0.4">
      <c r="A105" s="89">
        <v>99065</v>
      </c>
      <c r="B105" s="89">
        <v>-484.2</v>
      </c>
      <c r="C105" s="133" t="s">
        <v>1220</v>
      </c>
      <c r="D105" s="12" t="s">
        <v>1221</v>
      </c>
      <c r="E105" s="149">
        <f t="shared" si="5"/>
        <v>99065</v>
      </c>
      <c r="F105" s="7" t="s">
        <v>292</v>
      </c>
      <c r="G105" s="149">
        <f t="shared" si="4"/>
        <v>-484</v>
      </c>
      <c r="H105" s="105"/>
      <c r="I105" s="97"/>
      <c r="L105" s="78"/>
    </row>
    <row r="106" spans="1:12" s="10" customFormat="1" ht="12.7" x14ac:dyDescent="0.4">
      <c r="A106" s="89">
        <v>-146737.12</v>
      </c>
      <c r="B106" s="89">
        <v>-131408.60999999999</v>
      </c>
      <c r="C106" s="133" t="s">
        <v>1222</v>
      </c>
      <c r="D106" s="12" t="s">
        <v>1223</v>
      </c>
      <c r="E106" s="149">
        <f t="shared" si="5"/>
        <v>-146737</v>
      </c>
      <c r="F106" s="7" t="s">
        <v>1279</v>
      </c>
      <c r="G106" s="149">
        <f t="shared" si="4"/>
        <v>-131409</v>
      </c>
      <c r="H106" s="105"/>
      <c r="I106" s="97"/>
      <c r="L106" s="78"/>
    </row>
    <row r="107" spans="1:12" s="10" customFormat="1" ht="14" x14ac:dyDescent="0.45">
      <c r="A107" s="89">
        <v>-34531.24</v>
      </c>
      <c r="B107" s="89"/>
      <c r="C107" s="142" t="s">
        <v>1273</v>
      </c>
      <c r="D107" s="12" t="s">
        <v>1274</v>
      </c>
      <c r="E107" s="149">
        <f t="shared" si="5"/>
        <v>-34531</v>
      </c>
      <c r="F107" s="7" t="s">
        <v>1282</v>
      </c>
      <c r="G107" s="149">
        <f t="shared" si="4"/>
        <v>0</v>
      </c>
      <c r="H107" s="105"/>
      <c r="I107" s="97"/>
      <c r="J107" s="220"/>
      <c r="L107" s="78"/>
    </row>
    <row r="108" spans="1:12" s="10" customFormat="1" ht="12.7" x14ac:dyDescent="0.4">
      <c r="A108" s="89">
        <v>0</v>
      </c>
      <c r="B108" s="89">
        <v>-774.3</v>
      </c>
      <c r="C108" s="133" t="s">
        <v>1224</v>
      </c>
      <c r="D108" s="12" t="s">
        <v>1225</v>
      </c>
      <c r="E108" s="149">
        <f t="shared" si="5"/>
        <v>0</v>
      </c>
      <c r="F108" s="7" t="s">
        <v>292</v>
      </c>
      <c r="G108" s="149">
        <f t="shared" si="4"/>
        <v>-774</v>
      </c>
      <c r="H108" s="105"/>
      <c r="I108" s="97"/>
    </row>
    <row r="109" spans="1:12" s="10" customFormat="1" ht="12.7" x14ac:dyDescent="0.4">
      <c r="A109" s="89">
        <v>-41270.129999999997</v>
      </c>
      <c r="B109" s="89">
        <v>-303560.84999999998</v>
      </c>
      <c r="C109" s="133" t="s">
        <v>1226</v>
      </c>
      <c r="D109" s="12" t="s">
        <v>1227</v>
      </c>
      <c r="E109" s="149">
        <f t="shared" si="5"/>
        <v>-41270</v>
      </c>
      <c r="F109" s="7" t="s">
        <v>1284</v>
      </c>
      <c r="G109" s="149">
        <f>ROUND(B109,0)-5</f>
        <v>-303566</v>
      </c>
      <c r="H109" s="105"/>
      <c r="I109" s="97"/>
      <c r="L109" s="78"/>
    </row>
    <row r="110" spans="1:12" s="10" customFormat="1" ht="12.7" x14ac:dyDescent="0.4">
      <c r="A110" s="89">
        <v>-72050.27</v>
      </c>
      <c r="B110" s="89">
        <v>0</v>
      </c>
      <c r="C110" s="133" t="s">
        <v>1228</v>
      </c>
      <c r="D110" s="12" t="s">
        <v>1229</v>
      </c>
      <c r="E110" s="149">
        <f>ROUND(A110,0)+5</f>
        <v>-72045</v>
      </c>
      <c r="F110" s="7" t="s">
        <v>1284</v>
      </c>
      <c r="G110" s="149">
        <f t="shared" si="4"/>
        <v>0</v>
      </c>
      <c r="H110" s="101"/>
      <c r="I110" s="97"/>
    </row>
    <row r="111" spans="1:12" s="10" customFormat="1" ht="12.7" x14ac:dyDescent="0.4">
      <c r="A111" s="89">
        <v>0</v>
      </c>
      <c r="B111" s="89">
        <v>-1100</v>
      </c>
      <c r="C111" s="133" t="s">
        <v>1230</v>
      </c>
      <c r="D111" s="12" t="s">
        <v>1231</v>
      </c>
      <c r="E111" s="149">
        <f>ROUND(A111,0)</f>
        <v>0</v>
      </c>
      <c r="F111" s="7" t="s">
        <v>292</v>
      </c>
      <c r="G111" s="149">
        <f t="shared" si="4"/>
        <v>-1100</v>
      </c>
      <c r="H111" s="105"/>
      <c r="I111" s="97"/>
    </row>
    <row r="112" spans="1:12" s="10" customFormat="1" ht="12.7" x14ac:dyDescent="0.4">
      <c r="A112" s="192">
        <f>SUM(A6:A111)</f>
        <v>255033.79</v>
      </c>
      <c r="B112" s="192">
        <f>SUM(B6:B111)</f>
        <v>741586.99</v>
      </c>
      <c r="C112" s="432" t="s">
        <v>298</v>
      </c>
      <c r="D112" s="432"/>
      <c r="E112" s="155">
        <f>SUM(E6:E111)</f>
        <v>255040</v>
      </c>
      <c r="F112" s="110"/>
      <c r="G112" s="155">
        <f>SUM(G6:G111)</f>
        <v>741582</v>
      </c>
      <c r="H112" s="136"/>
      <c r="I112" s="97"/>
      <c r="J112" s="218"/>
      <c r="L112" s="219"/>
    </row>
    <row r="113" spans="1:12" s="10" customFormat="1" ht="12.7" x14ac:dyDescent="0.4">
      <c r="A113" s="192">
        <v>566837.91</v>
      </c>
      <c r="B113" s="9"/>
      <c r="C113" s="21"/>
      <c r="D113" s="147" t="s">
        <v>1268</v>
      </c>
      <c r="E113" s="144">
        <v>-255033.79</v>
      </c>
      <c r="F113" s="147" t="s">
        <v>1268</v>
      </c>
      <c r="G113" s="144">
        <v>-741586.99</v>
      </c>
      <c r="H113" s="217"/>
      <c r="I113" s="97"/>
    </row>
    <row r="114" spans="1:12" s="10" customFormat="1" ht="12.7" x14ac:dyDescent="0.4">
      <c r="A114" s="221">
        <f>SUM(A112:A113)</f>
        <v>821871.7</v>
      </c>
      <c r="B114" s="9"/>
      <c r="C114" s="21"/>
      <c r="D114" s="216"/>
      <c r="E114" s="143">
        <f>SUM(E112:E113)</f>
        <v>6.21</v>
      </c>
      <c r="F114" s="143"/>
      <c r="G114" s="143">
        <f>SUM(G112:G113)</f>
        <v>-4.99</v>
      </c>
      <c r="H114" s="217"/>
      <c r="I114" s="97"/>
    </row>
    <row r="115" spans="1:12" s="78" customFormat="1" ht="12.7" x14ac:dyDescent="0.4">
      <c r="A115" s="221"/>
      <c r="B115" s="9"/>
      <c r="C115" s="21"/>
      <c r="D115" s="216"/>
      <c r="E115" s="144"/>
      <c r="F115" s="144"/>
      <c r="G115" s="144"/>
      <c r="H115" s="217"/>
      <c r="I115" s="97"/>
      <c r="J115" s="10"/>
      <c r="K115" s="10"/>
      <c r="L115" s="10"/>
    </row>
    <row r="116" spans="1:12" s="78" customFormat="1" ht="12.7" x14ac:dyDescent="0.4">
      <c r="A116" s="221"/>
      <c r="B116" s="9"/>
      <c r="C116" s="21"/>
      <c r="D116" s="9"/>
      <c r="E116" s="14"/>
      <c r="F116" s="14"/>
      <c r="G116" s="14"/>
      <c r="I116" s="97"/>
      <c r="J116" s="10"/>
      <c r="K116" s="10"/>
      <c r="L116" s="10"/>
    </row>
    <row r="117" spans="1:12" s="10" customFormat="1" ht="12.7" x14ac:dyDescent="0.4">
      <c r="A117" s="13"/>
      <c r="B117" s="21"/>
      <c r="C117" s="21"/>
      <c r="D117" s="21"/>
      <c r="E117" s="14"/>
      <c r="F117" s="14"/>
      <c r="G117" s="14"/>
      <c r="H117" s="78"/>
      <c r="I117" s="97"/>
    </row>
    <row r="118" spans="1:12" s="78" customFormat="1" ht="12.7" x14ac:dyDescent="0.4">
      <c r="A118" s="13"/>
      <c r="B118" s="21"/>
      <c r="C118" s="21"/>
      <c r="D118" s="21"/>
      <c r="E118" s="14"/>
      <c r="F118" s="14"/>
      <c r="G118" s="14"/>
      <c r="H118" s="10"/>
      <c r="I118" s="97"/>
      <c r="J118" s="10"/>
      <c r="K118" s="10"/>
      <c r="L118" s="10"/>
    </row>
    <row r="119" spans="1:12" s="10" customFormat="1" ht="12.7" x14ac:dyDescent="0.4">
      <c r="A119" s="13"/>
      <c r="B119" s="21"/>
      <c r="C119" s="21"/>
      <c r="D119" s="21"/>
      <c r="E119" s="14" t="s">
        <v>261</v>
      </c>
      <c r="F119" s="14"/>
      <c r="G119" s="14" t="s">
        <v>261</v>
      </c>
      <c r="H119" s="78"/>
      <c r="I119" s="97"/>
    </row>
    <row r="120" spans="1:12" s="10" customFormat="1" ht="12.7" x14ac:dyDescent="0.4">
      <c r="A120" s="13"/>
      <c r="B120" s="21"/>
      <c r="C120" s="21"/>
      <c r="D120" s="21"/>
      <c r="E120" s="14"/>
      <c r="F120" s="14"/>
      <c r="G120" s="14"/>
      <c r="I120" s="97"/>
    </row>
    <row r="121" spans="1:12" s="10" customFormat="1" ht="12.7" x14ac:dyDescent="0.4">
      <c r="A121" s="13"/>
      <c r="B121" s="21"/>
      <c r="C121" s="21"/>
      <c r="D121" s="21"/>
      <c r="E121" s="14"/>
      <c r="F121" s="14"/>
      <c r="G121" s="14"/>
      <c r="I121" s="97"/>
    </row>
    <row r="122" spans="1:12" s="10" customFormat="1" ht="12.7" x14ac:dyDescent="0.4">
      <c r="A122" s="13"/>
      <c r="B122" s="21"/>
      <c r="C122" s="21"/>
      <c r="D122" s="21"/>
      <c r="E122" s="14"/>
      <c r="F122" s="14"/>
      <c r="G122" s="14"/>
      <c r="I122" s="97"/>
    </row>
    <row r="123" spans="1:12" s="10" customFormat="1" ht="12.7" x14ac:dyDescent="0.4">
      <c r="A123" s="13"/>
      <c r="B123" s="21"/>
      <c r="C123" s="21"/>
      <c r="D123" s="21"/>
      <c r="E123" s="78"/>
      <c r="F123" s="78"/>
      <c r="G123" s="78"/>
      <c r="I123" s="97"/>
    </row>
    <row r="124" spans="1:12" s="10" customFormat="1" ht="12.7" x14ac:dyDescent="0.4">
      <c r="A124" s="13"/>
      <c r="B124" s="21"/>
      <c r="C124" s="21"/>
      <c r="D124" s="21"/>
      <c r="E124" s="78"/>
      <c r="F124" s="78"/>
      <c r="G124" s="78"/>
      <c r="I124" s="97"/>
    </row>
    <row r="125" spans="1:12" s="10" customFormat="1" ht="12.7" x14ac:dyDescent="0.4">
      <c r="A125" s="13"/>
      <c r="B125" s="21"/>
      <c r="C125" s="21"/>
      <c r="D125" s="21"/>
      <c r="E125" s="78"/>
      <c r="F125" s="78"/>
      <c r="G125" s="78"/>
      <c r="I125" s="97"/>
    </row>
    <row r="126" spans="1:12" s="10" customFormat="1" ht="12.7" x14ac:dyDescent="0.4">
      <c r="A126" s="21"/>
      <c r="B126" s="21"/>
      <c r="C126" s="21"/>
      <c r="D126" s="21"/>
      <c r="E126" s="78"/>
      <c r="F126" s="78"/>
      <c r="G126" s="78"/>
      <c r="I126" s="97"/>
    </row>
    <row r="127" spans="1:12" s="10" customFormat="1" ht="12.7" x14ac:dyDescent="0.4">
      <c r="A127" s="9"/>
      <c r="B127" s="9"/>
      <c r="C127" s="21"/>
      <c r="D127" s="9"/>
      <c r="E127" s="78"/>
      <c r="F127" s="78"/>
      <c r="G127" s="78"/>
      <c r="I127" s="97"/>
    </row>
    <row r="128" spans="1:12" s="10" customFormat="1" ht="12.7" x14ac:dyDescent="0.4">
      <c r="A128" s="9"/>
      <c r="B128" s="9"/>
      <c r="C128" s="21"/>
      <c r="D128" s="9"/>
      <c r="E128" s="78"/>
      <c r="F128" s="78"/>
      <c r="G128" s="78"/>
      <c r="I128" s="97"/>
      <c r="L128" s="21"/>
    </row>
    <row r="129" spans="1:12" s="10" customFormat="1" ht="12.7" x14ac:dyDescent="0.4">
      <c r="A129" s="9"/>
      <c r="B129" s="9"/>
      <c r="C129" s="21"/>
      <c r="D129" s="9"/>
      <c r="E129" s="78"/>
      <c r="F129" s="78"/>
      <c r="G129" s="78"/>
      <c r="I129" s="97"/>
      <c r="L129" s="21"/>
    </row>
    <row r="130" spans="1:12" s="10" customFormat="1" ht="12.7" x14ac:dyDescent="0.4">
      <c r="A130" s="9"/>
      <c r="B130" s="9"/>
      <c r="C130" s="21"/>
      <c r="D130" s="9"/>
      <c r="E130" s="78"/>
      <c r="F130" s="78"/>
      <c r="G130" s="78"/>
      <c r="I130" s="97"/>
      <c r="L130" s="21"/>
    </row>
    <row r="131" spans="1:12" s="10" customFormat="1" ht="12.7" x14ac:dyDescent="0.4">
      <c r="A131" s="9"/>
      <c r="B131" s="9"/>
      <c r="C131" s="21"/>
      <c r="D131" s="9"/>
      <c r="E131" s="78"/>
      <c r="F131" s="78"/>
      <c r="G131" s="78"/>
      <c r="I131" s="97"/>
      <c r="L131" s="21"/>
    </row>
    <row r="132" spans="1:12" s="10" customFormat="1" ht="12.7" x14ac:dyDescent="0.4">
      <c r="A132" s="9"/>
      <c r="B132" s="9"/>
      <c r="C132" s="21"/>
      <c r="D132" s="9"/>
      <c r="E132" s="78"/>
      <c r="F132" s="78"/>
      <c r="G132" s="78"/>
      <c r="I132" s="97"/>
      <c r="L132" s="21"/>
    </row>
    <row r="133" spans="1:12" s="10" customFormat="1" ht="12.7" x14ac:dyDescent="0.4">
      <c r="A133" s="9"/>
      <c r="B133" s="9"/>
      <c r="C133" s="21"/>
      <c r="D133" s="9"/>
      <c r="E133" s="78"/>
      <c r="F133" s="78"/>
      <c r="G133" s="78"/>
      <c r="I133" s="97"/>
      <c r="L133" s="21"/>
    </row>
    <row r="134" spans="1:12" s="10" customFormat="1" ht="12.7" x14ac:dyDescent="0.4">
      <c r="A134" s="9"/>
      <c r="B134" s="9"/>
      <c r="C134" s="21"/>
      <c r="D134" s="9"/>
      <c r="E134" s="78"/>
      <c r="F134" s="78"/>
      <c r="G134" s="78"/>
      <c r="I134" s="97"/>
      <c r="L134" s="21"/>
    </row>
    <row r="135" spans="1:12" s="10" customFormat="1" ht="12.7" x14ac:dyDescent="0.4">
      <c r="A135" s="9"/>
      <c r="B135" s="9"/>
      <c r="C135" s="21"/>
      <c r="D135" s="9"/>
      <c r="E135" s="78"/>
      <c r="F135" s="78"/>
      <c r="G135" s="78"/>
      <c r="I135" s="97"/>
      <c r="L135" s="21"/>
    </row>
    <row r="136" spans="1:12" s="10" customFormat="1" ht="12.7" x14ac:dyDescent="0.4">
      <c r="A136" s="9"/>
      <c r="B136" s="9"/>
      <c r="C136" s="21"/>
      <c r="D136" s="9"/>
      <c r="E136" s="78"/>
      <c r="F136" s="78"/>
      <c r="G136" s="78"/>
      <c r="I136" s="97"/>
      <c r="L136" s="21"/>
    </row>
    <row r="137" spans="1:12" s="10" customFormat="1" ht="12.7" x14ac:dyDescent="0.4">
      <c r="A137" s="9"/>
      <c r="B137" s="9"/>
      <c r="C137" s="21"/>
      <c r="D137" s="9"/>
      <c r="E137" s="78"/>
      <c r="F137" s="78"/>
      <c r="G137" s="78"/>
      <c r="I137" s="97"/>
      <c r="L137" s="21"/>
    </row>
    <row r="138" spans="1:12" ht="12.7" x14ac:dyDescent="0.4">
      <c r="H138" s="10"/>
      <c r="I138" s="97"/>
      <c r="J138" s="10"/>
      <c r="K138" s="10"/>
    </row>
    <row r="139" spans="1:12" x14ac:dyDescent="0.5">
      <c r="I139" s="97"/>
      <c r="J139" s="10"/>
      <c r="K139" s="10"/>
    </row>
    <row r="140" spans="1:12" x14ac:dyDescent="0.5">
      <c r="I140" s="97"/>
      <c r="J140" s="10"/>
      <c r="K140" s="10"/>
    </row>
    <row r="141" spans="1:12" x14ac:dyDescent="0.5">
      <c r="I141" s="97"/>
      <c r="J141" s="10"/>
      <c r="K141" s="10"/>
    </row>
    <row r="142" spans="1:12" x14ac:dyDescent="0.5">
      <c r="I142" s="97"/>
      <c r="J142" s="10"/>
      <c r="K142" s="10"/>
    </row>
    <row r="143" spans="1:12" x14ac:dyDescent="0.5">
      <c r="I143" s="97"/>
      <c r="J143" s="10"/>
      <c r="K143" s="10"/>
    </row>
    <row r="144" spans="1:12" x14ac:dyDescent="0.5">
      <c r="I144" s="97"/>
      <c r="J144" s="10"/>
      <c r="K144" s="10"/>
    </row>
    <row r="145" spans="9:11" x14ac:dyDescent="0.5">
      <c r="I145" s="97"/>
      <c r="J145" s="10"/>
      <c r="K145" s="10"/>
    </row>
  </sheetData>
  <mergeCells count="1">
    <mergeCell ref="C112:D112"/>
  </mergeCells>
  <pageMargins left="0.7" right="0.7" top="0.75" bottom="0.75" header="0.3" footer="0.3"/>
  <pageSetup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W196"/>
  <sheetViews>
    <sheetView zoomScaleNormal="100" workbookViewId="0"/>
  </sheetViews>
  <sheetFormatPr defaultColWidth="9.3515625" defaultRowHeight="12.7" outlineLevelCol="1" x14ac:dyDescent="0.4"/>
  <cols>
    <col min="1" max="1" width="11.3515625" style="76" customWidth="1"/>
    <col min="2" max="2" width="31" style="76" bestFit="1" customWidth="1"/>
    <col min="3" max="3" width="14.3515625" style="78" hidden="1" customWidth="1" outlineLevel="1"/>
    <col min="4" max="4" width="13.17578125" style="78" hidden="1" customWidth="1" outlineLevel="1"/>
    <col min="5" max="5" width="13.52734375" style="78" hidden="1" customWidth="1" outlineLevel="1"/>
    <col min="6" max="6" width="12" style="78" hidden="1" customWidth="1" outlineLevel="1"/>
    <col min="7" max="7" width="14.64453125" style="79" hidden="1" customWidth="1" outlineLevel="1"/>
    <col min="8" max="8" width="21.46875" style="76" hidden="1" customWidth="1" outlineLevel="1"/>
    <col min="9" max="9" width="14.52734375" style="79" customWidth="1" collapsed="1"/>
    <col min="10" max="10" width="14.52734375" style="263" customWidth="1"/>
    <col min="11" max="11" width="13.64453125" style="77" customWidth="1"/>
    <col min="12" max="12" width="22.8203125" style="76" customWidth="1"/>
    <col min="13" max="13" width="14.17578125" style="76" customWidth="1"/>
    <col min="14" max="15" width="9.3515625" style="76"/>
    <col min="16" max="16" width="13.46875" style="77" bestFit="1" customWidth="1"/>
    <col min="17" max="16384" width="9.3515625" style="76"/>
  </cols>
  <sheetData>
    <row r="1" spans="1:16" x14ac:dyDescent="0.4">
      <c r="A1" s="262" t="s">
        <v>1292</v>
      </c>
    </row>
    <row r="2" spans="1:16" x14ac:dyDescent="0.4">
      <c r="A2" s="262" t="s">
        <v>482</v>
      </c>
    </row>
    <row r="3" spans="1:16" x14ac:dyDescent="0.4">
      <c r="A3" s="264">
        <v>44286</v>
      </c>
      <c r="D3" s="14" t="s">
        <v>261</v>
      </c>
      <c r="E3" s="14"/>
      <c r="F3" s="14"/>
      <c r="G3" s="19"/>
      <c r="H3" s="4"/>
    </row>
    <row r="5" spans="1:16" x14ac:dyDescent="0.4">
      <c r="A5" s="76" t="s">
        <v>484</v>
      </c>
      <c r="B5" s="68" t="s">
        <v>279</v>
      </c>
      <c r="C5" s="15" t="s">
        <v>902</v>
      </c>
      <c r="D5" s="15" t="s">
        <v>485</v>
      </c>
      <c r="E5" s="15" t="s">
        <v>486</v>
      </c>
      <c r="F5" s="15" t="s">
        <v>487</v>
      </c>
      <c r="G5" s="79" t="s">
        <v>1</v>
      </c>
      <c r="H5" s="76" t="s">
        <v>280</v>
      </c>
      <c r="I5" s="19" t="s">
        <v>281</v>
      </c>
      <c r="J5" s="265" t="s">
        <v>1293</v>
      </c>
      <c r="L5" s="416" t="s">
        <v>282</v>
      </c>
      <c r="M5" s="416" t="s">
        <v>284</v>
      </c>
    </row>
    <row r="6" spans="1:16" ht="13.7" x14ac:dyDescent="0.4">
      <c r="A6" s="222" t="s">
        <v>971</v>
      </c>
      <c r="B6" s="222" t="s">
        <v>903</v>
      </c>
      <c r="C6" s="266">
        <v>61593.66</v>
      </c>
      <c r="D6" s="89"/>
      <c r="E6" s="89"/>
      <c r="F6" s="89"/>
      <c r="G6" s="101">
        <f t="shared" ref="G6:G70" si="0">SUM(C6:F6)</f>
        <v>61593.66</v>
      </c>
      <c r="H6" s="89" t="s">
        <v>264</v>
      </c>
      <c r="I6" s="101">
        <f>ROUND(G6,0)</f>
        <v>61594</v>
      </c>
      <c r="J6" s="267"/>
      <c r="L6" s="419" t="s">
        <v>264</v>
      </c>
      <c r="M6" s="418">
        <v>337600</v>
      </c>
      <c r="N6" s="71"/>
      <c r="O6" s="268"/>
      <c r="P6" s="268"/>
    </row>
    <row r="7" spans="1:16" ht="13.7" x14ac:dyDescent="0.4">
      <c r="A7" s="222" t="s">
        <v>972</v>
      </c>
      <c r="B7" s="222" t="s">
        <v>1346</v>
      </c>
      <c r="C7" s="266">
        <v>-2735.2</v>
      </c>
      <c r="D7" s="89"/>
      <c r="E7" s="89"/>
      <c r="F7" s="89"/>
      <c r="G7" s="101">
        <f t="shared" si="0"/>
        <v>-2735.2</v>
      </c>
      <c r="H7" s="89" t="s">
        <v>264</v>
      </c>
      <c r="I7" s="101">
        <f t="shared" ref="I7:I94" si="1">ROUND(G7,0)</f>
        <v>-2735</v>
      </c>
      <c r="J7" s="267">
        <f>SUM(I6:I12)</f>
        <v>337300</v>
      </c>
      <c r="L7" s="419" t="s">
        <v>265</v>
      </c>
      <c r="M7" s="418">
        <v>1763281</v>
      </c>
      <c r="N7" s="71"/>
      <c r="O7" s="268"/>
      <c r="P7" s="268"/>
    </row>
    <row r="8" spans="1:16" ht="13.7" x14ac:dyDescent="0.4">
      <c r="A8" s="269" t="s">
        <v>1347</v>
      </c>
      <c r="B8" s="222" t="s">
        <v>1348</v>
      </c>
      <c r="C8" s="266">
        <v>102405.05</v>
      </c>
      <c r="D8" s="89"/>
      <c r="E8" s="89"/>
      <c r="F8" s="89"/>
      <c r="G8" s="101">
        <f t="shared" ref="G8" si="2">SUM(C8:F8)</f>
        <v>102405.05</v>
      </c>
      <c r="H8" s="89" t="s">
        <v>264</v>
      </c>
      <c r="I8" s="101">
        <f t="shared" si="1"/>
        <v>102405</v>
      </c>
      <c r="J8" s="267">
        <v>-337300.66</v>
      </c>
      <c r="L8" s="419" t="s">
        <v>271</v>
      </c>
      <c r="M8" s="418">
        <v>435862</v>
      </c>
      <c r="N8" s="71"/>
      <c r="O8" s="268"/>
      <c r="P8" s="268"/>
    </row>
    <row r="9" spans="1:16" ht="13.7" x14ac:dyDescent="0.4">
      <c r="A9" s="222" t="s">
        <v>1294</v>
      </c>
      <c r="B9" s="222" t="s">
        <v>905</v>
      </c>
      <c r="C9" s="266">
        <v>108.38</v>
      </c>
      <c r="D9" s="89"/>
      <c r="E9" s="89"/>
      <c r="F9" s="89"/>
      <c r="G9" s="101">
        <f t="shared" si="0"/>
        <v>108.38</v>
      </c>
      <c r="H9" s="89" t="s">
        <v>264</v>
      </c>
      <c r="I9" s="101">
        <f t="shared" si="1"/>
        <v>108</v>
      </c>
      <c r="J9" s="267">
        <f>SUM(J7:J8)</f>
        <v>-0.66</v>
      </c>
      <c r="L9" s="419" t="s">
        <v>266</v>
      </c>
      <c r="M9" s="418">
        <v>968972</v>
      </c>
      <c r="N9" s="71"/>
      <c r="O9" s="268"/>
      <c r="P9" s="268"/>
    </row>
    <row r="10" spans="1:16" ht="13.7" x14ac:dyDescent="0.4">
      <c r="A10" s="222" t="s">
        <v>974</v>
      </c>
      <c r="B10" s="222" t="s">
        <v>906</v>
      </c>
      <c r="C10" s="266">
        <v>36153.379999999997</v>
      </c>
      <c r="D10" s="89"/>
      <c r="E10" s="89"/>
      <c r="F10" s="89"/>
      <c r="G10" s="101">
        <f t="shared" si="0"/>
        <v>36153.379999999997</v>
      </c>
      <c r="H10" s="89" t="s">
        <v>264</v>
      </c>
      <c r="I10" s="101">
        <f t="shared" si="1"/>
        <v>36153</v>
      </c>
      <c r="J10" s="76"/>
      <c r="L10" s="419" t="s">
        <v>274</v>
      </c>
      <c r="M10" s="418">
        <v>-2707258</v>
      </c>
      <c r="N10" s="71"/>
      <c r="O10" s="268"/>
      <c r="P10" s="268"/>
    </row>
    <row r="11" spans="1:16" ht="13.7" x14ac:dyDescent="0.4">
      <c r="A11" s="270" t="s">
        <v>975</v>
      </c>
      <c r="B11" s="222" t="s">
        <v>907</v>
      </c>
      <c r="C11" s="266">
        <v>139251.39000000001</v>
      </c>
      <c r="D11" s="89"/>
      <c r="E11" s="89"/>
      <c r="F11" s="89"/>
      <c r="G11" s="101">
        <f t="shared" si="0"/>
        <v>139251.39000000001</v>
      </c>
      <c r="H11" s="89" t="s">
        <v>264</v>
      </c>
      <c r="I11" s="101">
        <f t="shared" si="1"/>
        <v>139251</v>
      </c>
      <c r="L11" s="419" t="s">
        <v>650</v>
      </c>
      <c r="M11" s="418">
        <v>6630817</v>
      </c>
      <c r="N11" s="71"/>
      <c r="O11" s="268"/>
      <c r="P11" s="268"/>
    </row>
    <row r="12" spans="1:16" ht="13.7" x14ac:dyDescent="0.4">
      <c r="A12" s="393" t="s">
        <v>1526</v>
      </c>
      <c r="B12" s="271" t="s">
        <v>1525</v>
      </c>
      <c r="C12" s="266">
        <v>524</v>
      </c>
      <c r="D12" s="89"/>
      <c r="E12" s="89"/>
      <c r="F12" s="89"/>
      <c r="G12" s="101">
        <f t="shared" si="0"/>
        <v>524</v>
      </c>
      <c r="H12" s="89" t="s">
        <v>264</v>
      </c>
      <c r="I12" s="101">
        <f t="shared" si="1"/>
        <v>524</v>
      </c>
      <c r="L12" s="419" t="s">
        <v>278</v>
      </c>
      <c r="M12" s="418">
        <v>19601604</v>
      </c>
      <c r="N12" s="71"/>
      <c r="O12" s="268"/>
      <c r="P12" s="268"/>
    </row>
    <row r="13" spans="1:16" ht="13.7" x14ac:dyDescent="0.4">
      <c r="A13" s="222" t="s">
        <v>312</v>
      </c>
      <c r="B13" s="222" t="s">
        <v>910</v>
      </c>
      <c r="C13" s="266">
        <v>1883849.95</v>
      </c>
      <c r="D13" s="89">
        <v>0</v>
      </c>
      <c r="E13" s="89"/>
      <c r="F13" s="89"/>
      <c r="G13" s="101">
        <f t="shared" si="0"/>
        <v>1883849.95</v>
      </c>
      <c r="H13" s="89" t="s">
        <v>265</v>
      </c>
      <c r="I13" s="101">
        <f t="shared" si="1"/>
        <v>1883850</v>
      </c>
      <c r="J13" s="267">
        <f>SUM(I13:I14)</f>
        <v>1763281</v>
      </c>
      <c r="L13" s="419" t="s">
        <v>276</v>
      </c>
      <c r="M13" s="418">
        <v>-14549</v>
      </c>
      <c r="N13" s="71"/>
      <c r="O13" s="268"/>
      <c r="P13" s="268"/>
    </row>
    <row r="14" spans="1:16" ht="13.7" x14ac:dyDescent="0.4">
      <c r="A14" s="222" t="s">
        <v>978</v>
      </c>
      <c r="B14" s="222" t="s">
        <v>14</v>
      </c>
      <c r="C14" s="266">
        <v>-120569.18</v>
      </c>
      <c r="D14" s="89"/>
      <c r="E14" s="89"/>
      <c r="F14" s="89"/>
      <c r="G14" s="101">
        <f t="shared" si="0"/>
        <v>-120569.18</v>
      </c>
      <c r="H14" s="89" t="s">
        <v>265</v>
      </c>
      <c r="I14" s="101">
        <f t="shared" si="1"/>
        <v>-120569</v>
      </c>
      <c r="J14" s="267">
        <v>-1763280.77</v>
      </c>
      <c r="L14" s="419" t="s">
        <v>277</v>
      </c>
      <c r="M14" s="418">
        <v>-21545614</v>
      </c>
      <c r="N14" s="71"/>
      <c r="O14" s="268"/>
      <c r="P14" s="268"/>
    </row>
    <row r="15" spans="1:16" ht="13.7" x14ac:dyDescent="0.4">
      <c r="A15" s="269" t="s">
        <v>1043</v>
      </c>
      <c r="B15" s="222" t="s">
        <v>1044</v>
      </c>
      <c r="C15" s="266">
        <v>15060.24</v>
      </c>
      <c r="D15" s="89"/>
      <c r="E15" s="89"/>
      <c r="F15" s="89"/>
      <c r="G15" s="101">
        <f t="shared" si="0"/>
        <v>15060.24</v>
      </c>
      <c r="H15" s="89" t="s">
        <v>1295</v>
      </c>
      <c r="I15" s="101">
        <f t="shared" si="1"/>
        <v>15060</v>
      </c>
      <c r="J15" s="267">
        <f>SUM(J13:J14)</f>
        <v>0.23</v>
      </c>
      <c r="L15" s="419" t="s">
        <v>859</v>
      </c>
      <c r="M15" s="418">
        <v>-1253413</v>
      </c>
      <c r="N15" s="71"/>
      <c r="O15" s="268"/>
      <c r="P15" s="268"/>
    </row>
    <row r="16" spans="1:16" x14ac:dyDescent="0.4">
      <c r="A16" s="269" t="s">
        <v>979</v>
      </c>
      <c r="B16" s="222" t="s">
        <v>1315</v>
      </c>
      <c r="C16" s="266">
        <v>14020.28</v>
      </c>
      <c r="D16" s="89"/>
      <c r="E16" s="89"/>
      <c r="F16" s="89"/>
      <c r="G16" s="101">
        <f t="shared" si="0"/>
        <v>14020.28</v>
      </c>
      <c r="H16" s="89" t="s">
        <v>1295</v>
      </c>
      <c r="I16" s="101">
        <f t="shared" si="1"/>
        <v>14020</v>
      </c>
      <c r="J16" s="267"/>
      <c r="L16" s="419" t="s">
        <v>860</v>
      </c>
      <c r="M16" s="418">
        <v>-347316</v>
      </c>
      <c r="N16" s="71"/>
      <c r="O16" s="71"/>
      <c r="P16" s="272"/>
    </row>
    <row r="17" spans="1:18" x14ac:dyDescent="0.4">
      <c r="A17" s="222" t="s">
        <v>980</v>
      </c>
      <c r="B17" s="222" t="s">
        <v>912</v>
      </c>
      <c r="C17" s="266">
        <v>615503.17000000004</v>
      </c>
      <c r="D17" s="89">
        <v>0</v>
      </c>
      <c r="E17" s="89"/>
      <c r="F17" s="89"/>
      <c r="G17" s="101">
        <f t="shared" si="0"/>
        <v>615503.17000000004</v>
      </c>
      <c r="H17" s="89" t="s">
        <v>650</v>
      </c>
      <c r="I17" s="101">
        <f t="shared" si="1"/>
        <v>615503</v>
      </c>
      <c r="L17" s="419" t="s">
        <v>1295</v>
      </c>
      <c r="M17" s="418">
        <v>232291</v>
      </c>
      <c r="N17" s="71"/>
      <c r="O17" s="71"/>
      <c r="P17" s="272"/>
      <c r="R17" s="273"/>
    </row>
    <row r="18" spans="1:18" x14ac:dyDescent="0.4">
      <c r="A18" s="274" t="s">
        <v>981</v>
      </c>
      <c r="B18" s="271" t="s">
        <v>913</v>
      </c>
      <c r="C18" s="266">
        <v>5974821.0899999999</v>
      </c>
      <c r="D18" s="89">
        <v>0</v>
      </c>
      <c r="E18" s="89"/>
      <c r="F18" s="89"/>
      <c r="G18" s="101">
        <f t="shared" si="0"/>
        <v>5974821.0899999999</v>
      </c>
      <c r="H18" s="89" t="s">
        <v>650</v>
      </c>
      <c r="I18" s="101">
        <f t="shared" si="1"/>
        <v>5974821</v>
      </c>
      <c r="J18" s="267">
        <f>SUM(I15:I25)</f>
        <v>7678417</v>
      </c>
      <c r="L18" s="419" t="s">
        <v>1296</v>
      </c>
      <c r="M18" s="418">
        <v>3114425</v>
      </c>
      <c r="N18" s="71"/>
      <c r="O18" s="71"/>
      <c r="P18" s="272"/>
    </row>
    <row r="19" spans="1:18" x14ac:dyDescent="0.4">
      <c r="A19" s="275" t="s">
        <v>982</v>
      </c>
      <c r="B19" s="271" t="s">
        <v>914</v>
      </c>
      <c r="C19" s="266">
        <v>6750.78</v>
      </c>
      <c r="D19" s="89"/>
      <c r="E19" s="89"/>
      <c r="F19" s="89"/>
      <c r="G19" s="101">
        <f t="shared" si="0"/>
        <v>6750.78</v>
      </c>
      <c r="H19" s="89" t="s">
        <v>650</v>
      </c>
      <c r="I19" s="101">
        <f t="shared" si="1"/>
        <v>6751</v>
      </c>
      <c r="J19" s="267">
        <v>-7678417.2300000004</v>
      </c>
      <c r="L19" s="419" t="s">
        <v>273</v>
      </c>
      <c r="M19" s="418">
        <v>-1026552</v>
      </c>
      <c r="N19" s="71"/>
      <c r="O19" s="71"/>
      <c r="P19" s="272"/>
    </row>
    <row r="20" spans="1:18" x14ac:dyDescent="0.4">
      <c r="A20" s="222" t="s">
        <v>983</v>
      </c>
      <c r="B20" s="222" t="s">
        <v>915</v>
      </c>
      <c r="C20" s="266">
        <v>341493.61</v>
      </c>
      <c r="D20" s="89"/>
      <c r="E20" s="89"/>
      <c r="F20" s="89"/>
      <c r="G20" s="101">
        <f t="shared" si="0"/>
        <v>341493.61</v>
      </c>
      <c r="H20" s="89" t="s">
        <v>650</v>
      </c>
      <c r="I20" s="101">
        <f t="shared" si="1"/>
        <v>341494</v>
      </c>
      <c r="J20" s="267">
        <f>SUM(J18:J19)</f>
        <v>-0.23</v>
      </c>
      <c r="L20" s="419" t="s">
        <v>1297</v>
      </c>
      <c r="M20" s="418">
        <v>4249</v>
      </c>
      <c r="N20" s="71"/>
      <c r="O20" s="71"/>
      <c r="P20" s="272"/>
    </row>
    <row r="21" spans="1:18" x14ac:dyDescent="0.4">
      <c r="A21" s="269" t="s">
        <v>984</v>
      </c>
      <c r="B21" s="222" t="s">
        <v>916</v>
      </c>
      <c r="C21" s="266">
        <v>203211</v>
      </c>
      <c r="D21" s="89"/>
      <c r="E21" s="89"/>
      <c r="F21" s="89"/>
      <c r="G21" s="101">
        <f t="shared" si="0"/>
        <v>203211</v>
      </c>
      <c r="H21" s="89" t="s">
        <v>1295</v>
      </c>
      <c r="I21" s="101">
        <f t="shared" si="1"/>
        <v>203211</v>
      </c>
      <c r="L21" s="419" t="s">
        <v>1298</v>
      </c>
      <c r="M21" s="418">
        <v>-239412</v>
      </c>
      <c r="N21" s="71"/>
      <c r="O21" s="71"/>
      <c r="P21" s="272"/>
    </row>
    <row r="22" spans="1:18" x14ac:dyDescent="0.4">
      <c r="A22" s="269" t="s">
        <v>1507</v>
      </c>
      <c r="B22" s="222" t="s">
        <v>1508</v>
      </c>
      <c r="C22" s="266">
        <v>818623</v>
      </c>
      <c r="D22" s="89"/>
      <c r="E22" s="89"/>
      <c r="F22" s="89"/>
      <c r="G22" s="101">
        <f t="shared" si="0"/>
        <v>818623</v>
      </c>
      <c r="H22" s="89" t="s">
        <v>1297</v>
      </c>
      <c r="I22" s="101">
        <f t="shared" si="1"/>
        <v>818623</v>
      </c>
      <c r="L22" s="419" t="s">
        <v>1515</v>
      </c>
      <c r="M22" s="418">
        <v>-594747</v>
      </c>
      <c r="N22" s="71"/>
      <c r="O22" s="71"/>
      <c r="P22" s="272"/>
    </row>
    <row r="23" spans="1:18" x14ac:dyDescent="0.4">
      <c r="A23" s="222" t="s">
        <v>986</v>
      </c>
      <c r="B23" s="222" t="s">
        <v>918</v>
      </c>
      <c r="C23" s="266">
        <v>-307751.59000000003</v>
      </c>
      <c r="D23" s="89"/>
      <c r="E23" s="89"/>
      <c r="F23" s="89"/>
      <c r="G23" s="101">
        <f t="shared" si="0"/>
        <v>-307751.59000000003</v>
      </c>
      <c r="H23" s="89" t="s">
        <v>650</v>
      </c>
      <c r="I23" s="101">
        <f t="shared" si="1"/>
        <v>-307752</v>
      </c>
      <c r="J23" s="267"/>
      <c r="L23" s="419" t="s">
        <v>1516</v>
      </c>
      <c r="M23" s="418">
        <v>-5055330</v>
      </c>
      <c r="N23" s="71"/>
      <c r="O23" s="71"/>
      <c r="P23" s="272"/>
    </row>
    <row r="24" spans="1:18" x14ac:dyDescent="0.4">
      <c r="A24" s="269" t="s">
        <v>987</v>
      </c>
      <c r="B24" s="222" t="s">
        <v>919</v>
      </c>
      <c r="C24" s="266">
        <v>0</v>
      </c>
      <c r="D24" s="89"/>
      <c r="E24" s="89"/>
      <c r="F24" s="89"/>
      <c r="G24" s="101">
        <f t="shared" si="0"/>
        <v>0</v>
      </c>
      <c r="H24" s="89" t="s">
        <v>650</v>
      </c>
      <c r="I24" s="101">
        <f t="shared" si="1"/>
        <v>0</v>
      </c>
      <c r="J24" s="267"/>
      <c r="L24" s="419" t="s">
        <v>1517</v>
      </c>
      <c r="M24" s="418">
        <v>-110224</v>
      </c>
      <c r="N24" s="276"/>
      <c r="O24" s="276"/>
      <c r="P24" s="266"/>
    </row>
    <row r="25" spans="1:18" x14ac:dyDescent="0.4">
      <c r="A25" s="269" t="s">
        <v>1240</v>
      </c>
      <c r="B25" s="222" t="s">
        <v>1241</v>
      </c>
      <c r="C25" s="266">
        <v>-3314.35</v>
      </c>
      <c r="D25" s="89"/>
      <c r="E25" s="89"/>
      <c r="F25" s="89"/>
      <c r="G25" s="101">
        <f t="shared" si="0"/>
        <v>-3314.35</v>
      </c>
      <c r="H25" s="89" t="s">
        <v>860</v>
      </c>
      <c r="I25" s="101">
        <f t="shared" si="1"/>
        <v>-3314</v>
      </c>
      <c r="J25" s="267"/>
      <c r="L25" s="419" t="s">
        <v>1559</v>
      </c>
      <c r="M25" s="418">
        <v>-194686</v>
      </c>
      <c r="N25" s="276"/>
      <c r="O25" s="276"/>
      <c r="P25" s="266"/>
    </row>
    <row r="26" spans="1:18" x14ac:dyDescent="0.4">
      <c r="A26" s="222" t="s">
        <v>988</v>
      </c>
      <c r="B26" s="222" t="s">
        <v>55</v>
      </c>
      <c r="C26" s="266">
        <v>467187.54</v>
      </c>
      <c r="D26" s="89"/>
      <c r="E26" s="89"/>
      <c r="F26" s="89"/>
      <c r="G26" s="101">
        <f t="shared" si="0"/>
        <v>467187.54</v>
      </c>
      <c r="H26" s="89" t="s">
        <v>266</v>
      </c>
      <c r="I26" s="101">
        <f t="shared" si="1"/>
        <v>467188</v>
      </c>
      <c r="J26" s="267"/>
      <c r="L26" s="419" t="s">
        <v>283</v>
      </c>
      <c r="M26" s="418">
        <v>0</v>
      </c>
      <c r="N26" s="276"/>
      <c r="O26" s="276"/>
      <c r="P26" s="266"/>
    </row>
    <row r="27" spans="1:18" ht="14.35" x14ac:dyDescent="0.5">
      <c r="A27" s="222" t="s">
        <v>989</v>
      </c>
      <c r="B27" s="222" t="s">
        <v>920</v>
      </c>
      <c r="C27" s="266">
        <v>-188701</v>
      </c>
      <c r="D27" s="89"/>
      <c r="E27" s="89"/>
      <c r="F27" s="89"/>
      <c r="G27" s="101">
        <f t="shared" si="0"/>
        <v>-188701</v>
      </c>
      <c r="H27" s="89" t="s">
        <v>266</v>
      </c>
      <c r="I27" s="101">
        <f t="shared" si="1"/>
        <v>-188701</v>
      </c>
      <c r="J27" s="267"/>
      <c r="L27"/>
      <c r="M27"/>
      <c r="N27" s="276"/>
      <c r="O27" s="276"/>
      <c r="P27" s="266"/>
    </row>
    <row r="28" spans="1:18" ht="14.35" x14ac:dyDescent="0.5">
      <c r="A28" s="222" t="s">
        <v>990</v>
      </c>
      <c r="B28" s="222" t="s">
        <v>921</v>
      </c>
      <c r="C28" s="266">
        <v>24404.69</v>
      </c>
      <c r="D28" s="89"/>
      <c r="E28" s="89"/>
      <c r="F28" s="89"/>
      <c r="G28" s="101">
        <f t="shared" si="0"/>
        <v>24404.69</v>
      </c>
      <c r="H28" s="89" t="s">
        <v>266</v>
      </c>
      <c r="I28" s="101">
        <f t="shared" si="1"/>
        <v>24405</v>
      </c>
      <c r="J28" s="267"/>
      <c r="L28"/>
      <c r="M28"/>
      <c r="N28" s="276"/>
      <c r="O28" s="276"/>
      <c r="P28" s="266"/>
    </row>
    <row r="29" spans="1:18" ht="13.7" x14ac:dyDescent="0.4">
      <c r="A29" s="222" t="s">
        <v>991</v>
      </c>
      <c r="B29" s="222" t="s">
        <v>922</v>
      </c>
      <c r="C29" s="266">
        <v>-22864.74</v>
      </c>
      <c r="D29" s="89"/>
      <c r="E29" s="89"/>
      <c r="F29" s="89"/>
      <c r="G29" s="101">
        <f t="shared" si="0"/>
        <v>-22864.74</v>
      </c>
      <c r="H29" s="89" t="s">
        <v>266</v>
      </c>
      <c r="I29" s="101">
        <f t="shared" si="1"/>
        <v>-22865</v>
      </c>
      <c r="J29" s="267"/>
      <c r="L29" s="277"/>
      <c r="M29" s="277"/>
      <c r="N29" s="276"/>
      <c r="O29" s="276"/>
      <c r="P29" s="266"/>
    </row>
    <row r="30" spans="1:18" x14ac:dyDescent="0.4">
      <c r="A30" s="222" t="s">
        <v>992</v>
      </c>
      <c r="B30" s="222" t="s">
        <v>923</v>
      </c>
      <c r="C30" s="266">
        <v>82699.78</v>
      </c>
      <c r="D30" s="89"/>
      <c r="E30" s="89"/>
      <c r="F30" s="89"/>
      <c r="G30" s="101">
        <f t="shared" si="0"/>
        <v>82699.78</v>
      </c>
      <c r="H30" s="89" t="s">
        <v>266</v>
      </c>
      <c r="I30" s="101">
        <f t="shared" si="1"/>
        <v>82700</v>
      </c>
      <c r="J30" s="267"/>
      <c r="L30" s="77"/>
      <c r="M30" s="77"/>
      <c r="N30" s="276"/>
      <c r="O30" s="276"/>
      <c r="P30" s="266"/>
    </row>
    <row r="31" spans="1:18" x14ac:dyDescent="0.4">
      <c r="A31" s="222" t="s">
        <v>993</v>
      </c>
      <c r="B31" s="222" t="s">
        <v>924</v>
      </c>
      <c r="C31" s="266">
        <v>-51207.32</v>
      </c>
      <c r="D31" s="89"/>
      <c r="E31" s="89"/>
      <c r="F31" s="89"/>
      <c r="G31" s="101">
        <f t="shared" si="0"/>
        <v>-51207.32</v>
      </c>
      <c r="H31" s="89" t="s">
        <v>266</v>
      </c>
      <c r="I31" s="101">
        <f t="shared" si="1"/>
        <v>-51207</v>
      </c>
      <c r="J31" s="267"/>
      <c r="L31" s="77"/>
      <c r="M31" s="77"/>
      <c r="N31" s="276"/>
      <c r="O31" s="276"/>
      <c r="P31" s="266"/>
    </row>
    <row r="32" spans="1:18" x14ac:dyDescent="0.4">
      <c r="A32" s="222" t="s">
        <v>994</v>
      </c>
      <c r="B32" s="222" t="s">
        <v>925</v>
      </c>
      <c r="C32" s="266">
        <v>1624711.02</v>
      </c>
      <c r="D32" s="89">
        <v>0</v>
      </c>
      <c r="E32" s="89"/>
      <c r="F32" s="89"/>
      <c r="G32" s="101">
        <f t="shared" si="0"/>
        <v>1624711.02</v>
      </c>
      <c r="H32" s="89" t="s">
        <v>1296</v>
      </c>
      <c r="I32" s="101">
        <f t="shared" si="1"/>
        <v>1624711</v>
      </c>
      <c r="J32" s="267"/>
      <c r="L32" s="77"/>
      <c r="M32" s="77"/>
      <c r="N32" s="276"/>
      <c r="O32" s="276"/>
      <c r="P32" s="266"/>
    </row>
    <row r="33" spans="1:16" x14ac:dyDescent="0.4">
      <c r="A33" s="274" t="s">
        <v>995</v>
      </c>
      <c r="B33" s="271" t="s">
        <v>926</v>
      </c>
      <c r="C33" s="266">
        <v>3780581.82</v>
      </c>
      <c r="D33" s="89"/>
      <c r="E33" s="89"/>
      <c r="F33" s="89"/>
      <c r="G33" s="101">
        <f t="shared" si="0"/>
        <v>3780581.82</v>
      </c>
      <c r="H33" s="89" t="s">
        <v>1296</v>
      </c>
      <c r="I33" s="101">
        <f t="shared" si="1"/>
        <v>3780582</v>
      </c>
      <c r="J33" s="267"/>
      <c r="L33" s="77"/>
      <c r="M33" s="77"/>
      <c r="N33" s="276"/>
      <c r="O33" s="276"/>
      <c r="P33" s="266"/>
    </row>
    <row r="34" spans="1:16" x14ac:dyDescent="0.4">
      <c r="A34" s="274" t="s">
        <v>996</v>
      </c>
      <c r="B34" s="271" t="s">
        <v>45</v>
      </c>
      <c r="C34" s="266">
        <v>-2290868.2000000002</v>
      </c>
      <c r="D34" s="89"/>
      <c r="E34" s="89"/>
      <c r="F34" s="89"/>
      <c r="G34" s="101">
        <f t="shared" si="0"/>
        <v>-2290868.2000000002</v>
      </c>
      <c r="H34" s="89" t="s">
        <v>1296</v>
      </c>
      <c r="I34" s="101">
        <f t="shared" si="1"/>
        <v>-2290868</v>
      </c>
      <c r="J34" s="267"/>
      <c r="L34" s="77"/>
      <c r="M34" s="77"/>
      <c r="N34" s="276"/>
      <c r="O34" s="276"/>
      <c r="P34" s="266"/>
    </row>
    <row r="35" spans="1:16" x14ac:dyDescent="0.4">
      <c r="A35" s="222" t="s">
        <v>997</v>
      </c>
      <c r="B35" s="222" t="s">
        <v>927</v>
      </c>
      <c r="C35" s="266">
        <v>667211.54</v>
      </c>
      <c r="D35" s="89"/>
      <c r="E35" s="89"/>
      <c r="F35" s="89"/>
      <c r="G35" s="101">
        <f t="shared" si="0"/>
        <v>667211.54</v>
      </c>
      <c r="H35" s="89" t="s">
        <v>266</v>
      </c>
      <c r="I35" s="101">
        <f t="shared" si="1"/>
        <v>667212</v>
      </c>
      <c r="J35" s="267"/>
      <c r="L35" s="77"/>
      <c r="M35" s="77"/>
      <c r="N35" s="276"/>
      <c r="O35" s="276"/>
      <c r="P35" s="266"/>
    </row>
    <row r="36" spans="1:16" x14ac:dyDescent="0.4">
      <c r="A36" s="222" t="s">
        <v>998</v>
      </c>
      <c r="B36" s="222" t="s">
        <v>928</v>
      </c>
      <c r="C36" s="266">
        <v>-329794.89</v>
      </c>
      <c r="D36" s="89"/>
      <c r="E36" s="89"/>
      <c r="F36" s="89"/>
      <c r="G36" s="101">
        <f t="shared" si="0"/>
        <v>-329794.89</v>
      </c>
      <c r="H36" s="89" t="s">
        <v>266</v>
      </c>
      <c r="I36" s="101">
        <f t="shared" si="1"/>
        <v>-329795</v>
      </c>
      <c r="J36" s="267"/>
      <c r="L36" s="77"/>
      <c r="M36" s="77"/>
      <c r="N36" s="276"/>
      <c r="O36" s="276"/>
      <c r="P36" s="266"/>
    </row>
    <row r="37" spans="1:16" x14ac:dyDescent="0.4">
      <c r="A37" s="222" t="s">
        <v>999</v>
      </c>
      <c r="B37" s="222" t="s">
        <v>929</v>
      </c>
      <c r="C37" s="266">
        <v>772237.36</v>
      </c>
      <c r="D37" s="89"/>
      <c r="E37" s="89"/>
      <c r="F37" s="89"/>
      <c r="G37" s="101">
        <f t="shared" si="0"/>
        <v>772237.36</v>
      </c>
      <c r="H37" s="89" t="s">
        <v>266</v>
      </c>
      <c r="I37" s="101">
        <f t="shared" si="1"/>
        <v>772237</v>
      </c>
      <c r="J37" s="267"/>
      <c r="L37" s="77"/>
      <c r="M37" s="77"/>
      <c r="N37" s="276"/>
      <c r="O37" s="276"/>
      <c r="P37" s="266"/>
    </row>
    <row r="38" spans="1:16" x14ac:dyDescent="0.4">
      <c r="A38" s="222" t="s">
        <v>1000</v>
      </c>
      <c r="B38" s="222" t="s">
        <v>930</v>
      </c>
      <c r="C38" s="266">
        <v>-568643.74</v>
      </c>
      <c r="D38" s="89"/>
      <c r="E38" s="89"/>
      <c r="F38" s="89"/>
      <c r="G38" s="101">
        <f t="shared" si="0"/>
        <v>-568643.74</v>
      </c>
      <c r="H38" s="89" t="s">
        <v>266</v>
      </c>
      <c r="I38" s="101">
        <f t="shared" si="1"/>
        <v>-568644</v>
      </c>
      <c r="J38" s="267">
        <f>SUM(I26:I40)</f>
        <v>4083397</v>
      </c>
      <c r="L38" s="77"/>
      <c r="M38" s="77"/>
      <c r="O38" s="276"/>
      <c r="P38" s="266"/>
    </row>
    <row r="39" spans="1:16" x14ac:dyDescent="0.4">
      <c r="A39" s="222" t="s">
        <v>1001</v>
      </c>
      <c r="B39" s="222" t="s">
        <v>931</v>
      </c>
      <c r="C39" s="266">
        <v>186241.56</v>
      </c>
      <c r="D39" s="89"/>
      <c r="E39" s="89"/>
      <c r="F39" s="89"/>
      <c r="G39" s="101">
        <f t="shared" si="0"/>
        <v>186241.56</v>
      </c>
      <c r="H39" s="89" t="s">
        <v>266</v>
      </c>
      <c r="I39" s="101">
        <f t="shared" si="1"/>
        <v>186242</v>
      </c>
      <c r="J39" s="267">
        <v>-4083395.38</v>
      </c>
      <c r="L39" s="77"/>
      <c r="M39" s="77"/>
      <c r="N39" s="276"/>
      <c r="O39" s="276"/>
      <c r="P39" s="266"/>
    </row>
    <row r="40" spans="1:16" x14ac:dyDescent="0.4">
      <c r="A40" s="274" t="s">
        <v>1002</v>
      </c>
      <c r="B40" s="271" t="s">
        <v>932</v>
      </c>
      <c r="C40" s="266">
        <v>-69800.039999999994</v>
      </c>
      <c r="D40" s="89"/>
      <c r="E40" s="89"/>
      <c r="F40" s="89"/>
      <c r="G40" s="101">
        <f t="shared" si="0"/>
        <v>-69800.039999999994</v>
      </c>
      <c r="H40" s="89" t="s">
        <v>266</v>
      </c>
      <c r="I40" s="101">
        <f t="shared" si="1"/>
        <v>-69800</v>
      </c>
      <c r="J40" s="267">
        <f>SUM(J38:J39)</f>
        <v>1.62</v>
      </c>
      <c r="L40" s="77"/>
      <c r="M40" s="77"/>
      <c r="N40" s="276"/>
      <c r="O40" s="276"/>
      <c r="P40" s="266"/>
    </row>
    <row r="41" spans="1:16" x14ac:dyDescent="0.4">
      <c r="A41" s="222" t="s">
        <v>1003</v>
      </c>
      <c r="B41" s="222" t="s">
        <v>933</v>
      </c>
      <c r="C41" s="266">
        <v>13481.24</v>
      </c>
      <c r="D41" s="89">
        <v>0</v>
      </c>
      <c r="E41" s="89"/>
      <c r="F41" s="89"/>
      <c r="G41" s="101">
        <f t="shared" si="0"/>
        <v>13481.24</v>
      </c>
      <c r="H41" s="89" t="s">
        <v>271</v>
      </c>
      <c r="I41" s="101">
        <f t="shared" si="1"/>
        <v>13481</v>
      </c>
      <c r="J41" s="267"/>
      <c r="L41" s="77"/>
      <c r="M41" s="77"/>
      <c r="N41" s="276"/>
      <c r="O41" s="276"/>
      <c r="P41" s="266"/>
    </row>
    <row r="42" spans="1:16" x14ac:dyDescent="0.4">
      <c r="A42" s="269" t="s">
        <v>1301</v>
      </c>
      <c r="B42" s="222" t="s">
        <v>1302</v>
      </c>
      <c r="C42" s="266">
        <v>245000</v>
      </c>
      <c r="D42" s="89"/>
      <c r="E42" s="89"/>
      <c r="F42" s="89"/>
      <c r="G42" s="101">
        <f t="shared" si="0"/>
        <v>245000</v>
      </c>
      <c r="H42" s="89" t="s">
        <v>271</v>
      </c>
      <c r="I42" s="101">
        <f t="shared" si="1"/>
        <v>245000</v>
      </c>
      <c r="J42" s="267"/>
      <c r="L42" s="77"/>
      <c r="M42" s="77"/>
      <c r="N42" s="276"/>
      <c r="O42" s="276"/>
      <c r="P42" s="266"/>
    </row>
    <row r="43" spans="1:16" x14ac:dyDescent="0.4">
      <c r="A43" s="269" t="s">
        <v>1303</v>
      </c>
      <c r="B43" s="222" t="s">
        <v>1316</v>
      </c>
      <c r="C43" s="266">
        <v>-169443.02</v>
      </c>
      <c r="D43" s="89"/>
      <c r="E43" s="89"/>
      <c r="F43" s="89"/>
      <c r="G43" s="101">
        <f t="shared" si="0"/>
        <v>-169443.02</v>
      </c>
      <c r="H43" s="89" t="s">
        <v>271</v>
      </c>
      <c r="I43" s="101">
        <f t="shared" si="1"/>
        <v>-169443</v>
      </c>
      <c r="J43" s="267"/>
      <c r="L43" s="77"/>
      <c r="M43" s="77"/>
      <c r="N43" s="276"/>
      <c r="O43" s="276"/>
      <c r="P43" s="266"/>
    </row>
    <row r="44" spans="1:16" x14ac:dyDescent="0.4">
      <c r="A44" s="269" t="s">
        <v>1004</v>
      </c>
      <c r="B44" s="222" t="s">
        <v>15</v>
      </c>
      <c r="C44" s="266">
        <v>5786.57</v>
      </c>
      <c r="D44" s="89"/>
      <c r="E44" s="89"/>
      <c r="F44" s="89"/>
      <c r="G44" s="101">
        <f t="shared" si="0"/>
        <v>5786.57</v>
      </c>
      <c r="H44" s="89" t="s">
        <v>271</v>
      </c>
      <c r="I44" s="101">
        <f t="shared" si="1"/>
        <v>5787</v>
      </c>
      <c r="J44" s="267">
        <f>SUM(I41:I51)</f>
        <v>436162</v>
      </c>
      <c r="L44" s="77"/>
      <c r="M44" s="77"/>
      <c r="N44" s="276"/>
      <c r="O44" s="276"/>
      <c r="P44" s="266"/>
    </row>
    <row r="45" spans="1:16" x14ac:dyDescent="0.4">
      <c r="A45" s="269" t="s">
        <v>1304</v>
      </c>
      <c r="B45" s="222" t="s">
        <v>1305</v>
      </c>
      <c r="C45" s="266">
        <v>0</v>
      </c>
      <c r="D45" s="89"/>
      <c r="E45" s="89"/>
      <c r="F45" s="89"/>
      <c r="G45" s="101">
        <f t="shared" si="0"/>
        <v>0</v>
      </c>
      <c r="H45" s="89" t="s">
        <v>860</v>
      </c>
      <c r="I45" s="101">
        <f t="shared" si="1"/>
        <v>0</v>
      </c>
      <c r="J45" s="267">
        <v>-436161.98</v>
      </c>
      <c r="L45" s="77"/>
      <c r="M45" s="77"/>
      <c r="N45" s="276"/>
      <c r="O45" s="276"/>
      <c r="P45" s="266"/>
    </row>
    <row r="46" spans="1:16" x14ac:dyDescent="0.4">
      <c r="A46" s="222" t="s">
        <v>1005</v>
      </c>
      <c r="B46" s="222" t="s">
        <v>935</v>
      </c>
      <c r="C46" s="266">
        <v>61034.41</v>
      </c>
      <c r="D46" s="89"/>
      <c r="E46" s="89"/>
      <c r="F46" s="89"/>
      <c r="G46" s="101">
        <f t="shared" si="0"/>
        <v>61034.41</v>
      </c>
      <c r="H46" s="89" t="s">
        <v>271</v>
      </c>
      <c r="I46" s="101">
        <f t="shared" si="1"/>
        <v>61034</v>
      </c>
      <c r="J46" s="267">
        <f>SUM(J44:J45)</f>
        <v>0.02</v>
      </c>
      <c r="L46" s="77"/>
      <c r="M46" s="77"/>
      <c r="N46" s="276"/>
      <c r="O46" s="276"/>
      <c r="P46" s="266"/>
    </row>
    <row r="47" spans="1:16" x14ac:dyDescent="0.4">
      <c r="A47" s="222" t="s">
        <v>1006</v>
      </c>
      <c r="B47" s="222" t="s">
        <v>936</v>
      </c>
      <c r="C47" s="266">
        <v>103071.61</v>
      </c>
      <c r="D47" s="89"/>
      <c r="E47" s="89"/>
      <c r="F47" s="89"/>
      <c r="G47" s="101">
        <f t="shared" si="0"/>
        <v>103071.61</v>
      </c>
      <c r="H47" s="89" t="s">
        <v>271</v>
      </c>
      <c r="I47" s="101">
        <f t="shared" si="1"/>
        <v>103072</v>
      </c>
      <c r="J47" s="267"/>
      <c r="L47" s="77"/>
      <c r="M47" s="77"/>
      <c r="N47" s="276"/>
      <c r="O47" s="276"/>
      <c r="P47" s="266"/>
    </row>
    <row r="48" spans="1:16" x14ac:dyDescent="0.4">
      <c r="A48" s="222" t="s">
        <v>1007</v>
      </c>
      <c r="B48" s="222" t="s">
        <v>937</v>
      </c>
      <c r="C48" s="266">
        <v>93498.37</v>
      </c>
      <c r="D48" s="89"/>
      <c r="E48" s="89"/>
      <c r="F48" s="89"/>
      <c r="G48" s="101">
        <f t="shared" si="0"/>
        <v>93498.37</v>
      </c>
      <c r="H48" s="89" t="s">
        <v>271</v>
      </c>
      <c r="I48" s="101">
        <f t="shared" si="1"/>
        <v>93498</v>
      </c>
      <c r="J48" s="267"/>
      <c r="L48" s="77"/>
      <c r="M48" s="77"/>
      <c r="N48" s="276"/>
      <c r="O48" s="276"/>
      <c r="P48" s="266"/>
    </row>
    <row r="49" spans="1:16" x14ac:dyDescent="0.4">
      <c r="A49" s="274" t="s">
        <v>1008</v>
      </c>
      <c r="B49" s="222" t="s">
        <v>938</v>
      </c>
      <c r="C49" s="266">
        <v>48493.16</v>
      </c>
      <c r="D49" s="89"/>
      <c r="E49" s="89"/>
      <c r="F49" s="89"/>
      <c r="G49" s="101">
        <f t="shared" si="0"/>
        <v>48493.16</v>
      </c>
      <c r="H49" s="89" t="s">
        <v>271</v>
      </c>
      <c r="I49" s="101">
        <f t="shared" si="1"/>
        <v>48493</v>
      </c>
      <c r="J49" s="267">
        <f>-SUM(I55:I65)</f>
        <v>2129773</v>
      </c>
      <c r="L49" s="77"/>
      <c r="M49" s="77"/>
      <c r="N49" s="276"/>
      <c r="O49" s="276"/>
      <c r="P49" s="266"/>
    </row>
    <row r="50" spans="1:16" x14ac:dyDescent="0.4">
      <c r="A50" s="222" t="s">
        <v>1009</v>
      </c>
      <c r="B50" s="222" t="s">
        <v>939</v>
      </c>
      <c r="C50" s="266">
        <v>34939.64</v>
      </c>
      <c r="D50" s="89"/>
      <c r="E50" s="89"/>
      <c r="F50" s="89"/>
      <c r="G50" s="101">
        <f t="shared" si="0"/>
        <v>34939.64</v>
      </c>
      <c r="H50" s="89" t="s">
        <v>271</v>
      </c>
      <c r="I50" s="101">
        <f t="shared" si="1"/>
        <v>34940</v>
      </c>
      <c r="J50" s="267">
        <v>-2129773.06</v>
      </c>
      <c r="L50" s="77"/>
      <c r="M50" s="77"/>
      <c r="N50" s="276"/>
      <c r="O50" s="276"/>
      <c r="P50" s="266"/>
    </row>
    <row r="51" spans="1:16" x14ac:dyDescent="0.4">
      <c r="A51" s="222" t="s">
        <v>1010</v>
      </c>
      <c r="B51" s="222" t="s">
        <v>940</v>
      </c>
      <c r="C51" s="266">
        <v>300</v>
      </c>
      <c r="D51" s="89"/>
      <c r="E51" s="89"/>
      <c r="F51" s="89"/>
      <c r="G51" s="101">
        <f t="shared" si="0"/>
        <v>300</v>
      </c>
      <c r="H51" s="89" t="s">
        <v>264</v>
      </c>
      <c r="I51" s="101">
        <f t="shared" si="1"/>
        <v>300</v>
      </c>
      <c r="J51" s="267">
        <f>SUM(J49:J50)</f>
        <v>-0.06</v>
      </c>
      <c r="L51" s="77"/>
      <c r="M51" s="77"/>
      <c r="N51" s="276"/>
      <c r="O51" s="276"/>
      <c r="P51" s="266"/>
    </row>
    <row r="52" spans="1:16" x14ac:dyDescent="0.4">
      <c r="A52" s="222" t="s">
        <v>363</v>
      </c>
      <c r="B52" s="222" t="s">
        <v>64</v>
      </c>
      <c r="C52" s="266">
        <v>-1253412.51</v>
      </c>
      <c r="D52" s="89">
        <v>0</v>
      </c>
      <c r="E52" s="89"/>
      <c r="F52" s="89"/>
      <c r="G52" s="101">
        <f t="shared" si="0"/>
        <v>-1253412.51</v>
      </c>
      <c r="H52" s="89" t="s">
        <v>859</v>
      </c>
      <c r="I52" s="101">
        <f t="shared" si="1"/>
        <v>-1253413</v>
      </c>
      <c r="J52" s="267"/>
      <c r="L52" s="77"/>
      <c r="M52" s="77"/>
      <c r="N52" s="276"/>
      <c r="O52" s="276"/>
      <c r="P52" s="266"/>
    </row>
    <row r="53" spans="1:16" x14ac:dyDescent="0.4">
      <c r="A53" s="269" t="s">
        <v>1317</v>
      </c>
      <c r="B53" s="222" t="s">
        <v>1318</v>
      </c>
      <c r="C53" s="266">
        <v>-32.18</v>
      </c>
      <c r="D53" s="89"/>
      <c r="E53" s="89"/>
      <c r="F53" s="89"/>
      <c r="G53" s="101">
        <f t="shared" ref="G53" si="3">SUM(C53:F53)</f>
        <v>-32.18</v>
      </c>
      <c r="H53" s="89" t="s">
        <v>860</v>
      </c>
      <c r="I53" s="101">
        <f t="shared" si="1"/>
        <v>-32</v>
      </c>
      <c r="L53" s="77"/>
      <c r="M53" s="77"/>
      <c r="N53" s="276"/>
      <c r="O53" s="276"/>
      <c r="P53" s="266"/>
    </row>
    <row r="54" spans="1:16" x14ac:dyDescent="0.4">
      <c r="A54" s="222" t="s">
        <v>1011</v>
      </c>
      <c r="B54" s="222" t="s">
        <v>941</v>
      </c>
      <c r="C54" s="266">
        <v>-75004.27</v>
      </c>
      <c r="D54" s="77">
        <v>0</v>
      </c>
      <c r="E54" s="89"/>
      <c r="F54" s="89"/>
      <c r="G54" s="101">
        <f t="shared" si="0"/>
        <v>-75004.27</v>
      </c>
      <c r="H54" s="89" t="s">
        <v>860</v>
      </c>
      <c r="I54" s="101">
        <f t="shared" si="1"/>
        <v>-75004</v>
      </c>
      <c r="L54" s="77"/>
      <c r="M54" s="77"/>
      <c r="N54" s="276"/>
      <c r="O54" s="276"/>
      <c r="P54" s="266"/>
    </row>
    <row r="55" spans="1:16" x14ac:dyDescent="0.4">
      <c r="A55" s="222" t="s">
        <v>1012</v>
      </c>
      <c r="B55" s="222" t="s">
        <v>1319</v>
      </c>
      <c r="C55" s="266">
        <f>-'[1]TB 1st QTR 19'!I51</f>
        <v>0</v>
      </c>
      <c r="D55" s="89">
        <f>-'[2]Debt Rollforward'!$AL$96</f>
        <v>-769551.67</v>
      </c>
      <c r="E55" s="89"/>
      <c r="F55" s="89"/>
      <c r="G55" s="101">
        <f t="shared" si="0"/>
        <v>-769551.67</v>
      </c>
      <c r="H55" s="89" t="s">
        <v>273</v>
      </c>
      <c r="I55" s="101">
        <f t="shared" si="1"/>
        <v>-769552</v>
      </c>
      <c r="L55" s="77"/>
      <c r="M55" s="77"/>
      <c r="N55" s="276"/>
      <c r="O55" s="276"/>
      <c r="P55" s="266"/>
    </row>
    <row r="56" spans="1:16" x14ac:dyDescent="0.4">
      <c r="A56" s="269" t="s">
        <v>1320</v>
      </c>
      <c r="B56" s="222" t="s">
        <v>1321</v>
      </c>
      <c r="C56" s="266">
        <f>-'[1]TB 1st QTR 19'!I51-C55</f>
        <v>0</v>
      </c>
      <c r="D56" s="89">
        <f>-D55</f>
        <v>769551.67</v>
      </c>
      <c r="E56" s="89"/>
      <c r="F56" s="89"/>
      <c r="G56" s="101">
        <f t="shared" ref="G56" si="4">SUM(C56:F56)</f>
        <v>769551.67</v>
      </c>
      <c r="H56" s="89" t="s">
        <v>274</v>
      </c>
      <c r="I56" s="101">
        <f t="shared" si="1"/>
        <v>769552</v>
      </c>
      <c r="J56" s="267"/>
      <c r="L56" s="77"/>
      <c r="M56" s="77"/>
      <c r="N56" s="276"/>
      <c r="O56" s="276"/>
      <c r="P56" s="266"/>
    </row>
    <row r="57" spans="1:16" x14ac:dyDescent="0.4">
      <c r="A57" s="274" t="s">
        <v>1013</v>
      </c>
      <c r="B57" s="271" t="s">
        <v>942</v>
      </c>
      <c r="C57" s="266">
        <v>-248122.65</v>
      </c>
      <c r="D57" s="89"/>
      <c r="E57" s="89"/>
      <c r="F57" s="89"/>
      <c r="G57" s="101">
        <f t="shared" si="0"/>
        <v>-248122.65</v>
      </c>
      <c r="H57" s="89" t="s">
        <v>860</v>
      </c>
      <c r="I57" s="101">
        <f t="shared" si="1"/>
        <v>-248123</v>
      </c>
      <c r="J57" s="267"/>
      <c r="L57" s="77"/>
      <c r="M57" s="77"/>
      <c r="N57" s="276"/>
      <c r="O57" s="276"/>
      <c r="P57" s="266"/>
    </row>
    <row r="58" spans="1:16" x14ac:dyDescent="0.4">
      <c r="A58" s="275" t="s">
        <v>1509</v>
      </c>
      <c r="B58" s="271" t="s">
        <v>1510</v>
      </c>
      <c r="C58" s="266">
        <v>-62030.14</v>
      </c>
      <c r="D58" s="89"/>
      <c r="E58" s="89"/>
      <c r="F58" s="89"/>
      <c r="G58" s="101">
        <f t="shared" si="0"/>
        <v>-62030.14</v>
      </c>
      <c r="H58" s="89" t="s">
        <v>1297</v>
      </c>
      <c r="I58" s="101">
        <f t="shared" si="1"/>
        <v>-62030</v>
      </c>
      <c r="J58" s="267"/>
      <c r="L58" s="77"/>
      <c r="M58" s="77"/>
      <c r="N58" s="276"/>
      <c r="O58" s="276"/>
      <c r="P58" s="266"/>
    </row>
    <row r="59" spans="1:16" x14ac:dyDescent="0.4">
      <c r="A59" s="274" t="s">
        <v>1014</v>
      </c>
      <c r="B59" s="271" t="s">
        <v>1511</v>
      </c>
      <c r="C59" s="266">
        <v>-91845.21</v>
      </c>
      <c r="D59" s="89">
        <v>0</v>
      </c>
      <c r="E59" s="89"/>
      <c r="F59" s="89"/>
      <c r="G59" s="101">
        <f t="shared" si="0"/>
        <v>-91845.21</v>
      </c>
      <c r="H59" s="89" t="s">
        <v>1297</v>
      </c>
      <c r="I59" s="101">
        <f t="shared" si="1"/>
        <v>-91845</v>
      </c>
      <c r="J59" s="267"/>
      <c r="L59" s="77"/>
      <c r="M59" s="77"/>
      <c r="N59" s="276"/>
      <c r="O59" s="276"/>
      <c r="P59" s="266"/>
    </row>
    <row r="60" spans="1:16" x14ac:dyDescent="0.4">
      <c r="A60" s="274" t="s">
        <v>1306</v>
      </c>
      <c r="B60" s="271" t="s">
        <v>1322</v>
      </c>
      <c r="C60" s="266">
        <v>-660498.89</v>
      </c>
      <c r="D60" s="89"/>
      <c r="E60" s="89"/>
      <c r="F60" s="89"/>
      <c r="G60" s="101">
        <f t="shared" si="0"/>
        <v>-660498.89</v>
      </c>
      <c r="H60" s="89" t="s">
        <v>1297</v>
      </c>
      <c r="I60" s="101">
        <f>ROUND(G60,0)</f>
        <v>-660499</v>
      </c>
      <c r="J60" s="267"/>
      <c r="L60" s="77"/>
      <c r="M60" s="77"/>
      <c r="N60" s="276"/>
      <c r="O60" s="276"/>
      <c r="P60" s="266"/>
    </row>
    <row r="61" spans="1:16" x14ac:dyDescent="0.4">
      <c r="A61" s="222" t="s">
        <v>1308</v>
      </c>
      <c r="B61" s="222" t="s">
        <v>1309</v>
      </c>
      <c r="C61" s="266">
        <v>-20842.55</v>
      </c>
      <c r="D61" s="89"/>
      <c r="E61" s="89"/>
      <c r="F61" s="89"/>
      <c r="G61" s="101">
        <f t="shared" si="0"/>
        <v>-20842.55</v>
      </c>
      <c r="H61" s="89" t="s">
        <v>860</v>
      </c>
      <c r="I61" s="101">
        <f t="shared" si="1"/>
        <v>-20843</v>
      </c>
      <c r="J61" s="267"/>
      <c r="L61" s="77"/>
      <c r="M61" s="77"/>
      <c r="N61" s="276"/>
      <c r="O61" s="276"/>
      <c r="P61" s="266"/>
    </row>
    <row r="62" spans="1:16" x14ac:dyDescent="0.4">
      <c r="A62" s="269" t="s">
        <v>1513</v>
      </c>
      <c r="B62" s="222" t="s">
        <v>1514</v>
      </c>
      <c r="C62" s="266">
        <v>-594747.37</v>
      </c>
      <c r="D62" s="89"/>
      <c r="E62" s="89"/>
      <c r="F62" s="89">
        <v>0</v>
      </c>
      <c r="G62" s="101">
        <f t="shared" ref="G62" si="5">SUM(C62:F62)</f>
        <v>-594747.37</v>
      </c>
      <c r="H62" s="89" t="s">
        <v>1515</v>
      </c>
      <c r="I62" s="101">
        <f t="shared" ref="I62" si="6">ROUND(G62,0)</f>
        <v>-594747</v>
      </c>
      <c r="J62" s="267"/>
      <c r="L62" s="77"/>
      <c r="M62" s="77"/>
      <c r="N62" s="276"/>
      <c r="O62" s="276"/>
      <c r="P62" s="266"/>
    </row>
    <row r="63" spans="1:16" x14ac:dyDescent="0.4">
      <c r="A63" s="269" t="s">
        <v>1527</v>
      </c>
      <c r="B63" s="222" t="s">
        <v>1528</v>
      </c>
      <c r="C63" s="266">
        <v>-194686.25</v>
      </c>
      <c r="D63" s="89">
        <v>0</v>
      </c>
      <c r="E63" s="89"/>
      <c r="F63" s="89"/>
      <c r="G63" s="101">
        <f t="shared" ref="G63:G65" si="7">SUM(C63:F63)</f>
        <v>-194686.25</v>
      </c>
      <c r="H63" s="89" t="s">
        <v>1559</v>
      </c>
      <c r="I63" s="101">
        <f t="shared" si="1"/>
        <v>-194686</v>
      </c>
      <c r="J63" s="267"/>
      <c r="L63" s="77"/>
      <c r="M63" s="77"/>
      <c r="N63" s="276"/>
      <c r="O63" s="276"/>
      <c r="P63" s="266"/>
    </row>
    <row r="64" spans="1:16" x14ac:dyDescent="0.4">
      <c r="A64" s="269" t="s">
        <v>1571</v>
      </c>
      <c r="B64" s="222" t="s">
        <v>1572</v>
      </c>
      <c r="C64" s="266">
        <v>-132000</v>
      </c>
      <c r="D64" s="89"/>
      <c r="E64" s="89"/>
      <c r="F64" s="89"/>
      <c r="G64" s="101">
        <f t="shared" si="7"/>
        <v>-132000</v>
      </c>
      <c r="H64" s="89" t="s">
        <v>273</v>
      </c>
      <c r="I64" s="101">
        <f t="shared" si="1"/>
        <v>-132000</v>
      </c>
      <c r="J64" s="267"/>
      <c r="L64" s="77"/>
      <c r="M64" s="77"/>
      <c r="N64" s="276"/>
      <c r="O64" s="276"/>
      <c r="P64" s="266"/>
    </row>
    <row r="65" spans="1:16" x14ac:dyDescent="0.4">
      <c r="A65" s="269" t="s">
        <v>1583</v>
      </c>
      <c r="B65" s="222" t="s">
        <v>1584</v>
      </c>
      <c r="C65" s="266">
        <v>-125000</v>
      </c>
      <c r="D65" s="89"/>
      <c r="E65" s="89"/>
      <c r="F65" s="89"/>
      <c r="G65" s="101">
        <f t="shared" si="7"/>
        <v>-125000</v>
      </c>
      <c r="H65" s="89" t="s">
        <v>273</v>
      </c>
      <c r="I65" s="101">
        <f t="shared" si="1"/>
        <v>-125000</v>
      </c>
      <c r="J65" s="267"/>
      <c r="L65" s="77"/>
      <c r="M65" s="77"/>
      <c r="N65" s="276"/>
      <c r="O65" s="276"/>
      <c r="P65" s="266"/>
    </row>
    <row r="66" spans="1:16" x14ac:dyDescent="0.4">
      <c r="A66" s="269" t="s">
        <v>1017</v>
      </c>
      <c r="B66" s="222" t="s">
        <v>1310</v>
      </c>
      <c r="C66" s="266">
        <v>-239411.51</v>
      </c>
      <c r="D66" s="89"/>
      <c r="E66" s="89"/>
      <c r="F66" s="89"/>
      <c r="G66" s="101">
        <f t="shared" si="0"/>
        <v>-239411.51</v>
      </c>
      <c r="H66" s="89" t="s">
        <v>1298</v>
      </c>
      <c r="I66" s="101">
        <f t="shared" si="1"/>
        <v>-239412</v>
      </c>
      <c r="J66" s="267"/>
      <c r="L66" s="77"/>
      <c r="M66" s="77"/>
      <c r="N66" s="276"/>
      <c r="O66" s="276"/>
      <c r="P66" s="266"/>
    </row>
    <row r="67" spans="1:16" x14ac:dyDescent="0.4">
      <c r="A67" s="269" t="s">
        <v>1018</v>
      </c>
      <c r="B67" s="222" t="s">
        <v>947</v>
      </c>
      <c r="C67" s="266">
        <v>-43346.97</v>
      </c>
      <c r="D67" s="89"/>
      <c r="E67" s="89"/>
      <c r="F67" s="89"/>
      <c r="G67" s="101">
        <f t="shared" si="0"/>
        <v>-43346.97</v>
      </c>
      <c r="H67" s="89" t="s">
        <v>274</v>
      </c>
      <c r="I67" s="101">
        <f t="shared" si="1"/>
        <v>-43347</v>
      </c>
      <c r="J67" s="267">
        <v>8881781.6099999994</v>
      </c>
      <c r="L67" s="77"/>
      <c r="M67" s="77"/>
      <c r="N67" s="276"/>
      <c r="O67" s="276"/>
      <c r="P67" s="266"/>
    </row>
    <row r="68" spans="1:16" x14ac:dyDescent="0.4">
      <c r="A68" s="269" t="s">
        <v>1019</v>
      </c>
      <c r="B68" s="222" t="s">
        <v>948</v>
      </c>
      <c r="C68" s="266">
        <v>-15635.55</v>
      </c>
      <c r="D68" s="89"/>
      <c r="E68" s="89"/>
      <c r="F68" s="89"/>
      <c r="G68" s="101">
        <f t="shared" si="0"/>
        <v>-15635.55</v>
      </c>
      <c r="H68" s="89" t="s">
        <v>274</v>
      </c>
      <c r="I68" s="101">
        <f t="shared" si="1"/>
        <v>-15636</v>
      </c>
      <c r="J68" s="267">
        <f>SUM(I66:I92)</f>
        <v>-8881776</v>
      </c>
      <c r="L68" s="278"/>
      <c r="M68" s="77"/>
      <c r="N68" s="276"/>
      <c r="O68" s="276"/>
      <c r="P68" s="266"/>
    </row>
    <row r="69" spans="1:16" x14ac:dyDescent="0.4">
      <c r="A69" s="269" t="s">
        <v>1020</v>
      </c>
      <c r="B69" s="222" t="s">
        <v>949</v>
      </c>
      <c r="C69" s="266">
        <v>-42548.45</v>
      </c>
      <c r="D69" s="89"/>
      <c r="E69" s="89"/>
      <c r="F69" s="89"/>
      <c r="G69" s="101">
        <f t="shared" si="0"/>
        <v>-42548.45</v>
      </c>
      <c r="H69" s="89" t="s">
        <v>274</v>
      </c>
      <c r="I69" s="101">
        <f t="shared" si="1"/>
        <v>-42548</v>
      </c>
      <c r="J69" s="267">
        <f>SUM(J67:J68)</f>
        <v>5.61</v>
      </c>
      <c r="L69" s="278"/>
      <c r="M69" s="77"/>
      <c r="N69" s="276"/>
      <c r="O69" s="276"/>
      <c r="P69" s="266"/>
    </row>
    <row r="70" spans="1:16" x14ac:dyDescent="0.4">
      <c r="A70" s="269" t="s">
        <v>1021</v>
      </c>
      <c r="B70" s="222" t="s">
        <v>950</v>
      </c>
      <c r="C70" s="266">
        <v>-57003.66</v>
      </c>
      <c r="D70" s="89"/>
      <c r="E70" s="89"/>
      <c r="F70" s="89"/>
      <c r="G70" s="101">
        <f t="shared" si="0"/>
        <v>-57003.66</v>
      </c>
      <c r="H70" s="89" t="s">
        <v>274</v>
      </c>
      <c r="I70" s="101">
        <f t="shared" si="1"/>
        <v>-57004</v>
      </c>
      <c r="J70" s="267"/>
      <c r="L70" s="77"/>
      <c r="M70" s="77"/>
      <c r="N70" s="276"/>
      <c r="O70" s="276"/>
      <c r="P70" s="266"/>
    </row>
    <row r="71" spans="1:16" x14ac:dyDescent="0.4">
      <c r="A71" s="269" t="s">
        <v>1311</v>
      </c>
      <c r="B71" s="222" t="s">
        <v>1312</v>
      </c>
      <c r="C71" s="266">
        <v>-110224.37</v>
      </c>
      <c r="E71" s="89"/>
      <c r="F71" s="89"/>
      <c r="G71" s="101">
        <f t="shared" ref="G71:G94" si="8">SUM(C71:F71)</f>
        <v>-110224.37</v>
      </c>
      <c r="H71" s="89" t="s">
        <v>1517</v>
      </c>
      <c r="I71" s="101">
        <f t="shared" si="1"/>
        <v>-110224</v>
      </c>
      <c r="J71" s="267"/>
      <c r="K71" s="279"/>
      <c r="L71" s="77"/>
      <c r="M71" s="77"/>
      <c r="N71" s="276"/>
      <c r="O71" s="276"/>
      <c r="P71" s="266"/>
    </row>
    <row r="72" spans="1:16" x14ac:dyDescent="0.4">
      <c r="A72" s="269" t="s">
        <v>1313</v>
      </c>
      <c r="B72" s="222" t="s">
        <v>1314</v>
      </c>
      <c r="C72" s="266">
        <v>-5055336.83</v>
      </c>
      <c r="D72" s="89"/>
      <c r="E72" s="89"/>
      <c r="F72" s="89"/>
      <c r="G72" s="101">
        <f>SUM(C72:F72)+7</f>
        <v>-5055329.83</v>
      </c>
      <c r="H72" s="89" t="s">
        <v>1516</v>
      </c>
      <c r="I72" s="101">
        <f>ROUND(G72,0)</f>
        <v>-5055330</v>
      </c>
      <c r="J72" s="267"/>
      <c r="L72" s="77"/>
      <c r="M72" s="77"/>
      <c r="N72" s="276"/>
      <c r="O72" s="276"/>
      <c r="P72" s="266"/>
    </row>
    <row r="73" spans="1:16" x14ac:dyDescent="0.4">
      <c r="A73" s="269" t="s">
        <v>1477</v>
      </c>
      <c r="B73" s="222" t="s">
        <v>1479</v>
      </c>
      <c r="C73" s="266">
        <v>-106544.08</v>
      </c>
      <c r="D73" s="89"/>
      <c r="E73" s="89"/>
      <c r="F73" s="89"/>
      <c r="G73" s="101">
        <f t="shared" si="8"/>
        <v>-106544.08</v>
      </c>
      <c r="H73" s="89" t="s">
        <v>274</v>
      </c>
      <c r="I73" s="101">
        <f>ROUND(G73,0)</f>
        <v>-106544</v>
      </c>
      <c r="J73" s="267"/>
      <c r="L73" s="77"/>
      <c r="M73" s="77"/>
      <c r="N73" s="276"/>
      <c r="O73" s="276"/>
      <c r="P73" s="266"/>
    </row>
    <row r="74" spans="1:16" x14ac:dyDescent="0.4">
      <c r="A74" s="269" t="s">
        <v>1485</v>
      </c>
      <c r="B74" s="222" t="s">
        <v>1486</v>
      </c>
      <c r="C74" s="266">
        <v>-149473.03</v>
      </c>
      <c r="D74" s="89"/>
      <c r="E74" s="89"/>
      <c r="F74" s="89"/>
      <c r="G74" s="101">
        <f t="shared" si="8"/>
        <v>-149473.03</v>
      </c>
      <c r="H74" s="89" t="s">
        <v>274</v>
      </c>
      <c r="I74" s="101">
        <f>ROUND(G74,0)</f>
        <v>-149473</v>
      </c>
      <c r="J74" s="267"/>
      <c r="L74" s="77"/>
      <c r="M74" s="77"/>
      <c r="N74" s="276"/>
      <c r="O74" s="276"/>
      <c r="P74" s="266"/>
    </row>
    <row r="75" spans="1:16" x14ac:dyDescent="0.4">
      <c r="A75" s="269" t="s">
        <v>1478</v>
      </c>
      <c r="B75" s="222" t="s">
        <v>1480</v>
      </c>
      <c r="C75" s="266">
        <v>-98920.69</v>
      </c>
      <c r="D75" s="89"/>
      <c r="E75" s="89"/>
      <c r="F75" s="89"/>
      <c r="G75" s="101">
        <f t="shared" si="8"/>
        <v>-98920.69</v>
      </c>
      <c r="H75" s="89" t="s">
        <v>274</v>
      </c>
      <c r="I75" s="101">
        <f t="shared" ref="I75:I92" si="9">ROUND(G75,0)</f>
        <v>-98921</v>
      </c>
      <c r="J75" s="267"/>
      <c r="L75" s="77"/>
      <c r="M75" s="77"/>
      <c r="N75" s="276"/>
      <c r="O75" s="276"/>
      <c r="P75" s="266"/>
    </row>
    <row r="76" spans="1:16" x14ac:dyDescent="0.4">
      <c r="A76" s="269" t="s">
        <v>1487</v>
      </c>
      <c r="B76" s="222" t="s">
        <v>1490</v>
      </c>
      <c r="C76" s="266">
        <v>-33704.550000000003</v>
      </c>
      <c r="D76" s="89"/>
      <c r="E76" s="89"/>
      <c r="F76" s="89"/>
      <c r="G76" s="101">
        <f t="shared" si="8"/>
        <v>-33704.550000000003</v>
      </c>
      <c r="H76" s="89" t="s">
        <v>274</v>
      </c>
      <c r="I76" s="101">
        <f t="shared" si="9"/>
        <v>-33705</v>
      </c>
      <c r="J76" s="267"/>
      <c r="L76" s="77">
        <f>SUM(I73:I78,I63,I67,I68,I69,I70)</f>
        <v>-871984</v>
      </c>
      <c r="M76" s="77"/>
      <c r="N76" s="276"/>
      <c r="O76" s="276"/>
      <c r="P76" s="266"/>
    </row>
    <row r="77" spans="1:16" x14ac:dyDescent="0.4">
      <c r="A77" s="269" t="s">
        <v>1488</v>
      </c>
      <c r="B77" s="222" t="s">
        <v>1491</v>
      </c>
      <c r="C77" s="266">
        <v>-120000</v>
      </c>
      <c r="D77" s="89"/>
      <c r="E77" s="89"/>
      <c r="F77" s="89"/>
      <c r="G77" s="101">
        <f t="shared" si="8"/>
        <v>-120000</v>
      </c>
      <c r="H77" s="89" t="s">
        <v>274</v>
      </c>
      <c r="I77" s="101">
        <f t="shared" si="9"/>
        <v>-120000</v>
      </c>
      <c r="J77" s="267"/>
      <c r="L77" s="77"/>
      <c r="M77" s="77"/>
      <c r="N77" s="276"/>
      <c r="O77" s="276"/>
      <c r="P77" s="266"/>
    </row>
    <row r="78" spans="1:16" x14ac:dyDescent="0.4">
      <c r="A78" s="269" t="s">
        <v>1489</v>
      </c>
      <c r="B78" s="222" t="s">
        <v>1492</v>
      </c>
      <c r="C78" s="266">
        <v>-10120.280000000001</v>
      </c>
      <c r="D78" s="89"/>
      <c r="E78" s="89"/>
      <c r="F78" s="89"/>
      <c r="G78" s="101">
        <f t="shared" si="8"/>
        <v>-10120.280000000001</v>
      </c>
      <c r="H78" s="89" t="s">
        <v>274</v>
      </c>
      <c r="I78" s="101">
        <f t="shared" si="9"/>
        <v>-10120</v>
      </c>
      <c r="J78" s="267"/>
      <c r="L78" s="77"/>
      <c r="M78" s="77"/>
      <c r="N78" s="276"/>
      <c r="O78" s="276"/>
      <c r="P78" s="266"/>
    </row>
    <row r="79" spans="1:16" x14ac:dyDescent="0.4">
      <c r="A79" s="269" t="s">
        <v>1529</v>
      </c>
      <c r="B79" s="222" t="s">
        <v>1537</v>
      </c>
      <c r="C79" s="266">
        <v>-302867.37</v>
      </c>
      <c r="D79" s="89"/>
      <c r="E79" s="89"/>
      <c r="F79" s="89"/>
      <c r="G79" s="101">
        <f t="shared" si="8"/>
        <v>-302867.37</v>
      </c>
      <c r="H79" s="89" t="s">
        <v>274</v>
      </c>
      <c r="I79" s="101">
        <f t="shared" si="9"/>
        <v>-302867</v>
      </c>
      <c r="J79" s="267"/>
      <c r="L79" s="77"/>
      <c r="M79" s="77"/>
      <c r="N79" s="276"/>
      <c r="O79" s="276"/>
      <c r="P79" s="266"/>
    </row>
    <row r="80" spans="1:16" x14ac:dyDescent="0.4">
      <c r="A80" s="269" t="s">
        <v>1530</v>
      </c>
      <c r="B80" s="222" t="s">
        <v>1538</v>
      </c>
      <c r="C80" s="266">
        <v>-271324.13</v>
      </c>
      <c r="D80" s="89"/>
      <c r="E80" s="89"/>
      <c r="F80" s="89"/>
      <c r="G80" s="101">
        <f t="shared" si="8"/>
        <v>-271324.13</v>
      </c>
      <c r="H80" s="89" t="s">
        <v>274</v>
      </c>
      <c r="I80" s="101">
        <f t="shared" si="9"/>
        <v>-271324</v>
      </c>
      <c r="J80" s="267"/>
      <c r="L80" s="77"/>
      <c r="M80" s="77"/>
      <c r="N80" s="276"/>
      <c r="O80" s="276"/>
      <c r="P80" s="266"/>
    </row>
    <row r="81" spans="1:18" x14ac:dyDescent="0.4">
      <c r="A81" s="269" t="s">
        <v>1531</v>
      </c>
      <c r="B81" s="222" t="s">
        <v>1539</v>
      </c>
      <c r="C81" s="266">
        <v>-271324.13</v>
      </c>
      <c r="D81" s="89"/>
      <c r="E81" s="89"/>
      <c r="F81" s="89"/>
      <c r="G81" s="101">
        <f t="shared" si="8"/>
        <v>-271324.13</v>
      </c>
      <c r="H81" s="89" t="s">
        <v>274</v>
      </c>
      <c r="I81" s="101">
        <f t="shared" si="9"/>
        <v>-271324</v>
      </c>
      <c r="J81" s="267"/>
      <c r="L81" s="77"/>
      <c r="M81" s="77"/>
      <c r="N81" s="276"/>
      <c r="O81" s="276"/>
      <c r="P81" s="266"/>
    </row>
    <row r="82" spans="1:18" x14ac:dyDescent="0.4">
      <c r="A82" s="269" t="s">
        <v>1532</v>
      </c>
      <c r="B82" s="222" t="s">
        <v>1540</v>
      </c>
      <c r="C82" s="266">
        <v>-271324.13</v>
      </c>
      <c r="D82" s="89"/>
      <c r="E82" s="89"/>
      <c r="F82" s="89"/>
      <c r="G82" s="101">
        <f t="shared" si="8"/>
        <v>-271324.13</v>
      </c>
      <c r="H82" s="89" t="s">
        <v>274</v>
      </c>
      <c r="I82" s="101">
        <f t="shared" si="9"/>
        <v>-271324</v>
      </c>
      <c r="J82" s="267"/>
      <c r="L82" s="77"/>
      <c r="M82" s="77"/>
      <c r="N82" s="276"/>
      <c r="O82" s="276"/>
      <c r="P82" s="266"/>
    </row>
    <row r="83" spans="1:18" x14ac:dyDescent="0.4">
      <c r="A83" s="269" t="s">
        <v>1533</v>
      </c>
      <c r="B83" s="222" t="s">
        <v>1541</v>
      </c>
      <c r="C83" s="266">
        <v>-271324.13</v>
      </c>
      <c r="D83" s="89"/>
      <c r="E83" s="89"/>
      <c r="F83" s="89"/>
      <c r="G83" s="101">
        <f t="shared" si="8"/>
        <v>-271324.13</v>
      </c>
      <c r="H83" s="89" t="s">
        <v>274</v>
      </c>
      <c r="I83" s="101">
        <f t="shared" si="9"/>
        <v>-271324</v>
      </c>
      <c r="J83" s="267"/>
      <c r="L83" s="77"/>
      <c r="M83" s="77"/>
      <c r="N83" s="276"/>
      <c r="O83" s="276"/>
      <c r="P83" s="266"/>
    </row>
    <row r="84" spans="1:18" x14ac:dyDescent="0.4">
      <c r="A84" s="269" t="s">
        <v>1534</v>
      </c>
      <c r="B84" s="222" t="s">
        <v>1542</v>
      </c>
      <c r="C84" s="266">
        <v>-171616.5</v>
      </c>
      <c r="D84" s="89"/>
      <c r="E84" s="89"/>
      <c r="F84" s="89"/>
      <c r="G84" s="101">
        <f t="shared" si="8"/>
        <v>-171616.5</v>
      </c>
      <c r="H84" s="89" t="s">
        <v>274</v>
      </c>
      <c r="I84" s="101">
        <f t="shared" si="9"/>
        <v>-171617</v>
      </c>
      <c r="J84" s="267"/>
      <c r="L84" s="77"/>
      <c r="M84" s="77"/>
      <c r="N84" s="276"/>
      <c r="O84" s="276"/>
      <c r="P84" s="266"/>
    </row>
    <row r="85" spans="1:18" x14ac:dyDescent="0.4">
      <c r="A85" s="269" t="s">
        <v>1535</v>
      </c>
      <c r="B85" s="222" t="s">
        <v>1543</v>
      </c>
      <c r="C85" s="266">
        <v>-59061.58</v>
      </c>
      <c r="D85" s="89"/>
      <c r="E85" s="89"/>
      <c r="F85" s="89"/>
      <c r="G85" s="101">
        <f t="shared" si="8"/>
        <v>-59061.58</v>
      </c>
      <c r="H85" s="89" t="s">
        <v>274</v>
      </c>
      <c r="I85" s="403">
        <f t="shared" si="9"/>
        <v>-59062</v>
      </c>
      <c r="J85" s="267"/>
      <c r="L85" s="77"/>
      <c r="M85" s="77"/>
      <c r="N85" s="276"/>
      <c r="O85" s="276"/>
      <c r="P85" s="266"/>
    </row>
    <row r="86" spans="1:18" x14ac:dyDescent="0.4">
      <c r="A86" s="269" t="s">
        <v>1536</v>
      </c>
      <c r="B86" s="222" t="s">
        <v>1544</v>
      </c>
      <c r="C86" s="266">
        <v>-413017.26</v>
      </c>
      <c r="D86" s="89"/>
      <c r="E86" s="89"/>
      <c r="F86" s="89"/>
      <c r="G86" s="101">
        <f t="shared" si="8"/>
        <v>-413017.26</v>
      </c>
      <c r="H86" s="89" t="s">
        <v>274</v>
      </c>
      <c r="I86" s="101">
        <f t="shared" si="9"/>
        <v>-413017</v>
      </c>
      <c r="J86" s="267"/>
      <c r="L86" s="77"/>
      <c r="M86" s="77"/>
      <c r="N86" s="276"/>
      <c r="O86" s="276"/>
      <c r="P86" s="266"/>
    </row>
    <row r="87" spans="1:18" x14ac:dyDescent="0.4">
      <c r="A87" s="269" t="s">
        <v>1545</v>
      </c>
      <c r="B87" s="222" t="s">
        <v>1551</v>
      </c>
      <c r="C87" s="266">
        <v>-24183.63</v>
      </c>
      <c r="D87" s="89"/>
      <c r="E87" s="89"/>
      <c r="F87" s="89"/>
      <c r="G87" s="101">
        <f t="shared" si="8"/>
        <v>-24183.63</v>
      </c>
      <c r="H87" s="89" t="s">
        <v>274</v>
      </c>
      <c r="I87" s="101">
        <f t="shared" si="9"/>
        <v>-24184</v>
      </c>
      <c r="J87" s="267"/>
      <c r="L87" s="77"/>
      <c r="M87" s="77"/>
      <c r="N87" s="276"/>
      <c r="O87" s="276"/>
      <c r="P87" s="266"/>
    </row>
    <row r="88" spans="1:18" x14ac:dyDescent="0.4">
      <c r="A88" s="269" t="s">
        <v>1546</v>
      </c>
      <c r="B88" s="222" t="s">
        <v>1552</v>
      </c>
      <c r="C88" s="266">
        <v>-55385.83</v>
      </c>
      <c r="D88" s="89"/>
      <c r="E88" s="89"/>
      <c r="F88" s="89"/>
      <c r="G88" s="101">
        <f t="shared" si="8"/>
        <v>-55385.83</v>
      </c>
      <c r="H88" s="89" t="s">
        <v>274</v>
      </c>
      <c r="I88" s="101">
        <f t="shared" si="9"/>
        <v>-55386</v>
      </c>
      <c r="J88" s="267"/>
      <c r="L88" s="77"/>
      <c r="M88" s="77"/>
      <c r="N88" s="276"/>
      <c r="O88" s="276"/>
      <c r="P88" s="266"/>
    </row>
    <row r="89" spans="1:18" x14ac:dyDescent="0.4">
      <c r="A89" s="269" t="s">
        <v>1547</v>
      </c>
      <c r="B89" s="222" t="s">
        <v>1553</v>
      </c>
      <c r="C89" s="266">
        <v>-138124.07</v>
      </c>
      <c r="D89" s="89"/>
      <c r="E89" s="89"/>
      <c r="F89" s="89"/>
      <c r="G89" s="101">
        <f t="shared" si="8"/>
        <v>-138124.07</v>
      </c>
      <c r="H89" s="89" t="s">
        <v>274</v>
      </c>
      <c r="I89" s="403">
        <f t="shared" si="9"/>
        <v>-138124</v>
      </c>
      <c r="J89" s="267"/>
      <c r="L89" s="77"/>
      <c r="M89" s="77"/>
      <c r="N89" s="276"/>
      <c r="O89" s="276"/>
      <c r="P89" s="266"/>
    </row>
    <row r="90" spans="1:18" x14ac:dyDescent="0.4">
      <c r="A90" s="269" t="s">
        <v>1548</v>
      </c>
      <c r="B90" s="222" t="s">
        <v>1554</v>
      </c>
      <c r="C90" s="266">
        <v>-37844.33</v>
      </c>
      <c r="D90" s="89"/>
      <c r="E90" s="89"/>
      <c r="F90" s="89"/>
      <c r="G90" s="101">
        <f t="shared" si="8"/>
        <v>-37844.33</v>
      </c>
      <c r="H90" s="89" t="s">
        <v>274</v>
      </c>
      <c r="I90" s="101">
        <f t="shared" si="9"/>
        <v>-37844</v>
      </c>
      <c r="J90" s="267"/>
      <c r="L90" s="77"/>
      <c r="M90" s="77"/>
      <c r="N90" s="276"/>
      <c r="O90" s="276"/>
      <c r="P90" s="266"/>
    </row>
    <row r="91" spans="1:18" x14ac:dyDescent="0.4">
      <c r="A91" s="269" t="s">
        <v>1549</v>
      </c>
      <c r="B91" s="222" t="s">
        <v>1555</v>
      </c>
      <c r="C91" s="266">
        <v>-139286.91</v>
      </c>
      <c r="D91" s="89"/>
      <c r="E91" s="89"/>
      <c r="F91" s="89"/>
      <c r="G91" s="101">
        <f t="shared" si="8"/>
        <v>-139286.91</v>
      </c>
      <c r="H91" s="89" t="s">
        <v>274</v>
      </c>
      <c r="I91" s="101">
        <f t="shared" si="9"/>
        <v>-139287</v>
      </c>
      <c r="J91" s="267">
        <v>2060424.89</v>
      </c>
      <c r="L91" s="77"/>
      <c r="M91" s="77"/>
      <c r="N91" s="276"/>
      <c r="O91" s="276"/>
      <c r="P91" s="266"/>
    </row>
    <row r="92" spans="1:18" x14ac:dyDescent="0.4">
      <c r="A92" s="269" t="s">
        <v>1550</v>
      </c>
      <c r="B92" s="222" t="s">
        <v>1556</v>
      </c>
      <c r="C92" s="266">
        <v>-372827.64</v>
      </c>
      <c r="D92" s="89"/>
      <c r="E92" s="89"/>
      <c r="F92" s="89"/>
      <c r="G92" s="101">
        <f t="shared" si="8"/>
        <v>-372827.64</v>
      </c>
      <c r="H92" s="89" t="s">
        <v>274</v>
      </c>
      <c r="I92" s="101">
        <f t="shared" si="9"/>
        <v>-372828</v>
      </c>
      <c r="J92" s="267">
        <f>SUM(I93:I96)</f>
        <v>-1958559</v>
      </c>
      <c r="L92" s="77"/>
      <c r="M92" s="77"/>
      <c r="N92" s="276"/>
      <c r="O92" s="276"/>
      <c r="P92" s="266"/>
    </row>
    <row r="93" spans="1:18" x14ac:dyDescent="0.4">
      <c r="A93" s="222" t="s">
        <v>1039</v>
      </c>
      <c r="B93" s="222" t="s">
        <v>138</v>
      </c>
      <c r="C93" s="266">
        <v>19967434.600000001</v>
      </c>
      <c r="D93" s="89"/>
      <c r="E93" s="89"/>
      <c r="F93" s="89"/>
      <c r="G93" s="101">
        <f>SUM(C93:F93)-2</f>
        <v>19967432.600000001</v>
      </c>
      <c r="H93" s="89" t="s">
        <v>278</v>
      </c>
      <c r="I93" s="101">
        <f t="shared" si="1"/>
        <v>19967433</v>
      </c>
      <c r="J93" s="267">
        <f>SUM(J91:J92)</f>
        <v>101865.89</v>
      </c>
      <c r="L93" s="77"/>
      <c r="M93" s="77"/>
      <c r="N93" s="276"/>
      <c r="O93" s="276"/>
      <c r="P93" s="266"/>
      <c r="Q93" s="79"/>
    </row>
    <row r="94" spans="1:18" x14ac:dyDescent="0.4">
      <c r="A94" s="222" t="s">
        <v>1040</v>
      </c>
      <c r="B94" s="222" t="s">
        <v>1323</v>
      </c>
      <c r="C94" s="266">
        <f>-14548.85</f>
        <v>-14548.85</v>
      </c>
      <c r="D94" s="89"/>
      <c r="E94" s="89"/>
      <c r="F94" s="89"/>
      <c r="G94" s="101">
        <f t="shared" si="8"/>
        <v>-14548.85</v>
      </c>
      <c r="H94" s="89" t="s">
        <v>276</v>
      </c>
      <c r="I94" s="101">
        <f t="shared" si="1"/>
        <v>-14549</v>
      </c>
      <c r="J94" s="76"/>
      <c r="L94" s="77"/>
      <c r="M94" s="77"/>
      <c r="N94" s="276"/>
      <c r="O94" s="276"/>
      <c r="P94" s="266"/>
      <c r="Q94" s="79"/>
    </row>
    <row r="95" spans="1:18" x14ac:dyDescent="0.4">
      <c r="A95" s="222" t="s">
        <v>1042</v>
      </c>
      <c r="B95" s="222" t="s">
        <v>970</v>
      </c>
      <c r="C95" s="266">
        <f>-21545614.01</f>
        <v>-21545614.010000002</v>
      </c>
      <c r="D95" s="89"/>
      <c r="E95" s="89"/>
      <c r="F95" s="89"/>
      <c r="G95" s="101">
        <f>SUM(C95:F95)</f>
        <v>-21545614.010000002</v>
      </c>
      <c r="H95" s="89" t="s">
        <v>277</v>
      </c>
      <c r="I95" s="101">
        <f t="shared" ref="I95" si="10">ROUND(G95,0)</f>
        <v>-21545614</v>
      </c>
      <c r="J95" s="76"/>
      <c r="L95" s="77"/>
      <c r="M95" s="77"/>
      <c r="N95" s="276"/>
      <c r="O95" s="276"/>
      <c r="P95" s="281"/>
      <c r="Q95" s="79"/>
      <c r="R95" s="79"/>
    </row>
    <row r="96" spans="1:18" x14ac:dyDescent="0.4">
      <c r="A96" s="222" t="s">
        <v>304</v>
      </c>
      <c r="B96" s="222" t="s">
        <v>142</v>
      </c>
      <c r="C96" s="266">
        <v>-365824.13</v>
      </c>
      <c r="D96" s="89"/>
      <c r="E96" s="89"/>
      <c r="F96" s="89">
        <v>0</v>
      </c>
      <c r="G96" s="101">
        <f>SUM(C96:F96)-5</f>
        <v>-365829.13</v>
      </c>
      <c r="H96" s="89" t="s">
        <v>278</v>
      </c>
      <c r="I96" s="101">
        <f>ROUND(G96,0)</f>
        <v>-365829</v>
      </c>
      <c r="J96" s="267">
        <f>I96+GETPIVOTDATA("AMT",' P&amp;L-03.21'!$L$5)</f>
        <v>0</v>
      </c>
      <c r="L96" s="280"/>
      <c r="M96" s="77"/>
      <c r="N96" s="276"/>
      <c r="O96" s="276"/>
      <c r="P96" s="281"/>
      <c r="Q96" s="79"/>
      <c r="R96" s="79"/>
    </row>
    <row r="97" spans="1:23" x14ac:dyDescent="0.4">
      <c r="A97" s="77" t="s">
        <v>483</v>
      </c>
      <c r="B97" s="282"/>
      <c r="C97" s="283">
        <f t="shared" ref="C97:I97" si="11">SUM(C6:C51)+SUM(C52:C96)</f>
        <v>0</v>
      </c>
      <c r="D97" s="283">
        <f t="shared" si="11"/>
        <v>0</v>
      </c>
      <c r="E97" s="283">
        <f t="shared" si="11"/>
        <v>0</v>
      </c>
      <c r="F97" s="283">
        <f t="shared" si="11"/>
        <v>0</v>
      </c>
      <c r="G97" s="283">
        <f t="shared" si="11"/>
        <v>0</v>
      </c>
      <c r="H97" s="283">
        <f t="shared" si="11"/>
        <v>0</v>
      </c>
      <c r="I97" s="283">
        <f t="shared" si="11"/>
        <v>0</v>
      </c>
      <c r="J97" s="284"/>
      <c r="L97" s="77"/>
      <c r="M97" s="77"/>
      <c r="N97" s="276"/>
      <c r="O97" s="276"/>
      <c r="P97" s="281"/>
      <c r="Q97" s="79"/>
      <c r="R97" s="79"/>
    </row>
    <row r="98" spans="1:23" x14ac:dyDescent="0.4">
      <c r="A98" s="77"/>
      <c r="B98" s="282"/>
      <c r="C98" s="89"/>
      <c r="D98" s="89"/>
      <c r="E98" s="89"/>
      <c r="F98" s="89"/>
      <c r="G98" s="101"/>
      <c r="H98" s="89"/>
      <c r="I98" s="101"/>
      <c r="J98" s="267"/>
      <c r="L98" s="77"/>
      <c r="M98" s="77"/>
      <c r="N98" s="276"/>
      <c r="O98" s="276"/>
      <c r="P98" s="281"/>
      <c r="Q98" s="79"/>
      <c r="R98" s="79"/>
    </row>
    <row r="99" spans="1:23" x14ac:dyDescent="0.4">
      <c r="A99" s="77"/>
      <c r="B99" s="282" t="s">
        <v>261</v>
      </c>
      <c r="C99" s="89"/>
      <c r="D99" s="89"/>
      <c r="E99" s="89"/>
      <c r="F99" s="89"/>
      <c r="G99" s="101"/>
      <c r="H99" s="89"/>
      <c r="I99" s="101"/>
      <c r="J99" s="267"/>
      <c r="L99" s="77"/>
      <c r="M99" s="77"/>
      <c r="N99" s="276"/>
      <c r="O99" s="276"/>
      <c r="P99" s="281"/>
      <c r="Q99" s="79"/>
      <c r="R99" s="79"/>
    </row>
    <row r="100" spans="1:23" x14ac:dyDescent="0.4">
      <c r="A100" s="77"/>
      <c r="B100" s="77" t="s">
        <v>285</v>
      </c>
      <c r="C100" s="89">
        <f t="shared" ref="C100:I100" si="12">SUM(C6:C51)</f>
        <v>14298556.02</v>
      </c>
      <c r="D100" s="89">
        <f t="shared" si="12"/>
        <v>0</v>
      </c>
      <c r="E100" s="89">
        <f t="shared" si="12"/>
        <v>0</v>
      </c>
      <c r="F100" s="89">
        <f t="shared" si="12"/>
        <v>0</v>
      </c>
      <c r="G100" s="89">
        <f t="shared" si="12"/>
        <v>14298556.02</v>
      </c>
      <c r="H100" s="89">
        <f t="shared" si="12"/>
        <v>0</v>
      </c>
      <c r="I100" s="89">
        <f t="shared" si="12"/>
        <v>14298557</v>
      </c>
      <c r="J100" s="267"/>
      <c r="L100" s="77"/>
      <c r="M100" s="77"/>
      <c r="N100" s="276"/>
      <c r="O100" s="276"/>
      <c r="P100" s="281"/>
      <c r="Q100" s="79"/>
      <c r="R100" s="79"/>
    </row>
    <row r="101" spans="1:23" x14ac:dyDescent="0.4">
      <c r="A101" s="77"/>
      <c r="B101" s="77" t="s">
        <v>286</v>
      </c>
      <c r="C101" s="89">
        <f>SUM(C52:C92)</f>
        <v>-12340003.630000001</v>
      </c>
      <c r="D101" s="89">
        <f>SUM(D52:D78)</f>
        <v>0</v>
      </c>
      <c r="E101" s="89">
        <f>SUM(E52:E78)</f>
        <v>0</v>
      </c>
      <c r="F101" s="89">
        <f>SUM(F52:F78)</f>
        <v>0</v>
      </c>
      <c r="G101" s="89">
        <f>SUM(G52:G92)</f>
        <v>-12339996.630000001</v>
      </c>
      <c r="H101" s="89">
        <f>SUM(H52:H70)</f>
        <v>0</v>
      </c>
      <c r="I101" s="89">
        <f>SUM(I52:I92)</f>
        <v>-12339998</v>
      </c>
      <c r="J101" s="267"/>
      <c r="L101" s="77"/>
      <c r="N101" s="276"/>
      <c r="O101" s="276"/>
      <c r="P101" s="281"/>
      <c r="Q101" s="79"/>
      <c r="R101" s="79"/>
    </row>
    <row r="102" spans="1:23" x14ac:dyDescent="0.4">
      <c r="A102" s="77"/>
      <c r="B102" s="77" t="s">
        <v>607</v>
      </c>
      <c r="C102" s="89">
        <f t="shared" ref="C102:I102" si="13">SUM(C93:C96)</f>
        <v>-1958552.39</v>
      </c>
      <c r="D102" s="89">
        <f t="shared" si="13"/>
        <v>0</v>
      </c>
      <c r="E102" s="89">
        <f t="shared" si="13"/>
        <v>0</v>
      </c>
      <c r="F102" s="89">
        <f t="shared" si="13"/>
        <v>0</v>
      </c>
      <c r="G102" s="89">
        <f t="shared" si="13"/>
        <v>-1958559.39</v>
      </c>
      <c r="H102" s="89">
        <f t="shared" si="13"/>
        <v>0</v>
      </c>
      <c r="I102" s="89">
        <f t="shared" si="13"/>
        <v>-1958559</v>
      </c>
      <c r="J102" s="267"/>
      <c r="L102" s="77"/>
      <c r="N102" s="276"/>
      <c r="O102" s="276"/>
      <c r="P102" s="281"/>
      <c r="Q102" s="79"/>
      <c r="R102" s="79"/>
    </row>
    <row r="103" spans="1:23" x14ac:dyDescent="0.4">
      <c r="A103" s="77"/>
      <c r="B103" s="77" t="s">
        <v>483</v>
      </c>
      <c r="C103" s="89">
        <f>SUM(C100:C102)</f>
        <v>0</v>
      </c>
      <c r="D103" s="89">
        <f t="shared" ref="D103:H103" si="14">SUM(D100:D102)</f>
        <v>0</v>
      </c>
      <c r="E103" s="89">
        <f t="shared" si="14"/>
        <v>0</v>
      </c>
      <c r="F103" s="89">
        <f t="shared" si="14"/>
        <v>0</v>
      </c>
      <c r="G103" s="89">
        <f>SUM(G100:G102)</f>
        <v>0</v>
      </c>
      <c r="H103" s="89">
        <f t="shared" si="14"/>
        <v>0</v>
      </c>
      <c r="I103" s="89">
        <f>SUM(I100:I102)</f>
        <v>0</v>
      </c>
      <c r="J103" s="267"/>
      <c r="N103" s="276"/>
      <c r="O103" s="276"/>
      <c r="P103" s="281"/>
      <c r="Q103" s="79"/>
      <c r="R103" s="79"/>
    </row>
    <row r="104" spans="1:23" x14ac:dyDescent="0.4">
      <c r="E104" s="77">
        <f>C97+F97</f>
        <v>0</v>
      </c>
      <c r="F104" s="76"/>
      <c r="G104" s="78"/>
      <c r="H104" s="78"/>
      <c r="N104" s="276"/>
      <c r="O104" s="276"/>
      <c r="P104" s="281"/>
      <c r="Q104" s="79"/>
      <c r="R104" s="79"/>
      <c r="T104" s="79"/>
    </row>
    <row r="105" spans="1:23" s="78" customFormat="1" x14ac:dyDescent="0.4">
      <c r="A105" s="76"/>
      <c r="B105" s="76"/>
      <c r="D105" s="76"/>
      <c r="G105" s="79"/>
      <c r="I105" s="79"/>
      <c r="J105" s="263"/>
      <c r="K105" s="77"/>
      <c r="L105" s="76"/>
      <c r="M105" s="76"/>
      <c r="N105" s="276"/>
      <c r="O105" s="276"/>
      <c r="P105" s="281"/>
      <c r="Q105" s="79"/>
      <c r="R105" s="79"/>
      <c r="S105" s="79"/>
      <c r="T105" s="79"/>
      <c r="U105" s="76"/>
      <c r="V105" s="76"/>
      <c r="W105" s="76"/>
    </row>
    <row r="106" spans="1:23" x14ac:dyDescent="0.4">
      <c r="D106" s="76"/>
      <c r="H106" s="78"/>
    </row>
    <row r="107" spans="1:23" x14ac:dyDescent="0.4">
      <c r="D107" s="76"/>
      <c r="H107" s="78"/>
    </row>
    <row r="108" spans="1:23" x14ac:dyDescent="0.4">
      <c r="D108" s="76"/>
      <c r="H108" s="78"/>
    </row>
    <row r="110" spans="1:23" x14ac:dyDescent="0.4">
      <c r="J110" s="267" t="s">
        <v>261</v>
      </c>
    </row>
    <row r="190" spans="1:23" s="77" customFormat="1" x14ac:dyDescent="0.4">
      <c r="A190" s="76"/>
      <c r="B190" s="76"/>
      <c r="C190" s="78"/>
      <c r="D190" s="78"/>
      <c r="E190" s="78"/>
      <c r="F190" s="78"/>
      <c r="G190" s="79"/>
      <c r="H190" s="76"/>
      <c r="I190" s="79"/>
      <c r="J190" s="263"/>
      <c r="L190" s="76"/>
      <c r="M190" s="76"/>
      <c r="N190" s="76"/>
      <c r="O190" s="76"/>
      <c r="Q190" s="76"/>
      <c r="R190" s="76"/>
      <c r="S190" s="76"/>
      <c r="T190" s="76"/>
      <c r="U190" s="76"/>
      <c r="V190" s="76"/>
      <c r="W190" s="76"/>
    </row>
    <row r="196" spans="10:10" x14ac:dyDescent="0.4">
      <c r="J196" s="285"/>
    </row>
  </sheetData>
  <pageMargins left="0.7" right="0.7" top="0.75" bottom="0.75" header="0.3" footer="0.3"/>
  <pageSetup orientation="portrait"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A1:W203"/>
  <sheetViews>
    <sheetView workbookViewId="0">
      <selection activeCell="A10" sqref="A10"/>
    </sheetView>
  </sheetViews>
  <sheetFormatPr defaultColWidth="9.3515625" defaultRowHeight="13" outlineLevelCol="1" x14ac:dyDescent="0.45"/>
  <cols>
    <col min="1" max="1" width="11.3515625" style="161" customWidth="1"/>
    <col min="2" max="2" width="31" style="161" bestFit="1" customWidth="1"/>
    <col min="3" max="3" width="14.3515625" style="162" hidden="1" customWidth="1" outlineLevel="1"/>
    <col min="4" max="4" width="11" style="162" hidden="1" customWidth="1" outlineLevel="1"/>
    <col min="5" max="5" width="13.52734375" style="162" hidden="1" customWidth="1" outlineLevel="1"/>
    <col min="6" max="6" width="12" style="162" hidden="1" customWidth="1" outlineLevel="1"/>
    <col min="7" max="7" width="14.64453125" style="163" hidden="1" customWidth="1" outlineLevel="1"/>
    <col min="8" max="8" width="21.46875" style="161" hidden="1" customWidth="1" outlineLevel="1"/>
    <col min="9" max="9" width="14.52734375" style="163" customWidth="1" collapsed="1"/>
    <col min="10" max="10" width="14.52734375" style="164" customWidth="1"/>
    <col min="11" max="11" width="13.64453125" style="165" customWidth="1"/>
    <col min="12" max="12" width="20.52734375" style="161" customWidth="1"/>
    <col min="13" max="13" width="13" style="161" customWidth="1"/>
    <col min="14" max="15" width="9.3515625" style="161"/>
    <col min="16" max="16" width="13.46875" style="165" bestFit="1" customWidth="1"/>
    <col min="17" max="16384" width="9.3515625" style="161"/>
  </cols>
  <sheetData>
    <row r="1" spans="1:16" x14ac:dyDescent="0.45">
      <c r="A1" s="160" t="s">
        <v>1292</v>
      </c>
    </row>
    <row r="2" spans="1:16" x14ac:dyDescent="0.45">
      <c r="A2" s="160" t="s">
        <v>482</v>
      </c>
    </row>
    <row r="3" spans="1:16" x14ac:dyDescent="0.45">
      <c r="A3" s="166">
        <v>43373</v>
      </c>
      <c r="D3" s="167" t="s">
        <v>261</v>
      </c>
      <c r="E3" s="167"/>
      <c r="F3" s="167"/>
      <c r="G3" s="168"/>
      <c r="H3" s="169"/>
    </row>
    <row r="5" spans="1:16" x14ac:dyDescent="0.45">
      <c r="A5" s="161" t="s">
        <v>484</v>
      </c>
      <c r="B5" s="170" t="s">
        <v>279</v>
      </c>
      <c r="C5" s="171" t="s">
        <v>902</v>
      </c>
      <c r="D5" s="171" t="s">
        <v>485</v>
      </c>
      <c r="E5" s="171" t="s">
        <v>486</v>
      </c>
      <c r="F5" s="171" t="s">
        <v>487</v>
      </c>
      <c r="G5" s="163" t="s">
        <v>1</v>
      </c>
      <c r="H5" s="161" t="s">
        <v>280</v>
      </c>
      <c r="I5" s="168" t="s">
        <v>281</v>
      </c>
      <c r="J5" s="172" t="s">
        <v>1293</v>
      </c>
      <c r="L5" s="420" t="s">
        <v>282</v>
      </c>
      <c r="M5" s="420" t="s">
        <v>284</v>
      </c>
    </row>
    <row r="6" spans="1:16" x14ac:dyDescent="0.45">
      <c r="A6" s="173" t="s">
        <v>971</v>
      </c>
      <c r="B6" s="173" t="s">
        <v>903</v>
      </c>
      <c r="C6" s="174">
        <v>103250.21</v>
      </c>
      <c r="D6" s="175"/>
      <c r="E6" s="175"/>
      <c r="F6" s="175"/>
      <c r="G6" s="176">
        <f t="shared" ref="G6:G66" si="0">SUM(C6:F6)</f>
        <v>103250.21</v>
      </c>
      <c r="H6" s="175" t="s">
        <v>264</v>
      </c>
      <c r="I6" s="176">
        <f>ROUND(G6,0)</f>
        <v>103250</v>
      </c>
      <c r="J6" s="177"/>
      <c r="L6" s="422" t="s">
        <v>264</v>
      </c>
      <c r="M6" s="421">
        <v>420390</v>
      </c>
      <c r="N6" s="178"/>
      <c r="O6" s="178"/>
      <c r="P6" s="174"/>
    </row>
    <row r="7" spans="1:16" x14ac:dyDescent="0.45">
      <c r="A7" s="173" t="s">
        <v>972</v>
      </c>
      <c r="B7" s="173" t="s">
        <v>1346</v>
      </c>
      <c r="C7" s="174">
        <v>13163.17</v>
      </c>
      <c r="D7" s="175"/>
      <c r="E7" s="175"/>
      <c r="F7" s="175"/>
      <c r="G7" s="176">
        <f t="shared" si="0"/>
        <v>13163.17</v>
      </c>
      <c r="H7" s="175" t="s">
        <v>264</v>
      </c>
      <c r="I7" s="176">
        <f t="shared" ref="I7:I70" si="1">ROUND(G7,0)</f>
        <v>13163</v>
      </c>
      <c r="J7" s="177">
        <f>SUM(I6:I12)</f>
        <v>420376</v>
      </c>
      <c r="L7" s="422" t="s">
        <v>265</v>
      </c>
      <c r="M7" s="421">
        <v>687783</v>
      </c>
      <c r="N7" s="178"/>
      <c r="O7" s="178"/>
      <c r="P7" s="174"/>
    </row>
    <row r="8" spans="1:16" x14ac:dyDescent="0.45">
      <c r="A8" s="173" t="s">
        <v>1294</v>
      </c>
      <c r="B8" s="173" t="s">
        <v>905</v>
      </c>
      <c r="C8" s="174">
        <v>307411.49</v>
      </c>
      <c r="D8" s="175"/>
      <c r="E8" s="175"/>
      <c r="F8" s="175"/>
      <c r="G8" s="176">
        <f t="shared" si="0"/>
        <v>307411.49</v>
      </c>
      <c r="H8" s="175" t="s">
        <v>264</v>
      </c>
      <c r="I8" s="176">
        <f t="shared" si="1"/>
        <v>307411</v>
      </c>
      <c r="J8" s="177">
        <v>-420375.95</v>
      </c>
      <c r="L8" s="422" t="s">
        <v>271</v>
      </c>
      <c r="M8" s="421">
        <v>234075</v>
      </c>
      <c r="N8" s="178"/>
      <c r="O8" s="178"/>
      <c r="P8" s="174"/>
    </row>
    <row r="9" spans="1:16" x14ac:dyDescent="0.45">
      <c r="A9" s="173" t="s">
        <v>974</v>
      </c>
      <c r="B9" s="173" t="s">
        <v>906</v>
      </c>
      <c r="C9" s="174">
        <v>829.55</v>
      </c>
      <c r="D9" s="175"/>
      <c r="E9" s="175"/>
      <c r="F9" s="175"/>
      <c r="G9" s="176">
        <f t="shared" si="0"/>
        <v>829.55</v>
      </c>
      <c r="H9" s="175" t="s">
        <v>264</v>
      </c>
      <c r="I9" s="176">
        <f t="shared" si="1"/>
        <v>830</v>
      </c>
      <c r="J9" s="177">
        <f>SUM(J7:J8)</f>
        <v>0.05</v>
      </c>
      <c r="L9" s="422" t="s">
        <v>266</v>
      </c>
      <c r="M9" s="421">
        <v>1058726</v>
      </c>
      <c r="N9" s="178"/>
      <c r="O9" s="178"/>
      <c r="P9" s="174"/>
    </row>
    <row r="10" spans="1:16" x14ac:dyDescent="0.45">
      <c r="A10" s="179" t="s">
        <v>975</v>
      </c>
      <c r="B10" s="173" t="s">
        <v>907</v>
      </c>
      <c r="C10" s="174">
        <v>1.84</v>
      </c>
      <c r="D10" s="175"/>
      <c r="E10" s="175"/>
      <c r="F10" s="175"/>
      <c r="G10" s="176">
        <f t="shared" si="0"/>
        <v>1.84</v>
      </c>
      <c r="H10" s="175" t="s">
        <v>264</v>
      </c>
      <c r="I10" s="176">
        <f t="shared" si="1"/>
        <v>2</v>
      </c>
      <c r="L10" s="422" t="s">
        <v>274</v>
      </c>
      <c r="M10" s="421">
        <v>-3667949</v>
      </c>
      <c r="N10" s="178"/>
      <c r="O10" s="178"/>
      <c r="P10" s="174"/>
    </row>
    <row r="11" spans="1:16" x14ac:dyDescent="0.45">
      <c r="A11" s="191" t="s">
        <v>976</v>
      </c>
      <c r="B11" s="173" t="s">
        <v>1324</v>
      </c>
      <c r="C11" s="174">
        <v>0</v>
      </c>
      <c r="D11" s="175"/>
      <c r="E11" s="175"/>
      <c r="F11" s="175"/>
      <c r="G11" s="176">
        <f t="shared" si="0"/>
        <v>0</v>
      </c>
      <c r="H11" s="175" t="s">
        <v>264</v>
      </c>
      <c r="I11" s="176">
        <f t="shared" si="1"/>
        <v>0</v>
      </c>
      <c r="J11" s="177">
        <f>SUM(I13:I14)</f>
        <v>687783</v>
      </c>
      <c r="L11" s="422" t="s">
        <v>650</v>
      </c>
      <c r="M11" s="421">
        <v>2821700</v>
      </c>
      <c r="N11" s="178"/>
      <c r="O11" s="178"/>
      <c r="P11" s="174"/>
    </row>
    <row r="12" spans="1:16" x14ac:dyDescent="0.45">
      <c r="A12" s="173" t="s">
        <v>977</v>
      </c>
      <c r="B12" s="180" t="s">
        <v>909</v>
      </c>
      <c r="C12" s="174">
        <v>-4280.3100000000004</v>
      </c>
      <c r="D12" s="175"/>
      <c r="E12" s="175"/>
      <c r="F12" s="175"/>
      <c r="G12" s="176">
        <f t="shared" si="0"/>
        <v>-4280.3100000000004</v>
      </c>
      <c r="H12" s="175" t="s">
        <v>264</v>
      </c>
      <c r="I12" s="176">
        <f t="shared" si="1"/>
        <v>-4280</v>
      </c>
      <c r="J12" s="177">
        <v>-687783.02</v>
      </c>
      <c r="L12" s="422" t="s">
        <v>278</v>
      </c>
      <c r="M12" s="421">
        <v>19438196</v>
      </c>
      <c r="N12" s="178"/>
      <c r="O12" s="178"/>
      <c r="P12" s="174"/>
    </row>
    <row r="13" spans="1:16" x14ac:dyDescent="0.45">
      <c r="A13" s="173" t="s">
        <v>312</v>
      </c>
      <c r="B13" s="173" t="s">
        <v>910</v>
      </c>
      <c r="C13" s="174">
        <v>721301.66</v>
      </c>
      <c r="D13" s="175"/>
      <c r="E13" s="175"/>
      <c r="F13" s="175"/>
      <c r="G13" s="176">
        <f t="shared" si="0"/>
        <v>721301.66</v>
      </c>
      <c r="H13" s="175" t="s">
        <v>265</v>
      </c>
      <c r="I13" s="176">
        <f t="shared" si="1"/>
        <v>721302</v>
      </c>
      <c r="J13" s="177">
        <f>SUM(J11:J12)</f>
        <v>-0.02</v>
      </c>
      <c r="L13" s="422" t="s">
        <v>276</v>
      </c>
      <c r="M13" s="421">
        <v>-753416</v>
      </c>
      <c r="N13" s="178"/>
      <c r="O13" s="178"/>
      <c r="P13" s="174"/>
    </row>
    <row r="14" spans="1:16" x14ac:dyDescent="0.45">
      <c r="A14" s="173" t="s">
        <v>978</v>
      </c>
      <c r="B14" s="173" t="s">
        <v>14</v>
      </c>
      <c r="C14" s="174">
        <v>-33518.639999999999</v>
      </c>
      <c r="D14" s="175"/>
      <c r="E14" s="175"/>
      <c r="F14" s="175"/>
      <c r="G14" s="176">
        <f t="shared" si="0"/>
        <v>-33518.639999999999</v>
      </c>
      <c r="H14" s="175" t="s">
        <v>265</v>
      </c>
      <c r="I14" s="176">
        <f t="shared" si="1"/>
        <v>-33519</v>
      </c>
      <c r="L14" s="422" t="s">
        <v>277</v>
      </c>
      <c r="M14" s="421">
        <v>-20785924</v>
      </c>
      <c r="N14" s="178"/>
      <c r="O14" s="178"/>
      <c r="P14" s="174"/>
    </row>
    <row r="15" spans="1:16" x14ac:dyDescent="0.45">
      <c r="A15" s="181" t="s">
        <v>1043</v>
      </c>
      <c r="B15" s="173" t="s">
        <v>1044</v>
      </c>
      <c r="C15" s="174">
        <v>0</v>
      </c>
      <c r="D15" s="175"/>
      <c r="E15" s="175"/>
      <c r="F15" s="175"/>
      <c r="G15" s="176">
        <f t="shared" si="0"/>
        <v>0</v>
      </c>
      <c r="H15" s="175" t="s">
        <v>1295</v>
      </c>
      <c r="I15" s="176">
        <f t="shared" si="1"/>
        <v>0</v>
      </c>
      <c r="L15" s="422" t="s">
        <v>859</v>
      </c>
      <c r="M15" s="421">
        <v>-1431526</v>
      </c>
      <c r="N15" s="178"/>
      <c r="O15" s="178"/>
      <c r="P15" s="174"/>
    </row>
    <row r="16" spans="1:16" x14ac:dyDescent="0.45">
      <c r="A16" s="181" t="s">
        <v>979</v>
      </c>
      <c r="B16" s="173" t="s">
        <v>56</v>
      </c>
      <c r="C16" s="174">
        <v>-2199.5</v>
      </c>
      <c r="D16" s="175"/>
      <c r="E16" s="175"/>
      <c r="F16" s="175"/>
      <c r="G16" s="176">
        <f t="shared" si="0"/>
        <v>-2199.5</v>
      </c>
      <c r="H16" s="175" t="s">
        <v>1295</v>
      </c>
      <c r="I16" s="176">
        <f t="shared" si="1"/>
        <v>-2200</v>
      </c>
      <c r="J16" s="177">
        <f>SUM(I15:I24)</f>
        <v>3052146</v>
      </c>
      <c r="L16" s="422" t="s">
        <v>860</v>
      </c>
      <c r="M16" s="421">
        <v>-297447</v>
      </c>
      <c r="N16" s="178"/>
      <c r="O16" s="178"/>
      <c r="P16" s="174"/>
    </row>
    <row r="17" spans="1:16" x14ac:dyDescent="0.45">
      <c r="A17" s="173" t="s">
        <v>980</v>
      </c>
      <c r="B17" s="173" t="s">
        <v>912</v>
      </c>
      <c r="C17" s="174">
        <v>439818.84</v>
      </c>
      <c r="D17" s="175"/>
      <c r="E17" s="175"/>
      <c r="F17" s="175"/>
      <c r="G17" s="176">
        <f t="shared" si="0"/>
        <v>439818.84</v>
      </c>
      <c r="H17" s="175" t="s">
        <v>650</v>
      </c>
      <c r="I17" s="176">
        <f t="shared" si="1"/>
        <v>439819</v>
      </c>
      <c r="J17" s="177">
        <v>-3052145.87</v>
      </c>
      <c r="L17" s="422" t="s">
        <v>1295</v>
      </c>
      <c r="M17" s="421">
        <v>246745</v>
      </c>
      <c r="N17" s="178"/>
      <c r="O17" s="178"/>
      <c r="P17" s="174"/>
    </row>
    <row r="18" spans="1:16" x14ac:dyDescent="0.45">
      <c r="A18" s="182" t="s">
        <v>981</v>
      </c>
      <c r="B18" s="180" t="s">
        <v>913</v>
      </c>
      <c r="C18" s="174">
        <f>2809583.71-212000</f>
        <v>2597583.71</v>
      </c>
      <c r="D18" s="175"/>
      <c r="E18" s="175"/>
      <c r="F18" s="175"/>
      <c r="G18" s="176">
        <f t="shared" si="0"/>
        <v>2597583.71</v>
      </c>
      <c r="H18" s="175" t="s">
        <v>650</v>
      </c>
      <c r="I18" s="176">
        <f t="shared" si="1"/>
        <v>2597584</v>
      </c>
      <c r="J18" s="177">
        <f>SUM(J16:J17)</f>
        <v>0.13</v>
      </c>
      <c r="L18" s="422" t="s">
        <v>1296</v>
      </c>
      <c r="M18" s="421">
        <v>4354839</v>
      </c>
      <c r="N18" s="178"/>
      <c r="O18" s="178"/>
      <c r="P18" s="174"/>
    </row>
    <row r="19" spans="1:16" x14ac:dyDescent="0.45">
      <c r="A19" s="173" t="s">
        <v>983</v>
      </c>
      <c r="B19" s="173" t="s">
        <v>915</v>
      </c>
      <c r="C19" s="174">
        <v>81382.77</v>
      </c>
      <c r="D19" s="175"/>
      <c r="E19" s="175"/>
      <c r="F19" s="175"/>
      <c r="G19" s="176">
        <f t="shared" si="0"/>
        <v>81382.77</v>
      </c>
      <c r="H19" s="175" t="s">
        <v>650</v>
      </c>
      <c r="I19" s="176">
        <f t="shared" si="1"/>
        <v>81383</v>
      </c>
      <c r="L19" s="422" t="s">
        <v>273</v>
      </c>
      <c r="M19" s="421">
        <v>-1434281</v>
      </c>
      <c r="N19" s="178"/>
      <c r="O19" s="178"/>
      <c r="P19" s="174"/>
    </row>
    <row r="20" spans="1:16" x14ac:dyDescent="0.45">
      <c r="A20" s="181" t="s">
        <v>984</v>
      </c>
      <c r="B20" s="173" t="s">
        <v>916</v>
      </c>
      <c r="C20" s="174">
        <v>232646</v>
      </c>
      <c r="D20" s="175"/>
      <c r="E20" s="175"/>
      <c r="F20" s="175"/>
      <c r="G20" s="176">
        <f t="shared" si="0"/>
        <v>232646</v>
      </c>
      <c r="H20" s="175" t="s">
        <v>1295</v>
      </c>
      <c r="I20" s="176">
        <f t="shared" si="1"/>
        <v>232646</v>
      </c>
      <c r="J20" s="165"/>
      <c r="L20" s="422" t="s">
        <v>1297</v>
      </c>
      <c r="M20" s="421">
        <v>3678</v>
      </c>
      <c r="N20" s="178"/>
      <c r="O20" s="178"/>
      <c r="P20" s="174"/>
    </row>
    <row r="21" spans="1:16" x14ac:dyDescent="0.45">
      <c r="A21" s="181" t="s">
        <v>985</v>
      </c>
      <c r="B21" s="173" t="s">
        <v>917</v>
      </c>
      <c r="C21" s="174">
        <v>0</v>
      </c>
      <c r="D21" s="175"/>
      <c r="E21" s="175"/>
      <c r="F21" s="175"/>
      <c r="G21" s="176">
        <f t="shared" si="0"/>
        <v>0</v>
      </c>
      <c r="H21" s="175" t="s">
        <v>1295</v>
      </c>
      <c r="I21" s="176">
        <f t="shared" si="1"/>
        <v>0</v>
      </c>
      <c r="J21" s="165"/>
      <c r="L21" s="422" t="s">
        <v>1298</v>
      </c>
      <c r="M21" s="421">
        <v>-389321</v>
      </c>
      <c r="N21" s="178"/>
      <c r="O21" s="178"/>
      <c r="P21" s="174"/>
    </row>
    <row r="22" spans="1:16" x14ac:dyDescent="0.45">
      <c r="A22" s="173" t="s">
        <v>986</v>
      </c>
      <c r="B22" s="173" t="s">
        <v>918</v>
      </c>
      <c r="C22" s="174">
        <v>-297085.95</v>
      </c>
      <c r="D22" s="175"/>
      <c r="E22" s="175"/>
      <c r="F22" s="175"/>
      <c r="G22" s="176">
        <f t="shared" si="0"/>
        <v>-297085.95</v>
      </c>
      <c r="H22" s="175" t="s">
        <v>650</v>
      </c>
      <c r="I22" s="176">
        <f t="shared" si="1"/>
        <v>-297086</v>
      </c>
      <c r="J22" s="165"/>
      <c r="L22" s="422" t="s">
        <v>1299</v>
      </c>
      <c r="M22" s="421">
        <v>-511105</v>
      </c>
      <c r="N22" s="178"/>
      <c r="O22" s="178"/>
      <c r="P22" s="174"/>
    </row>
    <row r="23" spans="1:16" x14ac:dyDescent="0.45">
      <c r="A23" s="181" t="s">
        <v>987</v>
      </c>
      <c r="B23" s="173" t="s">
        <v>919</v>
      </c>
      <c r="C23" s="174">
        <v>0</v>
      </c>
      <c r="D23" s="175"/>
      <c r="E23" s="175"/>
      <c r="F23" s="175"/>
      <c r="G23" s="176">
        <f t="shared" si="0"/>
        <v>0</v>
      </c>
      <c r="H23" s="175" t="s">
        <v>650</v>
      </c>
      <c r="I23" s="176">
        <f t="shared" si="1"/>
        <v>0</v>
      </c>
      <c r="J23" s="165"/>
      <c r="L23" s="422" t="s">
        <v>1300</v>
      </c>
      <c r="M23" s="421">
        <v>4837</v>
      </c>
      <c r="N23" s="178"/>
      <c r="O23" s="178"/>
      <c r="P23" s="174"/>
    </row>
    <row r="24" spans="1:16" x14ac:dyDescent="0.45">
      <c r="A24" s="181" t="s">
        <v>1240</v>
      </c>
      <c r="B24" s="173" t="s">
        <v>1325</v>
      </c>
      <c r="C24" s="174">
        <v>0</v>
      </c>
      <c r="D24" s="175"/>
      <c r="E24" s="175"/>
      <c r="F24" s="175"/>
      <c r="G24" s="176">
        <f t="shared" si="0"/>
        <v>0</v>
      </c>
      <c r="H24" s="175" t="s">
        <v>860</v>
      </c>
      <c r="I24" s="176">
        <f t="shared" si="1"/>
        <v>0</v>
      </c>
      <c r="J24" s="177"/>
      <c r="L24" s="422" t="s">
        <v>283</v>
      </c>
      <c r="M24" s="421">
        <v>0</v>
      </c>
      <c r="N24" s="178"/>
      <c r="O24" s="178"/>
      <c r="P24" s="174"/>
    </row>
    <row r="25" spans="1:16" ht="14.35" x14ac:dyDescent="0.5">
      <c r="A25" s="173" t="s">
        <v>988</v>
      </c>
      <c r="B25" s="173" t="s">
        <v>55</v>
      </c>
      <c r="C25" s="174">
        <v>410071.54</v>
      </c>
      <c r="D25" s="175"/>
      <c r="E25" s="175"/>
      <c r="F25" s="175"/>
      <c r="G25" s="176">
        <f t="shared" si="0"/>
        <v>410071.54</v>
      </c>
      <c r="H25" s="175" t="s">
        <v>266</v>
      </c>
      <c r="I25" s="176">
        <f t="shared" si="1"/>
        <v>410072</v>
      </c>
      <c r="J25" s="177"/>
      <c r="L25"/>
      <c r="M25"/>
      <c r="N25" s="178"/>
      <c r="O25" s="178"/>
      <c r="P25" s="174"/>
    </row>
    <row r="26" spans="1:16" ht="14.35" x14ac:dyDescent="0.5">
      <c r="A26" s="173" t="s">
        <v>989</v>
      </c>
      <c r="B26" s="173" t="s">
        <v>920</v>
      </c>
      <c r="C26" s="174">
        <v>-156721.14000000001</v>
      </c>
      <c r="D26" s="175"/>
      <c r="E26" s="175"/>
      <c r="F26" s="175"/>
      <c r="G26" s="176">
        <f t="shared" si="0"/>
        <v>-156721.14000000001</v>
      </c>
      <c r="H26" s="175" t="s">
        <v>266</v>
      </c>
      <c r="I26" s="176">
        <f t="shared" si="1"/>
        <v>-156721</v>
      </c>
      <c r="J26" s="177"/>
      <c r="L26" s="183"/>
      <c r="M26" s="183"/>
      <c r="N26" s="178"/>
      <c r="O26" s="178"/>
      <c r="P26" s="174"/>
    </row>
    <row r="27" spans="1:16" ht="14.35" x14ac:dyDescent="0.5">
      <c r="A27" s="173" t="s">
        <v>990</v>
      </c>
      <c r="B27" s="173" t="s">
        <v>921</v>
      </c>
      <c r="C27" s="174">
        <v>22222.54</v>
      </c>
      <c r="D27" s="175"/>
      <c r="E27" s="175"/>
      <c r="F27" s="175"/>
      <c r="G27" s="176">
        <f t="shared" si="0"/>
        <v>22222.54</v>
      </c>
      <c r="H27" s="175" t="s">
        <v>266</v>
      </c>
      <c r="I27" s="176">
        <f t="shared" si="1"/>
        <v>22223</v>
      </c>
      <c r="J27" s="177"/>
      <c r="L27" s="183"/>
      <c r="M27" s="183"/>
      <c r="N27" s="178"/>
      <c r="O27" s="178"/>
      <c r="P27" s="174"/>
    </row>
    <row r="28" spans="1:16" ht="14.35" x14ac:dyDescent="0.5">
      <c r="A28" s="173" t="s">
        <v>991</v>
      </c>
      <c r="B28" s="173" t="s">
        <v>922</v>
      </c>
      <c r="C28" s="174">
        <v>-21152.639999999999</v>
      </c>
      <c r="D28" s="175"/>
      <c r="E28" s="175"/>
      <c r="F28" s="175"/>
      <c r="G28" s="176">
        <f t="shared" si="0"/>
        <v>-21152.639999999999</v>
      </c>
      <c r="H28" s="175" t="s">
        <v>266</v>
      </c>
      <c r="I28" s="176">
        <f t="shared" si="1"/>
        <v>-21153</v>
      </c>
      <c r="L28" s="183"/>
      <c r="M28" s="183"/>
      <c r="N28" s="178"/>
      <c r="O28" s="178"/>
      <c r="P28" s="174"/>
    </row>
    <row r="29" spans="1:16" x14ac:dyDescent="0.45">
      <c r="A29" s="173" t="s">
        <v>992</v>
      </c>
      <c r="B29" s="173" t="s">
        <v>923</v>
      </c>
      <c r="C29" s="174">
        <v>42000.76</v>
      </c>
      <c r="D29" s="175"/>
      <c r="E29" s="175"/>
      <c r="F29" s="175"/>
      <c r="G29" s="176">
        <f t="shared" si="0"/>
        <v>42000.76</v>
      </c>
      <c r="H29" s="175" t="s">
        <v>266</v>
      </c>
      <c r="I29" s="176">
        <f t="shared" si="1"/>
        <v>42001</v>
      </c>
      <c r="L29" s="165"/>
      <c r="M29" s="165"/>
      <c r="N29" s="178"/>
      <c r="O29" s="178"/>
      <c r="P29" s="174"/>
    </row>
    <row r="30" spans="1:16" x14ac:dyDescent="0.45">
      <c r="A30" s="173" t="s">
        <v>993</v>
      </c>
      <c r="B30" s="173" t="s">
        <v>924</v>
      </c>
      <c r="C30" s="174">
        <v>-32349.94</v>
      </c>
      <c r="D30" s="175"/>
      <c r="E30" s="175"/>
      <c r="F30" s="175"/>
      <c r="G30" s="176">
        <f t="shared" si="0"/>
        <v>-32349.94</v>
      </c>
      <c r="H30" s="175" t="s">
        <v>266</v>
      </c>
      <c r="I30" s="176">
        <f t="shared" si="1"/>
        <v>-32350</v>
      </c>
      <c r="L30" s="165"/>
      <c r="M30" s="165"/>
      <c r="N30" s="178"/>
      <c r="O30" s="178"/>
      <c r="P30" s="174"/>
    </row>
    <row r="31" spans="1:16" x14ac:dyDescent="0.45">
      <c r="A31" s="173" t="s">
        <v>994</v>
      </c>
      <c r="B31" s="173" t="s">
        <v>925</v>
      </c>
      <c r="C31" s="174">
        <v>1291933.75</v>
      </c>
      <c r="D31" s="175"/>
      <c r="E31" s="175"/>
      <c r="F31" s="175"/>
      <c r="G31" s="176">
        <f t="shared" si="0"/>
        <v>1291933.75</v>
      </c>
      <c r="H31" s="175" t="s">
        <v>1296</v>
      </c>
      <c r="I31" s="176">
        <f t="shared" si="1"/>
        <v>1291934</v>
      </c>
      <c r="J31" s="177"/>
      <c r="L31" s="165"/>
      <c r="M31" s="165"/>
      <c r="N31" s="178"/>
      <c r="O31" s="178"/>
      <c r="P31" s="174"/>
    </row>
    <row r="32" spans="1:16" x14ac:dyDescent="0.45">
      <c r="A32" s="182" t="s">
        <v>995</v>
      </c>
      <c r="B32" s="180" t="s">
        <v>926</v>
      </c>
      <c r="C32" s="174">
        <v>4943250.57</v>
      </c>
      <c r="D32" s="175"/>
      <c r="E32" s="175"/>
      <c r="F32" s="175"/>
      <c r="G32" s="176">
        <f t="shared" si="0"/>
        <v>4943250.57</v>
      </c>
      <c r="H32" s="175" t="s">
        <v>1296</v>
      </c>
      <c r="I32" s="176">
        <f t="shared" si="1"/>
        <v>4943251</v>
      </c>
      <c r="J32" s="177"/>
      <c r="L32" s="165"/>
      <c r="M32" s="165"/>
      <c r="N32" s="178"/>
      <c r="O32" s="178"/>
      <c r="P32" s="174"/>
    </row>
    <row r="33" spans="1:16" x14ac:dyDescent="0.45">
      <c r="A33" s="182" t="s">
        <v>996</v>
      </c>
      <c r="B33" s="180" t="s">
        <v>45</v>
      </c>
      <c r="C33" s="174">
        <v>-1880345.58</v>
      </c>
      <c r="D33" s="175"/>
      <c r="E33" s="175"/>
      <c r="F33" s="175"/>
      <c r="G33" s="176">
        <f t="shared" si="0"/>
        <v>-1880345.58</v>
      </c>
      <c r="H33" s="175" t="s">
        <v>1296</v>
      </c>
      <c r="I33" s="176">
        <f t="shared" si="1"/>
        <v>-1880346</v>
      </c>
      <c r="J33" s="177"/>
      <c r="L33" s="165"/>
      <c r="M33" s="165"/>
      <c r="N33" s="178"/>
      <c r="O33" s="178"/>
      <c r="P33" s="174"/>
    </row>
    <row r="34" spans="1:16" x14ac:dyDescent="0.45">
      <c r="A34" s="173" t="s">
        <v>997</v>
      </c>
      <c r="B34" s="173" t="s">
        <v>927</v>
      </c>
      <c r="C34" s="174">
        <v>387171.44</v>
      </c>
      <c r="D34" s="175"/>
      <c r="E34" s="175"/>
      <c r="F34" s="175"/>
      <c r="G34" s="176">
        <f t="shared" si="0"/>
        <v>387171.44</v>
      </c>
      <c r="H34" s="175" t="s">
        <v>266</v>
      </c>
      <c r="I34" s="176">
        <f t="shared" si="1"/>
        <v>387171</v>
      </c>
      <c r="J34" s="177"/>
      <c r="L34" s="165"/>
      <c r="M34" s="165"/>
      <c r="N34" s="178"/>
      <c r="O34" s="178"/>
      <c r="P34" s="174"/>
    </row>
    <row r="35" spans="1:16" x14ac:dyDescent="0.45">
      <c r="A35" s="173" t="s">
        <v>998</v>
      </c>
      <c r="B35" s="173" t="s">
        <v>928</v>
      </c>
      <c r="C35" s="174">
        <v>-146193.5</v>
      </c>
      <c r="D35" s="175"/>
      <c r="E35" s="175"/>
      <c r="F35" s="175"/>
      <c r="G35" s="176">
        <f t="shared" si="0"/>
        <v>-146193.5</v>
      </c>
      <c r="H35" s="175" t="s">
        <v>266</v>
      </c>
      <c r="I35" s="176">
        <f t="shared" si="1"/>
        <v>-146194</v>
      </c>
      <c r="J35" s="177"/>
      <c r="L35" s="165"/>
      <c r="M35" s="165"/>
      <c r="N35" s="178"/>
      <c r="O35" s="178"/>
      <c r="P35" s="174"/>
    </row>
    <row r="36" spans="1:16" x14ac:dyDescent="0.45">
      <c r="A36" s="173" t="s">
        <v>999</v>
      </c>
      <c r="B36" s="173" t="s">
        <v>929</v>
      </c>
      <c r="C36" s="174">
        <v>740444.43</v>
      </c>
      <c r="D36" s="175"/>
      <c r="E36" s="175"/>
      <c r="F36" s="175"/>
      <c r="G36" s="176">
        <f t="shared" si="0"/>
        <v>740444.43</v>
      </c>
      <c r="H36" s="175" t="s">
        <v>266</v>
      </c>
      <c r="I36" s="176">
        <f t="shared" si="1"/>
        <v>740444</v>
      </c>
      <c r="J36" s="177"/>
      <c r="L36" s="165"/>
      <c r="M36" s="165"/>
      <c r="N36" s="178"/>
      <c r="O36" s="178"/>
      <c r="P36" s="174"/>
    </row>
    <row r="37" spans="1:16" x14ac:dyDescent="0.45">
      <c r="A37" s="173" t="s">
        <v>1000</v>
      </c>
      <c r="B37" s="173" t="s">
        <v>930</v>
      </c>
      <c r="C37" s="174">
        <v>-218820.59</v>
      </c>
      <c r="D37" s="175"/>
      <c r="E37" s="175"/>
      <c r="F37" s="175"/>
      <c r="G37" s="176">
        <f t="shared" si="0"/>
        <v>-218820.59</v>
      </c>
      <c r="H37" s="175" t="s">
        <v>266</v>
      </c>
      <c r="I37" s="176">
        <f t="shared" si="1"/>
        <v>-218821</v>
      </c>
      <c r="J37" s="177">
        <f>SUM(I25:I39)</f>
        <v>5413565</v>
      </c>
      <c r="L37" s="165"/>
      <c r="M37" s="165"/>
      <c r="N37" s="178"/>
      <c r="O37" s="178"/>
      <c r="P37" s="174"/>
    </row>
    <row r="38" spans="1:16" x14ac:dyDescent="0.45">
      <c r="A38" s="173" t="s">
        <v>1001</v>
      </c>
      <c r="B38" s="173" t="s">
        <v>931</v>
      </c>
      <c r="C38" s="174">
        <v>45737.26</v>
      </c>
      <c r="D38" s="175"/>
      <c r="E38" s="175"/>
      <c r="F38" s="175"/>
      <c r="G38" s="176">
        <f t="shared" si="0"/>
        <v>45737.26</v>
      </c>
      <c r="H38" s="175" t="s">
        <v>266</v>
      </c>
      <c r="I38" s="176">
        <f t="shared" si="1"/>
        <v>45737</v>
      </c>
      <c r="J38" s="177">
        <v>-5413566.2999999998</v>
      </c>
      <c r="L38" s="165"/>
      <c r="M38" s="165"/>
      <c r="N38" s="178"/>
      <c r="O38" s="178"/>
      <c r="P38" s="174"/>
    </row>
    <row r="39" spans="1:16" x14ac:dyDescent="0.45">
      <c r="A39" s="182" t="s">
        <v>1002</v>
      </c>
      <c r="B39" s="180" t="s">
        <v>932</v>
      </c>
      <c r="C39" s="174">
        <v>-13682.6</v>
      </c>
      <c r="D39" s="175"/>
      <c r="E39" s="175"/>
      <c r="F39" s="175"/>
      <c r="G39" s="176">
        <f t="shared" si="0"/>
        <v>-13682.6</v>
      </c>
      <c r="H39" s="175" t="s">
        <v>266</v>
      </c>
      <c r="I39" s="176">
        <f t="shared" si="1"/>
        <v>-13683</v>
      </c>
      <c r="J39" s="177">
        <f>SUM(J37:J38)</f>
        <v>-1.3</v>
      </c>
      <c r="L39" s="165"/>
      <c r="M39" s="165"/>
      <c r="N39" s="178"/>
      <c r="O39" s="178"/>
      <c r="P39" s="174"/>
    </row>
    <row r="40" spans="1:16" x14ac:dyDescent="0.45">
      <c r="A40" s="173" t="s">
        <v>1003</v>
      </c>
      <c r="B40" s="173" t="s">
        <v>933</v>
      </c>
      <c r="C40" s="174">
        <v>16299.15</v>
      </c>
      <c r="D40" s="175"/>
      <c r="E40" s="175"/>
      <c r="F40" s="175"/>
      <c r="G40" s="176">
        <f t="shared" si="0"/>
        <v>16299.15</v>
      </c>
      <c r="H40" s="175" t="s">
        <v>1295</v>
      </c>
      <c r="I40" s="176">
        <f t="shared" si="1"/>
        <v>16299</v>
      </c>
      <c r="J40" s="177"/>
      <c r="L40" s="165"/>
      <c r="M40" s="165"/>
      <c r="N40" s="178"/>
      <c r="O40" s="178"/>
      <c r="P40" s="174"/>
    </row>
    <row r="41" spans="1:16" x14ac:dyDescent="0.45">
      <c r="A41" s="181" t="s">
        <v>1301</v>
      </c>
      <c r="B41" s="173" t="s">
        <v>1302</v>
      </c>
      <c r="C41" s="174">
        <f>'[1]TB 1st QTR 18'!H41</f>
        <v>0</v>
      </c>
      <c r="D41" s="175"/>
      <c r="E41" s="175"/>
      <c r="F41" s="175"/>
      <c r="G41" s="176">
        <f t="shared" si="0"/>
        <v>0</v>
      </c>
      <c r="H41" s="175" t="s">
        <v>1295</v>
      </c>
      <c r="I41" s="176">
        <f t="shared" si="1"/>
        <v>0</v>
      </c>
      <c r="J41" s="177"/>
      <c r="L41" s="165"/>
      <c r="M41" s="165"/>
      <c r="N41" s="178"/>
      <c r="O41" s="178"/>
      <c r="P41" s="174"/>
    </row>
    <row r="42" spans="1:16" x14ac:dyDescent="0.45">
      <c r="A42" s="181" t="s">
        <v>1303</v>
      </c>
      <c r="B42" s="173" t="s">
        <v>1326</v>
      </c>
      <c r="C42" s="174">
        <f>-'[1]TB 1st QTR 18'!I42</f>
        <v>0</v>
      </c>
      <c r="D42" s="175"/>
      <c r="E42" s="175"/>
      <c r="F42" s="175"/>
      <c r="G42" s="176">
        <f t="shared" si="0"/>
        <v>0</v>
      </c>
      <c r="H42" s="175" t="s">
        <v>1295</v>
      </c>
      <c r="I42" s="176">
        <f t="shared" si="1"/>
        <v>0</v>
      </c>
      <c r="J42" s="177">
        <f>SUM(I40:I50)</f>
        <v>259104</v>
      </c>
      <c r="L42" s="165"/>
      <c r="M42" s="165"/>
      <c r="N42" s="178"/>
      <c r="O42" s="178"/>
      <c r="P42" s="174"/>
    </row>
    <row r="43" spans="1:16" x14ac:dyDescent="0.45">
      <c r="A43" s="181" t="s">
        <v>1304</v>
      </c>
      <c r="B43" s="173" t="s">
        <v>1305</v>
      </c>
      <c r="C43" s="174">
        <v>0</v>
      </c>
      <c r="D43" s="175"/>
      <c r="E43" s="175"/>
      <c r="F43" s="175"/>
      <c r="G43" s="176">
        <f t="shared" si="0"/>
        <v>0</v>
      </c>
      <c r="H43" s="175" t="s">
        <v>860</v>
      </c>
      <c r="I43" s="176">
        <f t="shared" si="1"/>
        <v>0</v>
      </c>
      <c r="J43" s="177">
        <v>-259103.01</v>
      </c>
      <c r="L43" s="165"/>
      <c r="M43" s="165"/>
      <c r="N43" s="178"/>
      <c r="O43" s="178"/>
      <c r="P43" s="174"/>
    </row>
    <row r="44" spans="1:16" x14ac:dyDescent="0.45">
      <c r="A44" s="181" t="s">
        <v>1004</v>
      </c>
      <c r="B44" s="173" t="s">
        <v>15</v>
      </c>
      <c r="C44" s="174">
        <v>8715.65</v>
      </c>
      <c r="D44" s="175"/>
      <c r="E44" s="175"/>
      <c r="F44" s="175"/>
      <c r="G44" s="176">
        <f t="shared" si="0"/>
        <v>8715.65</v>
      </c>
      <c r="H44" s="175" t="s">
        <v>860</v>
      </c>
      <c r="I44" s="176">
        <f t="shared" si="1"/>
        <v>8716</v>
      </c>
      <c r="J44" s="177">
        <f>SUM(J42:J43)</f>
        <v>0.99</v>
      </c>
      <c r="L44" s="165"/>
      <c r="M44" s="165"/>
      <c r="N44" s="178"/>
      <c r="O44" s="178"/>
      <c r="P44" s="174"/>
    </row>
    <row r="45" spans="1:16" x14ac:dyDescent="0.45">
      <c r="A45" s="173" t="s">
        <v>1005</v>
      </c>
      <c r="B45" s="173" t="s">
        <v>935</v>
      </c>
      <c r="C45" s="174">
        <v>49513.04</v>
      </c>
      <c r="D45" s="175"/>
      <c r="E45" s="175"/>
      <c r="F45" s="175"/>
      <c r="G45" s="176">
        <f t="shared" si="0"/>
        <v>49513.04</v>
      </c>
      <c r="H45" s="175" t="s">
        <v>271</v>
      </c>
      <c r="I45" s="176">
        <f t="shared" si="1"/>
        <v>49513</v>
      </c>
      <c r="J45" s="177"/>
      <c r="L45" s="165"/>
      <c r="M45" s="165"/>
      <c r="N45" s="178"/>
      <c r="O45" s="178"/>
      <c r="P45" s="174"/>
    </row>
    <row r="46" spans="1:16" x14ac:dyDescent="0.45">
      <c r="A46" s="173" t="s">
        <v>1006</v>
      </c>
      <c r="B46" s="173" t="s">
        <v>936</v>
      </c>
      <c r="C46" s="174">
        <v>67820.13</v>
      </c>
      <c r="D46" s="175"/>
      <c r="E46" s="175"/>
      <c r="F46" s="175"/>
      <c r="G46" s="176">
        <f t="shared" si="0"/>
        <v>67820.13</v>
      </c>
      <c r="H46" s="175" t="s">
        <v>271</v>
      </c>
      <c r="I46" s="176">
        <f t="shared" si="1"/>
        <v>67820</v>
      </c>
      <c r="J46" s="177"/>
      <c r="L46" s="165"/>
      <c r="M46" s="165"/>
      <c r="N46" s="178"/>
      <c r="O46" s="178"/>
      <c r="P46" s="174"/>
    </row>
    <row r="47" spans="1:16" x14ac:dyDescent="0.45">
      <c r="A47" s="173" t="s">
        <v>1007</v>
      </c>
      <c r="B47" s="173" t="s">
        <v>937</v>
      </c>
      <c r="C47" s="174">
        <v>62701.68</v>
      </c>
      <c r="D47" s="175"/>
      <c r="E47" s="175"/>
      <c r="F47" s="175"/>
      <c r="G47" s="176">
        <f t="shared" si="0"/>
        <v>62701.68</v>
      </c>
      <c r="H47" s="175" t="s">
        <v>271</v>
      </c>
      <c r="I47" s="176">
        <f t="shared" si="1"/>
        <v>62702</v>
      </c>
      <c r="J47" s="177"/>
      <c r="L47" s="165"/>
      <c r="M47" s="165"/>
      <c r="N47" s="178"/>
      <c r="O47" s="178"/>
      <c r="P47" s="174"/>
    </row>
    <row r="48" spans="1:16" x14ac:dyDescent="0.45">
      <c r="A48" s="182" t="s">
        <v>1008</v>
      </c>
      <c r="B48" s="173" t="s">
        <v>938</v>
      </c>
      <c r="C48" s="174">
        <v>41444</v>
      </c>
      <c r="D48" s="175"/>
      <c r="E48" s="175"/>
      <c r="F48" s="175"/>
      <c r="G48" s="176">
        <f t="shared" si="0"/>
        <v>41444</v>
      </c>
      <c r="H48" s="175" t="s">
        <v>271</v>
      </c>
      <c r="I48" s="176">
        <f t="shared" si="1"/>
        <v>41444</v>
      </c>
      <c r="J48" s="161"/>
      <c r="L48" s="165"/>
      <c r="M48" s="165"/>
      <c r="N48" s="178"/>
      <c r="O48" s="178"/>
      <c r="P48" s="174"/>
    </row>
    <row r="49" spans="1:16" x14ac:dyDescent="0.45">
      <c r="A49" s="173" t="s">
        <v>1009</v>
      </c>
      <c r="B49" s="173" t="s">
        <v>939</v>
      </c>
      <c r="C49" s="174">
        <v>12595.61</v>
      </c>
      <c r="D49" s="175"/>
      <c r="E49" s="175"/>
      <c r="F49" s="175"/>
      <c r="G49" s="176">
        <f t="shared" si="0"/>
        <v>12595.61</v>
      </c>
      <c r="H49" s="175" t="s">
        <v>271</v>
      </c>
      <c r="I49" s="176">
        <f>ROUND(G49,0)</f>
        <v>12596</v>
      </c>
      <c r="J49" s="161"/>
      <c r="L49" s="165"/>
      <c r="M49" s="165"/>
      <c r="N49" s="178"/>
      <c r="O49" s="178"/>
      <c r="P49" s="174"/>
    </row>
    <row r="50" spans="1:16" x14ac:dyDescent="0.45">
      <c r="A50" s="173" t="s">
        <v>1010</v>
      </c>
      <c r="B50" s="173" t="s">
        <v>940</v>
      </c>
      <c r="C50" s="174">
        <v>13.75</v>
      </c>
      <c r="D50" s="175"/>
      <c r="E50" s="175"/>
      <c r="F50" s="175"/>
      <c r="G50" s="176">
        <f t="shared" si="0"/>
        <v>13.75</v>
      </c>
      <c r="H50" s="175" t="s">
        <v>264</v>
      </c>
      <c r="I50" s="176">
        <f t="shared" si="1"/>
        <v>14</v>
      </c>
      <c r="J50" s="161"/>
      <c r="L50" s="165"/>
      <c r="M50" s="165"/>
      <c r="N50" s="178"/>
      <c r="O50" s="178"/>
      <c r="P50" s="174"/>
    </row>
    <row r="51" spans="1:16" x14ac:dyDescent="0.45">
      <c r="A51" s="173" t="s">
        <v>363</v>
      </c>
      <c r="B51" s="173" t="s">
        <v>64</v>
      </c>
      <c r="C51" s="174">
        <v>-1431525.65</v>
      </c>
      <c r="D51" s="175"/>
      <c r="E51" s="175"/>
      <c r="F51" s="175"/>
      <c r="G51" s="176">
        <f t="shared" si="0"/>
        <v>-1431525.65</v>
      </c>
      <c r="H51" s="175" t="s">
        <v>859</v>
      </c>
      <c r="I51" s="176">
        <f t="shared" si="1"/>
        <v>-1431526</v>
      </c>
      <c r="J51" s="177">
        <f>-SUM(I54:I60)</f>
        <v>2712249</v>
      </c>
      <c r="L51" s="165"/>
      <c r="M51" s="165"/>
      <c r="N51" s="178"/>
      <c r="O51" s="178"/>
      <c r="P51" s="174"/>
    </row>
    <row r="52" spans="1:16" x14ac:dyDescent="0.45">
      <c r="A52" s="181" t="s">
        <v>1317</v>
      </c>
      <c r="B52" s="173" t="s">
        <v>1327</v>
      </c>
      <c r="C52" s="174">
        <v>-32.18</v>
      </c>
      <c r="D52" s="175"/>
      <c r="E52" s="175"/>
      <c r="F52" s="175"/>
      <c r="G52" s="176">
        <f t="shared" si="0"/>
        <v>-32.18</v>
      </c>
      <c r="H52" s="175" t="s">
        <v>860</v>
      </c>
      <c r="I52" s="176">
        <f t="shared" si="1"/>
        <v>-32</v>
      </c>
      <c r="J52" s="177">
        <v>-2712244.76</v>
      </c>
      <c r="L52" s="165"/>
      <c r="M52" s="165"/>
      <c r="N52" s="178"/>
      <c r="O52" s="178"/>
      <c r="P52" s="174"/>
    </row>
    <row r="53" spans="1:16" x14ac:dyDescent="0.45">
      <c r="A53" s="173" t="s">
        <v>1011</v>
      </c>
      <c r="B53" s="173" t="s">
        <v>941</v>
      </c>
      <c r="C53" s="174">
        <v>-48284.800000000003</v>
      </c>
      <c r="D53" s="165"/>
      <c r="E53" s="175"/>
      <c r="F53" s="175"/>
      <c r="G53" s="176">
        <f t="shared" si="0"/>
        <v>-48284.800000000003</v>
      </c>
      <c r="H53" s="175" t="s">
        <v>860</v>
      </c>
      <c r="I53" s="176">
        <f t="shared" si="1"/>
        <v>-48285</v>
      </c>
      <c r="J53" s="177">
        <f>SUM(J51:J52)</f>
        <v>4.24</v>
      </c>
      <c r="L53" s="165"/>
      <c r="M53" s="165"/>
      <c r="N53" s="178"/>
      <c r="O53" s="178"/>
      <c r="P53" s="174"/>
    </row>
    <row r="54" spans="1:16" x14ac:dyDescent="0.45">
      <c r="A54" s="173" t="s">
        <v>1012</v>
      </c>
      <c r="B54" s="173" t="s">
        <v>1319</v>
      </c>
      <c r="C54" s="174">
        <v>-1434280.6</v>
      </c>
      <c r="D54" s="175"/>
      <c r="E54" s="175"/>
      <c r="F54" s="175"/>
      <c r="G54" s="176">
        <f t="shared" si="0"/>
        <v>-1434280.6</v>
      </c>
      <c r="H54" s="175" t="s">
        <v>273</v>
      </c>
      <c r="I54" s="176">
        <f t="shared" si="1"/>
        <v>-1434281</v>
      </c>
      <c r="J54" s="177"/>
      <c r="L54" s="165"/>
      <c r="M54" s="165"/>
      <c r="N54" s="178"/>
      <c r="O54" s="178"/>
      <c r="P54" s="174"/>
    </row>
    <row r="55" spans="1:16" x14ac:dyDescent="0.45">
      <c r="A55" s="181" t="s">
        <v>1320</v>
      </c>
      <c r="B55" s="173" t="s">
        <v>1321</v>
      </c>
      <c r="C55" s="174">
        <v>-1023800.44</v>
      </c>
      <c r="D55" s="175"/>
      <c r="E55" s="175"/>
      <c r="F55" s="175"/>
      <c r="G55" s="176">
        <f t="shared" si="0"/>
        <v>-1023800.44</v>
      </c>
      <c r="H55" s="175" t="s">
        <v>274</v>
      </c>
      <c r="I55" s="176">
        <f t="shared" si="1"/>
        <v>-1023800</v>
      </c>
      <c r="J55" s="177"/>
      <c r="L55" s="165"/>
      <c r="M55" s="165"/>
      <c r="N55" s="178"/>
      <c r="O55" s="178"/>
      <c r="P55" s="174"/>
    </row>
    <row r="56" spans="1:16" x14ac:dyDescent="0.45">
      <c r="A56" s="181" t="s">
        <v>1328</v>
      </c>
      <c r="B56" s="173" t="s">
        <v>1329</v>
      </c>
      <c r="C56" s="174">
        <v>0</v>
      </c>
      <c r="D56" s="175"/>
      <c r="E56" s="175"/>
      <c r="F56" s="175"/>
      <c r="G56" s="176">
        <f t="shared" si="0"/>
        <v>0</v>
      </c>
      <c r="H56" s="175" t="s">
        <v>860</v>
      </c>
      <c r="I56" s="176">
        <f t="shared" si="1"/>
        <v>0</v>
      </c>
      <c r="J56" s="177"/>
      <c r="L56" s="165"/>
      <c r="M56" s="165"/>
      <c r="N56" s="178"/>
      <c r="O56" s="178"/>
      <c r="P56" s="174"/>
    </row>
    <row r="57" spans="1:16" x14ac:dyDescent="0.45">
      <c r="A57" s="182" t="s">
        <v>1013</v>
      </c>
      <c r="B57" s="180" t="s">
        <v>942</v>
      </c>
      <c r="C57" s="174">
        <v>15733.1</v>
      </c>
      <c r="D57" s="175"/>
      <c r="E57" s="175"/>
      <c r="F57" s="175"/>
      <c r="G57" s="176">
        <f t="shared" si="0"/>
        <v>15733.1</v>
      </c>
      <c r="H57" s="175" t="s">
        <v>860</v>
      </c>
      <c r="I57" s="176">
        <f t="shared" si="1"/>
        <v>15733</v>
      </c>
      <c r="J57" s="177"/>
      <c r="L57" s="165"/>
      <c r="M57" s="165"/>
      <c r="N57" s="178"/>
      <c r="O57" s="178"/>
      <c r="P57" s="174"/>
    </row>
    <row r="58" spans="1:16" x14ac:dyDescent="0.45">
      <c r="A58" s="182" t="s">
        <v>1014</v>
      </c>
      <c r="B58" s="180" t="s">
        <v>943</v>
      </c>
      <c r="C58" s="174">
        <v>-249560.85</v>
      </c>
      <c r="D58" s="175"/>
      <c r="E58" s="175"/>
      <c r="F58" s="175"/>
      <c r="G58" s="176">
        <f t="shared" si="0"/>
        <v>-249560.85</v>
      </c>
      <c r="H58" s="175" t="s">
        <v>860</v>
      </c>
      <c r="I58" s="176">
        <f t="shared" si="1"/>
        <v>-249561</v>
      </c>
      <c r="J58" s="177"/>
      <c r="L58" s="165"/>
      <c r="M58" s="165"/>
      <c r="N58" s="178"/>
      <c r="O58" s="178"/>
      <c r="P58" s="174"/>
    </row>
    <row r="59" spans="1:16" x14ac:dyDescent="0.45">
      <c r="A59" s="182" t="s">
        <v>1306</v>
      </c>
      <c r="B59" s="180" t="s">
        <v>1307</v>
      </c>
      <c r="C59" s="174">
        <v>3682</v>
      </c>
      <c r="D59" s="175"/>
      <c r="E59" s="175"/>
      <c r="F59" s="175"/>
      <c r="G59" s="176">
        <f t="shared" si="0"/>
        <v>3682</v>
      </c>
      <c r="H59" s="175" t="s">
        <v>1297</v>
      </c>
      <c r="I59" s="176">
        <f>ROUND(G59,0)-4</f>
        <v>3678</v>
      </c>
      <c r="J59" s="177"/>
      <c r="L59" s="165"/>
      <c r="M59" s="165"/>
      <c r="N59" s="178"/>
      <c r="O59" s="178"/>
      <c r="P59" s="174"/>
    </row>
    <row r="60" spans="1:16" x14ac:dyDescent="0.45">
      <c r="A60" s="173" t="s">
        <v>1308</v>
      </c>
      <c r="B60" s="173" t="s">
        <v>1309</v>
      </c>
      <c r="C60" s="174">
        <v>-24017.97</v>
      </c>
      <c r="D60" s="175"/>
      <c r="E60" s="175"/>
      <c r="F60" s="175"/>
      <c r="G60" s="176">
        <f t="shared" si="0"/>
        <v>-24017.97</v>
      </c>
      <c r="H60" s="175" t="s">
        <v>860</v>
      </c>
      <c r="I60" s="176">
        <f t="shared" si="1"/>
        <v>-24018</v>
      </c>
      <c r="J60" s="177"/>
      <c r="L60" s="165"/>
      <c r="M60" s="165"/>
      <c r="N60" s="178"/>
      <c r="O60" s="178"/>
      <c r="P60" s="174"/>
    </row>
    <row r="61" spans="1:16" x14ac:dyDescent="0.45">
      <c r="A61" s="181" t="s">
        <v>1017</v>
      </c>
      <c r="B61" s="173" t="s">
        <v>1310</v>
      </c>
      <c r="C61" s="174">
        <v>-389321.01</v>
      </c>
      <c r="D61" s="175"/>
      <c r="E61" s="175"/>
      <c r="F61" s="175"/>
      <c r="G61" s="176">
        <f t="shared" si="0"/>
        <v>-389321.01</v>
      </c>
      <c r="H61" s="175" t="s">
        <v>1298</v>
      </c>
      <c r="I61" s="176">
        <f t="shared" si="1"/>
        <v>-389321</v>
      </c>
      <c r="J61" s="177"/>
      <c r="L61" s="165"/>
      <c r="M61" s="165"/>
      <c r="N61" s="178"/>
      <c r="O61" s="178"/>
      <c r="P61" s="174"/>
    </row>
    <row r="62" spans="1:16" x14ac:dyDescent="0.45">
      <c r="A62" s="181" t="s">
        <v>1018</v>
      </c>
      <c r="B62" s="173" t="s">
        <v>947</v>
      </c>
      <c r="C62" s="174">
        <v>-30875.98</v>
      </c>
      <c r="D62" s="175"/>
      <c r="E62" s="175"/>
      <c r="F62" s="175"/>
      <c r="G62" s="176">
        <f t="shared" si="0"/>
        <v>-30875.98</v>
      </c>
      <c r="H62" s="175" t="s">
        <v>274</v>
      </c>
      <c r="I62" s="176">
        <f t="shared" si="1"/>
        <v>-30876</v>
      </c>
      <c r="J62" s="177"/>
      <c r="L62" s="165"/>
      <c r="M62" s="165"/>
      <c r="N62" s="178"/>
      <c r="O62" s="178"/>
      <c r="P62" s="174"/>
    </row>
    <row r="63" spans="1:16" x14ac:dyDescent="0.45">
      <c r="A63" s="181" t="s">
        <v>1019</v>
      </c>
      <c r="B63" s="173" t="s">
        <v>948</v>
      </c>
      <c r="C63" s="174">
        <v>-12071.9</v>
      </c>
      <c r="D63" s="175"/>
      <c r="E63" s="175"/>
      <c r="F63" s="175"/>
      <c r="G63" s="176">
        <f t="shared" si="0"/>
        <v>-12071.9</v>
      </c>
      <c r="H63" s="175" t="s">
        <v>274</v>
      </c>
      <c r="I63" s="176">
        <f t="shared" si="1"/>
        <v>-12072</v>
      </c>
      <c r="J63" s="177"/>
      <c r="L63" s="165"/>
      <c r="M63" s="165"/>
      <c r="N63" s="178"/>
      <c r="O63" s="178"/>
      <c r="P63" s="174"/>
    </row>
    <row r="64" spans="1:16" x14ac:dyDescent="0.45">
      <c r="A64" s="181" t="s">
        <v>1020</v>
      </c>
      <c r="B64" s="173" t="s">
        <v>949</v>
      </c>
      <c r="C64" s="174">
        <v>-38227.75</v>
      </c>
      <c r="D64" s="175"/>
      <c r="E64" s="175"/>
      <c r="F64" s="175"/>
      <c r="G64" s="176">
        <f t="shared" si="0"/>
        <v>-38227.75</v>
      </c>
      <c r="H64" s="175" t="s">
        <v>274</v>
      </c>
      <c r="I64" s="176">
        <f t="shared" si="1"/>
        <v>-38228</v>
      </c>
      <c r="J64" s="177"/>
      <c r="L64" s="165"/>
      <c r="M64" s="165"/>
      <c r="N64" s="178"/>
      <c r="O64" s="178"/>
      <c r="P64" s="174"/>
    </row>
    <row r="65" spans="1:16" x14ac:dyDescent="0.45">
      <c r="A65" s="181" t="s">
        <v>1021</v>
      </c>
      <c r="B65" s="173" t="s">
        <v>950</v>
      </c>
      <c r="C65" s="174">
        <v>-51704</v>
      </c>
      <c r="D65" s="175"/>
      <c r="E65" s="175"/>
      <c r="F65" s="175"/>
      <c r="G65" s="176">
        <f t="shared" si="0"/>
        <v>-51704</v>
      </c>
      <c r="H65" s="175" t="s">
        <v>274</v>
      </c>
      <c r="I65" s="176">
        <f t="shared" si="1"/>
        <v>-51704</v>
      </c>
      <c r="J65" s="177"/>
      <c r="L65" s="165"/>
      <c r="M65" s="165"/>
      <c r="N65" s="178"/>
      <c r="O65" s="178"/>
      <c r="P65" s="174"/>
    </row>
    <row r="66" spans="1:16" x14ac:dyDescent="0.45">
      <c r="A66" s="181" t="s">
        <v>1023</v>
      </c>
      <c r="B66" s="173" t="s">
        <v>1330</v>
      </c>
      <c r="C66" s="174">
        <v>-24184.400000000001</v>
      </c>
      <c r="D66" s="175"/>
      <c r="E66" s="175"/>
      <c r="F66" s="175"/>
      <c r="G66" s="176">
        <f t="shared" si="0"/>
        <v>-24184.400000000001</v>
      </c>
      <c r="H66" s="175" t="s">
        <v>274</v>
      </c>
      <c r="I66" s="176">
        <f t="shared" si="1"/>
        <v>-24184</v>
      </c>
      <c r="J66" s="177"/>
      <c r="L66" s="165"/>
      <c r="M66" s="165"/>
      <c r="N66" s="178"/>
      <c r="O66" s="178"/>
      <c r="P66" s="174"/>
    </row>
    <row r="67" spans="1:16" x14ac:dyDescent="0.45">
      <c r="A67" s="181" t="s">
        <v>1024</v>
      </c>
      <c r="B67" s="173" t="s">
        <v>1331</v>
      </c>
      <c r="C67" s="174">
        <v>-94569.47</v>
      </c>
      <c r="D67" s="175"/>
      <c r="E67" s="175"/>
      <c r="F67" s="175"/>
      <c r="G67" s="176">
        <f t="shared" ref="G67:G95" si="2">SUM(C67:F67)</f>
        <v>-94569.47</v>
      </c>
      <c r="H67" s="175" t="s">
        <v>274</v>
      </c>
      <c r="I67" s="176">
        <f t="shared" si="1"/>
        <v>-94569</v>
      </c>
      <c r="J67" s="177"/>
      <c r="L67" s="165"/>
      <c r="M67" s="165"/>
      <c r="N67" s="178"/>
      <c r="O67" s="178"/>
      <c r="P67" s="174"/>
    </row>
    <row r="68" spans="1:16" x14ac:dyDescent="0.45">
      <c r="A68" s="181" t="s">
        <v>1026</v>
      </c>
      <c r="B68" s="173" t="s">
        <v>1332</v>
      </c>
      <c r="C68" s="174">
        <v>-28773.82</v>
      </c>
      <c r="D68" s="175"/>
      <c r="E68" s="175"/>
      <c r="F68" s="175"/>
      <c r="G68" s="176">
        <f t="shared" si="2"/>
        <v>-28773.82</v>
      </c>
      <c r="H68" s="175" t="s">
        <v>274</v>
      </c>
      <c r="I68" s="176">
        <f t="shared" si="1"/>
        <v>-28774</v>
      </c>
      <c r="J68" s="177"/>
      <c r="L68" s="165"/>
      <c r="M68" s="165"/>
      <c r="N68" s="178"/>
      <c r="O68" s="178"/>
      <c r="P68" s="174"/>
    </row>
    <row r="69" spans="1:16" x14ac:dyDescent="0.45">
      <c r="A69" s="181" t="s">
        <v>1027</v>
      </c>
      <c r="B69" s="173" t="s">
        <v>1333</v>
      </c>
      <c r="C69" s="174">
        <v>-491500</v>
      </c>
      <c r="D69" s="175"/>
      <c r="E69" s="175"/>
      <c r="F69" s="175"/>
      <c r="G69" s="176">
        <f t="shared" si="2"/>
        <v>-491500</v>
      </c>
      <c r="H69" s="175" t="s">
        <v>1299</v>
      </c>
      <c r="I69" s="176">
        <f t="shared" si="1"/>
        <v>-491500</v>
      </c>
      <c r="J69" s="177"/>
      <c r="L69" s="165"/>
      <c r="M69" s="165"/>
      <c r="N69" s="178"/>
      <c r="O69" s="178"/>
      <c r="P69" s="174"/>
    </row>
    <row r="70" spans="1:16" x14ac:dyDescent="0.45">
      <c r="A70" s="181" t="s">
        <v>1028</v>
      </c>
      <c r="B70" s="173" t="s">
        <v>1334</v>
      </c>
      <c r="C70" s="174">
        <v>-28708.27</v>
      </c>
      <c r="D70" s="175"/>
      <c r="E70" s="175"/>
      <c r="F70" s="175"/>
      <c r="G70" s="176">
        <f t="shared" si="2"/>
        <v>-28708.27</v>
      </c>
      <c r="H70" s="175" t="s">
        <v>274</v>
      </c>
      <c r="I70" s="176">
        <f t="shared" si="1"/>
        <v>-28708</v>
      </c>
      <c r="J70" s="177"/>
      <c r="L70" s="165"/>
      <c r="M70" s="165"/>
      <c r="N70" s="178"/>
      <c r="O70" s="178"/>
      <c r="P70" s="174"/>
    </row>
    <row r="71" spans="1:16" x14ac:dyDescent="0.45">
      <c r="A71" s="181" t="s">
        <v>1029</v>
      </c>
      <c r="B71" s="173" t="s">
        <v>1335</v>
      </c>
      <c r="C71" s="174">
        <v>-17864.73</v>
      </c>
      <c r="D71" s="175"/>
      <c r="E71" s="175"/>
      <c r="F71" s="175"/>
      <c r="G71" s="176">
        <f t="shared" si="2"/>
        <v>-17864.73</v>
      </c>
      <c r="H71" s="175" t="s">
        <v>274</v>
      </c>
      <c r="I71" s="176">
        <f t="shared" ref="I71:I95" si="3">ROUND(G71,0)</f>
        <v>-17865</v>
      </c>
      <c r="J71" s="177"/>
      <c r="L71" s="165"/>
      <c r="M71" s="165"/>
      <c r="N71" s="178"/>
      <c r="O71" s="178"/>
      <c r="P71" s="174"/>
    </row>
    <row r="72" spans="1:16" x14ac:dyDescent="0.45">
      <c r="A72" s="181" t="s">
        <v>1030</v>
      </c>
      <c r="B72" s="173" t="s">
        <v>1336</v>
      </c>
      <c r="C72" s="174">
        <v>-95000</v>
      </c>
      <c r="D72" s="175"/>
      <c r="E72" s="175"/>
      <c r="F72" s="175"/>
      <c r="G72" s="176">
        <f t="shared" si="2"/>
        <v>-95000</v>
      </c>
      <c r="H72" s="175" t="s">
        <v>274</v>
      </c>
      <c r="I72" s="176">
        <f t="shared" si="3"/>
        <v>-95000</v>
      </c>
      <c r="J72" s="177"/>
      <c r="L72" s="165"/>
      <c r="M72" s="165"/>
      <c r="N72" s="178"/>
      <c r="O72" s="178"/>
      <c r="P72" s="174"/>
    </row>
    <row r="73" spans="1:16" x14ac:dyDescent="0.45">
      <c r="A73" s="181" t="s">
        <v>1031</v>
      </c>
      <c r="B73" s="173" t="s">
        <v>1337</v>
      </c>
      <c r="C73" s="174">
        <v>-116837.87</v>
      </c>
      <c r="D73" s="175"/>
      <c r="E73" s="175"/>
      <c r="F73" s="175"/>
      <c r="G73" s="176">
        <f t="shared" si="2"/>
        <v>-116837.87</v>
      </c>
      <c r="H73" s="175" t="s">
        <v>274</v>
      </c>
      <c r="I73" s="176">
        <f t="shared" si="3"/>
        <v>-116838</v>
      </c>
      <c r="J73" s="177"/>
      <c r="L73" s="165"/>
      <c r="M73" s="165"/>
      <c r="N73" s="178"/>
      <c r="O73" s="178"/>
      <c r="P73" s="174"/>
    </row>
    <row r="74" spans="1:16" x14ac:dyDescent="0.45">
      <c r="A74" s="181" t="s">
        <v>1032</v>
      </c>
      <c r="B74" s="173" t="s">
        <v>1338</v>
      </c>
      <c r="C74" s="174">
        <v>-14620.68</v>
      </c>
      <c r="D74" s="175"/>
      <c r="E74" s="175"/>
      <c r="F74" s="175"/>
      <c r="G74" s="176">
        <f t="shared" si="2"/>
        <v>-14620.68</v>
      </c>
      <c r="H74" s="175" t="s">
        <v>274</v>
      </c>
      <c r="I74" s="176">
        <f t="shared" si="3"/>
        <v>-14621</v>
      </c>
      <c r="J74" s="177">
        <f>SUM(I61:I90)</f>
        <v>-3544575</v>
      </c>
      <c r="L74" s="165"/>
      <c r="M74" s="165"/>
      <c r="N74" s="178"/>
      <c r="O74" s="178"/>
      <c r="P74" s="174"/>
    </row>
    <row r="75" spans="1:16" x14ac:dyDescent="0.45">
      <c r="A75" s="181" t="s">
        <v>1033</v>
      </c>
      <c r="B75" s="173" t="s">
        <v>1339</v>
      </c>
      <c r="C75" s="174">
        <v>-9969.23</v>
      </c>
      <c r="D75" s="175"/>
      <c r="E75" s="175"/>
      <c r="F75" s="175"/>
      <c r="G75" s="176">
        <f t="shared" si="2"/>
        <v>-9969.23</v>
      </c>
      <c r="H75" s="175" t="s">
        <v>274</v>
      </c>
      <c r="I75" s="176">
        <f t="shared" si="3"/>
        <v>-9969</v>
      </c>
      <c r="J75" s="177">
        <v>3544579.52</v>
      </c>
      <c r="L75" s="165"/>
      <c r="M75" s="165"/>
      <c r="N75" s="178"/>
      <c r="O75" s="178"/>
      <c r="P75" s="174"/>
    </row>
    <row r="76" spans="1:16" x14ac:dyDescent="0.45">
      <c r="A76" s="181" t="s">
        <v>1034</v>
      </c>
      <c r="B76" s="173" t="s">
        <v>1340</v>
      </c>
      <c r="C76" s="174">
        <v>-14427.91</v>
      </c>
      <c r="D76" s="175"/>
      <c r="E76" s="175"/>
      <c r="F76" s="175"/>
      <c r="G76" s="176">
        <f t="shared" si="2"/>
        <v>-14427.91</v>
      </c>
      <c r="H76" s="175" t="s">
        <v>274</v>
      </c>
      <c r="I76" s="176">
        <f t="shared" si="3"/>
        <v>-14428</v>
      </c>
      <c r="J76" s="177">
        <f>SUM(J74:J75)</f>
        <v>4.5199999999999996</v>
      </c>
      <c r="L76" s="165"/>
      <c r="M76" s="165"/>
      <c r="N76" s="178"/>
      <c r="O76" s="178"/>
      <c r="P76" s="174"/>
    </row>
    <row r="77" spans="1:16" x14ac:dyDescent="0.45">
      <c r="A77" s="181" t="s">
        <v>1035</v>
      </c>
      <c r="B77" s="173" t="s">
        <v>1341</v>
      </c>
      <c r="C77" s="174">
        <v>-23234.55</v>
      </c>
      <c r="D77" s="175"/>
      <c r="E77" s="175"/>
      <c r="F77" s="175"/>
      <c r="G77" s="176">
        <f t="shared" si="2"/>
        <v>-23234.55</v>
      </c>
      <c r="H77" s="175" t="s">
        <v>274</v>
      </c>
      <c r="I77" s="176">
        <f t="shared" si="3"/>
        <v>-23235</v>
      </c>
      <c r="J77" s="177"/>
      <c r="L77" s="165"/>
      <c r="M77" s="165"/>
      <c r="N77" s="178"/>
      <c r="O77" s="178"/>
      <c r="P77" s="174"/>
    </row>
    <row r="78" spans="1:16" x14ac:dyDescent="0.45">
      <c r="A78" s="181" t="s">
        <v>1037</v>
      </c>
      <c r="B78" s="173" t="s">
        <v>1342</v>
      </c>
      <c r="C78" s="174">
        <v>-102650.83</v>
      </c>
      <c r="D78" s="175"/>
      <c r="E78" s="175"/>
      <c r="F78" s="175"/>
      <c r="G78" s="176">
        <f t="shared" si="2"/>
        <v>-102650.83</v>
      </c>
      <c r="H78" s="175" t="s">
        <v>274</v>
      </c>
      <c r="I78" s="176">
        <f t="shared" si="3"/>
        <v>-102651</v>
      </c>
      <c r="J78" s="177"/>
      <c r="L78" s="165"/>
      <c r="M78" s="165"/>
      <c r="N78" s="178"/>
      <c r="O78" s="178"/>
      <c r="P78" s="174"/>
    </row>
    <row r="79" spans="1:16" x14ac:dyDescent="0.45">
      <c r="A79" s="181" t="s">
        <v>1249</v>
      </c>
      <c r="B79" s="173" t="s">
        <v>1343</v>
      </c>
      <c r="C79" s="174">
        <v>-855947</v>
      </c>
      <c r="D79" s="175"/>
      <c r="E79" s="175"/>
      <c r="F79" s="175"/>
      <c r="G79" s="176">
        <f t="shared" si="2"/>
        <v>-855947</v>
      </c>
      <c r="H79" s="175" t="s">
        <v>274</v>
      </c>
      <c r="I79" s="176">
        <f t="shared" si="3"/>
        <v>-855947</v>
      </c>
      <c r="J79" s="161"/>
      <c r="L79" s="165"/>
      <c r="M79" s="165"/>
      <c r="N79" s="178"/>
      <c r="O79" s="178"/>
      <c r="P79" s="174"/>
    </row>
    <row r="80" spans="1:16" x14ac:dyDescent="0.45">
      <c r="A80" s="181" t="s">
        <v>1232</v>
      </c>
      <c r="B80" s="173" t="s">
        <v>1344</v>
      </c>
      <c r="C80" s="174">
        <v>-131464.57999999999</v>
      </c>
      <c r="D80" s="175"/>
      <c r="E80" s="175"/>
      <c r="F80" s="175"/>
      <c r="G80" s="176">
        <f t="shared" si="2"/>
        <v>-131464.57999999999</v>
      </c>
      <c r="H80" s="175" t="s">
        <v>274</v>
      </c>
      <c r="I80" s="176">
        <f t="shared" si="3"/>
        <v>-131465</v>
      </c>
      <c r="J80" s="161"/>
      <c r="L80" s="165"/>
      <c r="M80" s="165"/>
      <c r="N80" s="178"/>
      <c r="O80" s="178"/>
      <c r="P80" s="174"/>
    </row>
    <row r="81" spans="1:16" x14ac:dyDescent="0.45">
      <c r="A81" s="181" t="s">
        <v>1236</v>
      </c>
      <c r="B81" s="173" t="s">
        <v>1345</v>
      </c>
      <c r="C81" s="174">
        <v>-85344.78</v>
      </c>
      <c r="D81" s="175"/>
      <c r="E81" s="175"/>
      <c r="F81" s="175"/>
      <c r="G81" s="176">
        <f t="shared" si="2"/>
        <v>-85344.78</v>
      </c>
      <c r="H81" s="175" t="s">
        <v>274</v>
      </c>
      <c r="I81" s="176">
        <f t="shared" si="3"/>
        <v>-85345</v>
      </c>
      <c r="J81" s="177"/>
      <c r="L81" s="165"/>
      <c r="M81" s="165"/>
      <c r="N81" s="178"/>
      <c r="O81" s="178"/>
      <c r="P81" s="174"/>
    </row>
    <row r="82" spans="1:16" x14ac:dyDescent="0.45">
      <c r="A82" s="181" t="s">
        <v>1242</v>
      </c>
      <c r="B82" s="173" t="s">
        <v>1353</v>
      </c>
      <c r="C82" s="174">
        <v>-69868.800000000003</v>
      </c>
      <c r="D82" s="175"/>
      <c r="E82" s="175"/>
      <c r="F82" s="175"/>
      <c r="G82" s="176">
        <f t="shared" ref="G82:G87" si="4">SUM(C82:F82)</f>
        <v>-69868.800000000003</v>
      </c>
      <c r="H82" s="175" t="s">
        <v>274</v>
      </c>
      <c r="I82" s="176">
        <f t="shared" si="3"/>
        <v>-69869</v>
      </c>
      <c r="J82" s="177"/>
      <c r="L82" s="165"/>
      <c r="M82" s="165"/>
      <c r="N82" s="178"/>
      <c r="O82" s="178"/>
      <c r="P82" s="174"/>
    </row>
    <row r="83" spans="1:16" x14ac:dyDescent="0.45">
      <c r="A83" s="181" t="s">
        <v>1246</v>
      </c>
      <c r="B83" s="173" t="s">
        <v>1354</v>
      </c>
      <c r="C83" s="174">
        <v>-62500</v>
      </c>
      <c r="D83" s="175"/>
      <c r="E83" s="175"/>
      <c r="F83" s="175"/>
      <c r="G83" s="176">
        <f t="shared" si="4"/>
        <v>-62500</v>
      </c>
      <c r="H83" s="175" t="s">
        <v>274</v>
      </c>
      <c r="I83" s="176">
        <f t="shared" si="3"/>
        <v>-62500</v>
      </c>
      <c r="J83" s="177"/>
      <c r="L83" s="165"/>
      <c r="M83" s="165"/>
      <c r="N83" s="178"/>
      <c r="O83" s="178"/>
      <c r="P83" s="174"/>
    </row>
    <row r="84" spans="1:16" x14ac:dyDescent="0.45">
      <c r="A84" s="181" t="s">
        <v>1459</v>
      </c>
      <c r="B84" s="173" t="s">
        <v>1463</v>
      </c>
      <c r="C84" s="174">
        <v>-24134.9</v>
      </c>
      <c r="D84" s="175"/>
      <c r="E84" s="175"/>
      <c r="F84" s="175"/>
      <c r="G84" s="176">
        <f t="shared" si="4"/>
        <v>-24134.9</v>
      </c>
      <c r="H84" s="175" t="s">
        <v>274</v>
      </c>
      <c r="I84" s="176">
        <f t="shared" si="3"/>
        <v>-24135</v>
      </c>
      <c r="J84" s="177"/>
      <c r="L84" s="165"/>
      <c r="M84" s="165"/>
      <c r="N84" s="178"/>
      <c r="O84" s="178"/>
      <c r="P84" s="174"/>
    </row>
    <row r="85" spans="1:16" x14ac:dyDescent="0.45">
      <c r="A85" s="181" t="s">
        <v>1460</v>
      </c>
      <c r="B85" s="173" t="s">
        <v>1464</v>
      </c>
      <c r="C85" s="174">
        <v>-142170.06</v>
      </c>
      <c r="D85" s="175"/>
      <c r="E85" s="175"/>
      <c r="F85" s="175"/>
      <c r="G85" s="176">
        <f t="shared" si="4"/>
        <v>-142170.06</v>
      </c>
      <c r="H85" s="175" t="s">
        <v>274</v>
      </c>
      <c r="I85" s="176">
        <f t="shared" si="3"/>
        <v>-142170</v>
      </c>
      <c r="J85" s="177"/>
      <c r="L85" s="165"/>
      <c r="M85" s="165"/>
      <c r="N85" s="178"/>
      <c r="O85" s="178"/>
      <c r="P85" s="174"/>
    </row>
    <row r="86" spans="1:16" x14ac:dyDescent="0.45">
      <c r="A86" s="181" t="s">
        <v>1461</v>
      </c>
      <c r="B86" s="173" t="s">
        <v>1465</v>
      </c>
      <c r="C86" s="174">
        <v>-198000</v>
      </c>
      <c r="D86" s="175"/>
      <c r="E86" s="175"/>
      <c r="F86" s="175"/>
      <c r="G86" s="176">
        <f t="shared" si="4"/>
        <v>-198000</v>
      </c>
      <c r="H86" s="175" t="s">
        <v>274</v>
      </c>
      <c r="I86" s="176">
        <f t="shared" si="3"/>
        <v>-198000</v>
      </c>
      <c r="J86" s="177"/>
      <c r="L86" s="165"/>
      <c r="M86" s="165"/>
      <c r="N86" s="178"/>
      <c r="O86" s="178"/>
      <c r="P86" s="174"/>
    </row>
    <row r="87" spans="1:16" x14ac:dyDescent="0.45">
      <c r="A87" s="181" t="s">
        <v>1462</v>
      </c>
      <c r="B87" s="173" t="s">
        <v>1466</v>
      </c>
      <c r="C87" s="174">
        <v>-190000</v>
      </c>
      <c r="D87" s="175"/>
      <c r="E87" s="175"/>
      <c r="F87" s="175"/>
      <c r="G87" s="176">
        <f t="shared" si="4"/>
        <v>-190000</v>
      </c>
      <c r="H87" s="175" t="s">
        <v>274</v>
      </c>
      <c r="I87" s="176">
        <f t="shared" si="3"/>
        <v>-190000</v>
      </c>
      <c r="J87" s="177"/>
      <c r="L87" s="165"/>
      <c r="M87" s="165"/>
      <c r="N87" s="178"/>
      <c r="O87" s="178"/>
      <c r="P87" s="174"/>
    </row>
    <row r="88" spans="1:16" x14ac:dyDescent="0.45">
      <c r="A88" s="181" t="s">
        <v>1311</v>
      </c>
      <c r="B88" s="173" t="s">
        <v>1312</v>
      </c>
      <c r="C88" s="174">
        <v>-19607</v>
      </c>
      <c r="D88" s="175"/>
      <c r="E88" s="175"/>
      <c r="F88" s="175"/>
      <c r="G88" s="176">
        <f t="shared" si="2"/>
        <v>-19607</v>
      </c>
      <c r="H88" s="175" t="s">
        <v>1299</v>
      </c>
      <c r="I88" s="176">
        <f>ROUND(G88,0)+2</f>
        <v>-19605</v>
      </c>
      <c r="J88" s="177"/>
      <c r="L88" s="165"/>
      <c r="M88" s="165"/>
      <c r="N88" s="178"/>
      <c r="O88" s="178"/>
      <c r="P88" s="174"/>
    </row>
    <row r="89" spans="1:16" x14ac:dyDescent="0.45">
      <c r="A89" s="181" t="s">
        <v>1467</v>
      </c>
      <c r="B89" s="173" t="s">
        <v>1469</v>
      </c>
      <c r="C89" s="174">
        <v>-120000</v>
      </c>
      <c r="D89" s="175"/>
      <c r="E89" s="175"/>
      <c r="F89" s="175"/>
      <c r="G89" s="176">
        <f t="shared" si="2"/>
        <v>-120000</v>
      </c>
      <c r="H89" s="175" t="s">
        <v>274</v>
      </c>
      <c r="I89" s="176">
        <f>ROUND(G89,0)+2</f>
        <v>-119998</v>
      </c>
      <c r="J89" s="177"/>
      <c r="L89" s="165"/>
      <c r="M89" s="165"/>
      <c r="N89" s="178"/>
      <c r="O89" s="178"/>
      <c r="P89" s="174"/>
    </row>
    <row r="90" spans="1:16" x14ac:dyDescent="0.45">
      <c r="A90" s="181" t="s">
        <v>1468</v>
      </c>
      <c r="B90" s="173" t="s">
        <v>1470</v>
      </c>
      <c r="C90" s="174">
        <v>-61000</v>
      </c>
      <c r="D90" s="175"/>
      <c r="E90" s="175"/>
      <c r="F90" s="175"/>
      <c r="G90" s="176">
        <f t="shared" si="2"/>
        <v>-61000</v>
      </c>
      <c r="H90" s="175" t="s">
        <v>274</v>
      </c>
      <c r="I90" s="176">
        <f>ROUND(G90,0)+2</f>
        <v>-60998</v>
      </c>
      <c r="J90" s="177"/>
      <c r="L90" s="165"/>
      <c r="M90" s="165"/>
      <c r="N90" s="178"/>
      <c r="O90" s="178"/>
      <c r="P90" s="174"/>
    </row>
    <row r="91" spans="1:16" x14ac:dyDescent="0.45">
      <c r="A91" s="173" t="s">
        <v>1039</v>
      </c>
      <c r="B91" s="173" t="s">
        <v>138</v>
      </c>
      <c r="C91" s="174">
        <v>20179783.109999999</v>
      </c>
      <c r="D91" s="175"/>
      <c r="E91" s="175"/>
      <c r="F91" s="175"/>
      <c r="G91" s="176">
        <f t="shared" si="2"/>
        <v>20179783.109999999</v>
      </c>
      <c r="H91" s="175" t="s">
        <v>278</v>
      </c>
      <c r="I91" s="176">
        <f t="shared" si="3"/>
        <v>20179783</v>
      </c>
      <c r="J91" s="177"/>
      <c r="L91" s="165"/>
      <c r="M91" s="165"/>
      <c r="N91" s="178"/>
      <c r="O91" s="178"/>
      <c r="P91" s="174"/>
    </row>
    <row r="92" spans="1:16" x14ac:dyDescent="0.45">
      <c r="A92" s="173" t="s">
        <v>1040</v>
      </c>
      <c r="B92" s="173" t="s">
        <v>1323</v>
      </c>
      <c r="C92" s="174">
        <v>-753415.88</v>
      </c>
      <c r="E92" s="175"/>
      <c r="F92" s="175"/>
      <c r="G92" s="176">
        <f t="shared" si="2"/>
        <v>-753415.88</v>
      </c>
      <c r="H92" s="175" t="s">
        <v>276</v>
      </c>
      <c r="I92" s="176">
        <f t="shared" si="3"/>
        <v>-753416</v>
      </c>
      <c r="J92" s="177"/>
      <c r="K92" s="184"/>
      <c r="L92" s="165"/>
      <c r="M92" s="165"/>
      <c r="N92" s="178"/>
      <c r="O92" s="178"/>
      <c r="P92" s="174"/>
    </row>
    <row r="93" spans="1:16" x14ac:dyDescent="0.45">
      <c r="A93" s="173" t="s">
        <v>1041</v>
      </c>
      <c r="B93" s="173" t="s">
        <v>969</v>
      </c>
      <c r="C93" s="174">
        <v>4836.54</v>
      </c>
      <c r="D93" s="175"/>
      <c r="E93" s="175"/>
      <c r="F93" s="175"/>
      <c r="G93" s="176">
        <f t="shared" si="2"/>
        <v>4836.54</v>
      </c>
      <c r="H93" s="175" t="s">
        <v>1300</v>
      </c>
      <c r="I93" s="176">
        <f t="shared" si="3"/>
        <v>4837</v>
      </c>
      <c r="J93" s="177"/>
      <c r="K93" s="184"/>
      <c r="L93" s="140"/>
      <c r="M93" s="165"/>
      <c r="N93" s="178"/>
      <c r="O93" s="178"/>
      <c r="P93" s="174"/>
    </row>
    <row r="94" spans="1:16" x14ac:dyDescent="0.45">
      <c r="A94" s="173" t="s">
        <v>1042</v>
      </c>
      <c r="B94" s="173" t="s">
        <v>970</v>
      </c>
      <c r="C94" s="174">
        <v>-20785924.02</v>
      </c>
      <c r="D94" s="175"/>
      <c r="E94" s="175"/>
      <c r="F94" s="175"/>
      <c r="G94" s="176">
        <f t="shared" si="2"/>
        <v>-20785924.02</v>
      </c>
      <c r="H94" s="175" t="s">
        <v>277</v>
      </c>
      <c r="I94" s="176">
        <f t="shared" si="3"/>
        <v>-20785924</v>
      </c>
      <c r="J94" s="177"/>
      <c r="K94" s="184"/>
      <c r="L94" s="165"/>
      <c r="M94" s="165"/>
      <c r="N94" s="178"/>
      <c r="O94" s="178"/>
      <c r="P94" s="174"/>
    </row>
    <row r="95" spans="1:16" x14ac:dyDescent="0.45">
      <c r="A95" s="173" t="s">
        <v>304</v>
      </c>
      <c r="B95" s="173" t="s">
        <v>142</v>
      </c>
      <c r="C95" s="174">
        <v>-741586.99</v>
      </c>
      <c r="D95" s="175"/>
      <c r="E95" s="175"/>
      <c r="F95" s="175"/>
      <c r="G95" s="176">
        <f t="shared" si="2"/>
        <v>-741586.99</v>
      </c>
      <c r="H95" s="175" t="s">
        <v>278</v>
      </c>
      <c r="I95" s="176">
        <f t="shared" si="3"/>
        <v>-741587</v>
      </c>
      <c r="J95" s="177"/>
      <c r="L95" s="165"/>
      <c r="M95" s="165"/>
      <c r="N95" s="178"/>
      <c r="O95" s="178"/>
      <c r="P95" s="174"/>
    </row>
    <row r="96" spans="1:16" x14ac:dyDescent="0.45">
      <c r="A96" s="165" t="s">
        <v>483</v>
      </c>
      <c r="B96" s="186"/>
      <c r="C96" s="187">
        <f t="shared" ref="C96:I96" si="5">SUM(C6:C50)+SUM(C51:C95)</f>
        <v>0</v>
      </c>
      <c r="D96" s="187">
        <f t="shared" si="5"/>
        <v>0</v>
      </c>
      <c r="E96" s="187">
        <f t="shared" si="5"/>
        <v>0</v>
      </c>
      <c r="F96" s="187">
        <f t="shared" si="5"/>
        <v>0</v>
      </c>
      <c r="G96" s="187">
        <f t="shared" si="5"/>
        <v>0</v>
      </c>
      <c r="H96" s="187">
        <f t="shared" si="5"/>
        <v>0</v>
      </c>
      <c r="I96" s="187">
        <f t="shared" si="5"/>
        <v>0</v>
      </c>
      <c r="J96" s="177"/>
      <c r="L96" s="165"/>
      <c r="M96" s="165"/>
      <c r="N96" s="178"/>
      <c r="O96" s="178"/>
      <c r="P96" s="174"/>
    </row>
    <row r="97" spans="1:20" x14ac:dyDescent="0.45">
      <c r="A97" s="165"/>
      <c r="B97" s="186"/>
      <c r="C97" s="175"/>
      <c r="D97" s="175"/>
      <c r="E97" s="175"/>
      <c r="F97" s="175"/>
      <c r="G97" s="176"/>
      <c r="H97" s="175"/>
      <c r="I97" s="176"/>
      <c r="J97" s="177"/>
      <c r="L97" s="165"/>
      <c r="M97" s="165"/>
      <c r="N97" s="178"/>
      <c r="O97" s="178"/>
      <c r="P97" s="174"/>
    </row>
    <row r="98" spans="1:20" x14ac:dyDescent="0.45">
      <c r="A98" s="165"/>
      <c r="B98" s="186" t="s">
        <v>261</v>
      </c>
      <c r="C98" s="175"/>
      <c r="D98" s="175"/>
      <c r="E98" s="175"/>
      <c r="F98" s="175"/>
      <c r="G98" s="176"/>
      <c r="H98" s="175"/>
      <c r="I98" s="176"/>
      <c r="J98" s="177"/>
      <c r="K98" s="185"/>
      <c r="L98" s="165"/>
      <c r="M98" s="165"/>
      <c r="N98" s="178"/>
      <c r="O98" s="178"/>
      <c r="P98" s="174"/>
    </row>
    <row r="99" spans="1:20" x14ac:dyDescent="0.45">
      <c r="A99" s="165"/>
      <c r="B99" s="165" t="s">
        <v>285</v>
      </c>
      <c r="C99" s="175">
        <f>SUM(C6:C50)</f>
        <v>9832974.1500000004</v>
      </c>
      <c r="D99" s="175">
        <f t="shared" ref="D99:I99" si="6">SUM(D6:D50)</f>
        <v>0</v>
      </c>
      <c r="E99" s="175">
        <f t="shared" si="6"/>
        <v>0</v>
      </c>
      <c r="F99" s="175">
        <f t="shared" si="6"/>
        <v>0</v>
      </c>
      <c r="G99" s="175">
        <f t="shared" si="6"/>
        <v>9832974.1500000004</v>
      </c>
      <c r="H99" s="175">
        <f t="shared" si="6"/>
        <v>0</v>
      </c>
      <c r="I99" s="175">
        <f t="shared" si="6"/>
        <v>9832974</v>
      </c>
      <c r="J99" s="177"/>
      <c r="L99" s="165"/>
      <c r="M99" s="165"/>
      <c r="N99" s="178"/>
      <c r="O99" s="178"/>
      <c r="P99" s="174"/>
      <c r="Q99" s="163"/>
    </row>
    <row r="100" spans="1:20" x14ac:dyDescent="0.45">
      <c r="A100" s="165"/>
      <c r="B100" s="165" t="s">
        <v>286</v>
      </c>
      <c r="C100" s="175">
        <f>SUM(C51:C90)</f>
        <v>-7736666.9100000001</v>
      </c>
      <c r="D100" s="175">
        <f>SUM(D51:D81)</f>
        <v>0</v>
      </c>
      <c r="E100" s="175">
        <f>SUM(E51:E81)</f>
        <v>0</v>
      </c>
      <c r="F100" s="175">
        <f>SUM(F51:F81)</f>
        <v>0</v>
      </c>
      <c r="G100" s="175">
        <f>SUM(G51:G90)</f>
        <v>-7736666.9100000001</v>
      </c>
      <c r="H100" s="175">
        <f>SUM(H51:H81)</f>
        <v>0</v>
      </c>
      <c r="I100" s="175">
        <f>SUM(I51:I90)</f>
        <v>-7736667</v>
      </c>
      <c r="J100" s="177"/>
      <c r="L100" s="165"/>
      <c r="M100" s="165"/>
      <c r="N100" s="178"/>
      <c r="O100" s="178"/>
      <c r="P100" s="174"/>
      <c r="Q100" s="163"/>
    </row>
    <row r="101" spans="1:20" x14ac:dyDescent="0.45">
      <c r="A101" s="165"/>
      <c r="B101" s="165" t="s">
        <v>607</v>
      </c>
      <c r="C101" s="175">
        <f>SUM(C91:C95)</f>
        <v>-2096307.24</v>
      </c>
      <c r="D101" s="175">
        <f t="shared" ref="D101:H101" si="7">SUM(D91:D95)</f>
        <v>0</v>
      </c>
      <c r="E101" s="175">
        <f t="shared" si="7"/>
        <v>0</v>
      </c>
      <c r="F101" s="175">
        <f t="shared" si="7"/>
        <v>0</v>
      </c>
      <c r="G101" s="175">
        <f>SUM(G91:G95)</f>
        <v>-2096307.24</v>
      </c>
      <c r="H101" s="175">
        <f t="shared" si="7"/>
        <v>0</v>
      </c>
      <c r="I101" s="175">
        <f>SUM(I91:I95)</f>
        <v>-2096307</v>
      </c>
      <c r="J101" s="177"/>
      <c r="L101" s="165"/>
      <c r="M101" s="185"/>
      <c r="N101" s="178"/>
      <c r="O101" s="178"/>
      <c r="P101" s="189"/>
      <c r="Q101" s="163"/>
      <c r="R101" s="163"/>
    </row>
    <row r="102" spans="1:20" x14ac:dyDescent="0.45">
      <c r="A102" s="165"/>
      <c r="B102" s="165" t="s">
        <v>483</v>
      </c>
      <c r="C102" s="175">
        <f>SUM(C99:C101)</f>
        <v>0</v>
      </c>
      <c r="D102" s="175">
        <f t="shared" ref="D102:I102" si="8">SUM(D99:D101)</f>
        <v>0</v>
      </c>
      <c r="E102" s="175">
        <f t="shared" si="8"/>
        <v>0</v>
      </c>
      <c r="F102" s="175">
        <f t="shared" si="8"/>
        <v>0</v>
      </c>
      <c r="G102" s="175">
        <f>SUM(G99:G101)</f>
        <v>0</v>
      </c>
      <c r="H102" s="175">
        <f t="shared" si="8"/>
        <v>0</v>
      </c>
      <c r="I102" s="175">
        <f t="shared" si="8"/>
        <v>0</v>
      </c>
      <c r="J102" s="177"/>
      <c r="L102" s="185"/>
      <c r="M102" s="165"/>
      <c r="N102" s="178"/>
      <c r="O102" s="178"/>
      <c r="P102" s="189"/>
      <c r="Q102" s="163"/>
      <c r="R102" s="163"/>
    </row>
    <row r="103" spans="1:20" x14ac:dyDescent="0.45">
      <c r="E103" s="165">
        <f>C96+F96</f>
        <v>0</v>
      </c>
      <c r="F103" s="161"/>
      <c r="G103" s="162"/>
      <c r="H103" s="162"/>
      <c r="J103" s="177"/>
      <c r="L103" s="165"/>
      <c r="M103" s="165"/>
      <c r="N103" s="178"/>
      <c r="O103" s="178"/>
      <c r="P103" s="189"/>
      <c r="Q103" s="163"/>
      <c r="R103" s="163"/>
    </row>
    <row r="104" spans="1:20" x14ac:dyDescent="0.45">
      <c r="D104" s="161"/>
      <c r="H104" s="162"/>
      <c r="J104" s="188"/>
      <c r="L104" s="165"/>
      <c r="M104" s="165"/>
      <c r="N104" s="178"/>
      <c r="O104" s="178"/>
      <c r="P104" s="189"/>
      <c r="Q104" s="163"/>
      <c r="R104" s="163"/>
    </row>
    <row r="105" spans="1:20" x14ac:dyDescent="0.45">
      <c r="D105" s="161"/>
      <c r="H105" s="162"/>
      <c r="J105" s="177"/>
      <c r="L105" s="165"/>
      <c r="M105" s="165"/>
      <c r="N105" s="178"/>
      <c r="O105" s="178"/>
      <c r="P105" s="189"/>
      <c r="Q105" s="163"/>
      <c r="R105" s="163"/>
    </row>
    <row r="106" spans="1:20" x14ac:dyDescent="0.45">
      <c r="D106" s="161"/>
      <c r="H106" s="162"/>
      <c r="J106" s="177"/>
      <c r="L106" s="165"/>
      <c r="M106" s="165"/>
      <c r="N106" s="178"/>
      <c r="O106" s="178"/>
      <c r="P106" s="189"/>
      <c r="Q106" s="163"/>
      <c r="R106" s="163"/>
    </row>
    <row r="107" spans="1:20" x14ac:dyDescent="0.45">
      <c r="D107" s="161"/>
      <c r="H107" s="162"/>
      <c r="J107" s="177"/>
      <c r="L107" s="165"/>
      <c r="M107" s="165"/>
      <c r="N107" s="178"/>
      <c r="O107" s="178"/>
      <c r="P107" s="189"/>
      <c r="Q107" s="163"/>
      <c r="R107" s="163"/>
    </row>
    <row r="108" spans="1:20" x14ac:dyDescent="0.45">
      <c r="J108" s="177"/>
      <c r="L108" s="165"/>
      <c r="N108" s="178"/>
      <c r="O108" s="178"/>
      <c r="P108" s="189"/>
      <c r="Q108" s="163"/>
      <c r="R108" s="163"/>
    </row>
    <row r="109" spans="1:20" x14ac:dyDescent="0.45">
      <c r="J109" s="177"/>
      <c r="N109" s="178"/>
      <c r="O109" s="178"/>
      <c r="P109" s="189"/>
      <c r="Q109" s="163"/>
      <c r="R109" s="163"/>
    </row>
    <row r="110" spans="1:20" x14ac:dyDescent="0.45">
      <c r="J110" s="177"/>
      <c r="N110" s="178"/>
      <c r="O110" s="178"/>
      <c r="P110" s="189"/>
      <c r="Q110" s="163"/>
      <c r="R110" s="163"/>
    </row>
    <row r="111" spans="1:20" x14ac:dyDescent="0.45">
      <c r="N111" s="178"/>
      <c r="O111" s="178"/>
      <c r="P111" s="189"/>
      <c r="Q111" s="163"/>
      <c r="R111" s="163"/>
      <c r="T111" s="163"/>
    </row>
    <row r="112" spans="1:20" x14ac:dyDescent="0.45">
      <c r="N112" s="178"/>
      <c r="O112" s="178"/>
      <c r="P112" s="189"/>
      <c r="Q112" s="163"/>
      <c r="R112" s="163"/>
      <c r="S112" s="163"/>
      <c r="T112" s="163"/>
    </row>
    <row r="113" spans="1:23" s="162" customFormat="1" x14ac:dyDescent="0.45">
      <c r="A113" s="161"/>
      <c r="B113" s="161"/>
      <c r="G113" s="163"/>
      <c r="H113" s="161"/>
      <c r="I113" s="163"/>
      <c r="J113" s="164"/>
      <c r="K113" s="165"/>
      <c r="L113" s="161"/>
      <c r="M113" s="161"/>
      <c r="N113" s="161"/>
      <c r="O113" s="161"/>
      <c r="P113" s="165"/>
      <c r="Q113" s="161"/>
      <c r="R113" s="161"/>
      <c r="S113" s="161"/>
      <c r="T113" s="161"/>
      <c r="U113" s="161"/>
      <c r="V113" s="161"/>
      <c r="W113" s="161"/>
    </row>
    <row r="117" spans="1:23" x14ac:dyDescent="0.45">
      <c r="J117" s="177" t="s">
        <v>261</v>
      </c>
    </row>
    <row r="198" spans="1:23" s="165" customFormat="1" x14ac:dyDescent="0.45">
      <c r="A198" s="161"/>
      <c r="B198" s="161"/>
      <c r="C198" s="162"/>
      <c r="D198" s="162"/>
      <c r="E198" s="162"/>
      <c r="F198" s="162"/>
      <c r="G198" s="163"/>
      <c r="H198" s="161"/>
      <c r="I198" s="163"/>
      <c r="J198" s="164"/>
      <c r="L198" s="161"/>
      <c r="M198" s="161"/>
      <c r="N198" s="161"/>
      <c r="O198" s="161"/>
      <c r="Q198" s="161"/>
      <c r="R198" s="161"/>
      <c r="S198" s="161"/>
      <c r="T198" s="161"/>
      <c r="U198" s="161"/>
      <c r="V198" s="161"/>
      <c r="W198" s="161"/>
    </row>
    <row r="203" spans="1:23" x14ac:dyDescent="0.45">
      <c r="J203" s="190"/>
    </row>
  </sheetData>
  <pageMargins left="0.7" right="0.7" top="0.75" bottom="0.75" header="0.3" footer="0.3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J81"/>
  <sheetViews>
    <sheetView zoomScale="89" zoomScaleNormal="89" workbookViewId="0"/>
  </sheetViews>
  <sheetFormatPr defaultColWidth="9.46875" defaultRowHeight="13.7" x14ac:dyDescent="0.4"/>
  <cols>
    <col min="1" max="1" width="50" style="287" customWidth="1"/>
    <col min="2" max="2" width="5.46875" style="286" customWidth="1"/>
    <col min="3" max="3" width="15.52734375" style="287" customWidth="1"/>
    <col min="4" max="5" width="16" style="287" customWidth="1"/>
    <col min="6" max="6" width="16" style="288" customWidth="1"/>
    <col min="7" max="8" width="16" style="287" customWidth="1"/>
    <col min="9" max="9" width="15.46875" style="287" customWidth="1"/>
    <col min="10" max="10" width="12.3515625" style="287" bestFit="1" customWidth="1"/>
    <col min="11" max="13" width="10.52734375" style="287" bestFit="1" customWidth="1"/>
    <col min="14" max="256" width="9.46875" style="287"/>
    <col min="257" max="257" width="50" style="287" customWidth="1"/>
    <col min="258" max="258" width="5.46875" style="287" customWidth="1"/>
    <col min="259" max="259" width="15.52734375" style="287" customWidth="1"/>
    <col min="260" max="264" width="16" style="287" customWidth="1"/>
    <col min="265" max="265" width="15.46875" style="287" customWidth="1"/>
    <col min="266" max="266" width="12.3515625" style="287" bestFit="1" customWidth="1"/>
    <col min="267" max="268" width="9.46875" style="287"/>
    <col min="269" max="269" width="10.52734375" style="287" bestFit="1" customWidth="1"/>
    <col min="270" max="512" width="9.46875" style="287"/>
    <col min="513" max="513" width="50" style="287" customWidth="1"/>
    <col min="514" max="514" width="5.46875" style="287" customWidth="1"/>
    <col min="515" max="515" width="15.52734375" style="287" customWidth="1"/>
    <col min="516" max="520" width="16" style="287" customWidth="1"/>
    <col min="521" max="521" width="15.46875" style="287" customWidth="1"/>
    <col min="522" max="522" width="12.3515625" style="287" bestFit="1" customWidth="1"/>
    <col min="523" max="524" width="9.46875" style="287"/>
    <col min="525" max="525" width="10.52734375" style="287" bestFit="1" customWidth="1"/>
    <col min="526" max="768" width="9.46875" style="287"/>
    <col min="769" max="769" width="50" style="287" customWidth="1"/>
    <col min="770" max="770" width="5.46875" style="287" customWidth="1"/>
    <col min="771" max="771" width="15.52734375" style="287" customWidth="1"/>
    <col min="772" max="776" width="16" style="287" customWidth="1"/>
    <col min="777" max="777" width="15.46875" style="287" customWidth="1"/>
    <col min="778" max="778" width="12.3515625" style="287" bestFit="1" customWidth="1"/>
    <col min="779" max="780" width="9.46875" style="287"/>
    <col min="781" max="781" width="10.52734375" style="287" bestFit="1" customWidth="1"/>
    <col min="782" max="1024" width="9.46875" style="287"/>
    <col min="1025" max="1025" width="50" style="287" customWidth="1"/>
    <col min="1026" max="1026" width="5.46875" style="287" customWidth="1"/>
    <col min="1027" max="1027" width="15.52734375" style="287" customWidth="1"/>
    <col min="1028" max="1032" width="16" style="287" customWidth="1"/>
    <col min="1033" max="1033" width="15.46875" style="287" customWidth="1"/>
    <col min="1034" max="1034" width="12.3515625" style="287" bestFit="1" customWidth="1"/>
    <col min="1035" max="1036" width="9.46875" style="287"/>
    <col min="1037" max="1037" width="10.52734375" style="287" bestFit="1" customWidth="1"/>
    <col min="1038" max="1280" width="9.46875" style="287"/>
    <col min="1281" max="1281" width="50" style="287" customWidth="1"/>
    <col min="1282" max="1282" width="5.46875" style="287" customWidth="1"/>
    <col min="1283" max="1283" width="15.52734375" style="287" customWidth="1"/>
    <col min="1284" max="1288" width="16" style="287" customWidth="1"/>
    <col min="1289" max="1289" width="15.46875" style="287" customWidth="1"/>
    <col min="1290" max="1290" width="12.3515625" style="287" bestFit="1" customWidth="1"/>
    <col min="1291" max="1292" width="9.46875" style="287"/>
    <col min="1293" max="1293" width="10.52734375" style="287" bestFit="1" customWidth="1"/>
    <col min="1294" max="1536" width="9.46875" style="287"/>
    <col min="1537" max="1537" width="50" style="287" customWidth="1"/>
    <col min="1538" max="1538" width="5.46875" style="287" customWidth="1"/>
    <col min="1539" max="1539" width="15.52734375" style="287" customWidth="1"/>
    <col min="1540" max="1544" width="16" style="287" customWidth="1"/>
    <col min="1545" max="1545" width="15.46875" style="287" customWidth="1"/>
    <col min="1546" max="1546" width="12.3515625" style="287" bestFit="1" customWidth="1"/>
    <col min="1547" max="1548" width="9.46875" style="287"/>
    <col min="1549" max="1549" width="10.52734375" style="287" bestFit="1" customWidth="1"/>
    <col min="1550" max="1792" width="9.46875" style="287"/>
    <col min="1793" max="1793" width="50" style="287" customWidth="1"/>
    <col min="1794" max="1794" width="5.46875" style="287" customWidth="1"/>
    <col min="1795" max="1795" width="15.52734375" style="287" customWidth="1"/>
    <col min="1796" max="1800" width="16" style="287" customWidth="1"/>
    <col min="1801" max="1801" width="15.46875" style="287" customWidth="1"/>
    <col min="1802" max="1802" width="12.3515625" style="287" bestFit="1" customWidth="1"/>
    <col min="1803" max="1804" width="9.46875" style="287"/>
    <col min="1805" max="1805" width="10.52734375" style="287" bestFit="1" customWidth="1"/>
    <col min="1806" max="2048" width="9.46875" style="287"/>
    <col min="2049" max="2049" width="50" style="287" customWidth="1"/>
    <col min="2050" max="2050" width="5.46875" style="287" customWidth="1"/>
    <col min="2051" max="2051" width="15.52734375" style="287" customWidth="1"/>
    <col min="2052" max="2056" width="16" style="287" customWidth="1"/>
    <col min="2057" max="2057" width="15.46875" style="287" customWidth="1"/>
    <col min="2058" max="2058" width="12.3515625" style="287" bestFit="1" customWidth="1"/>
    <col min="2059" max="2060" width="9.46875" style="287"/>
    <col min="2061" max="2061" width="10.52734375" style="287" bestFit="1" customWidth="1"/>
    <col min="2062" max="2304" width="9.46875" style="287"/>
    <col min="2305" max="2305" width="50" style="287" customWidth="1"/>
    <col min="2306" max="2306" width="5.46875" style="287" customWidth="1"/>
    <col min="2307" max="2307" width="15.52734375" style="287" customWidth="1"/>
    <col min="2308" max="2312" width="16" style="287" customWidth="1"/>
    <col min="2313" max="2313" width="15.46875" style="287" customWidth="1"/>
    <col min="2314" max="2314" width="12.3515625" style="287" bestFit="1" customWidth="1"/>
    <col min="2315" max="2316" width="9.46875" style="287"/>
    <col min="2317" max="2317" width="10.52734375" style="287" bestFit="1" customWidth="1"/>
    <col min="2318" max="2560" width="9.46875" style="287"/>
    <col min="2561" max="2561" width="50" style="287" customWidth="1"/>
    <col min="2562" max="2562" width="5.46875" style="287" customWidth="1"/>
    <col min="2563" max="2563" width="15.52734375" style="287" customWidth="1"/>
    <col min="2564" max="2568" width="16" style="287" customWidth="1"/>
    <col min="2569" max="2569" width="15.46875" style="287" customWidth="1"/>
    <col min="2570" max="2570" width="12.3515625" style="287" bestFit="1" customWidth="1"/>
    <col min="2571" max="2572" width="9.46875" style="287"/>
    <col min="2573" max="2573" width="10.52734375" style="287" bestFit="1" customWidth="1"/>
    <col min="2574" max="2816" width="9.46875" style="287"/>
    <col min="2817" max="2817" width="50" style="287" customWidth="1"/>
    <col min="2818" max="2818" width="5.46875" style="287" customWidth="1"/>
    <col min="2819" max="2819" width="15.52734375" style="287" customWidth="1"/>
    <col min="2820" max="2824" width="16" style="287" customWidth="1"/>
    <col min="2825" max="2825" width="15.46875" style="287" customWidth="1"/>
    <col min="2826" max="2826" width="12.3515625" style="287" bestFit="1" customWidth="1"/>
    <col min="2827" max="2828" width="9.46875" style="287"/>
    <col min="2829" max="2829" width="10.52734375" style="287" bestFit="1" customWidth="1"/>
    <col min="2830" max="3072" width="9.46875" style="287"/>
    <col min="3073" max="3073" width="50" style="287" customWidth="1"/>
    <col min="3074" max="3074" width="5.46875" style="287" customWidth="1"/>
    <col min="3075" max="3075" width="15.52734375" style="287" customWidth="1"/>
    <col min="3076" max="3080" width="16" style="287" customWidth="1"/>
    <col min="3081" max="3081" width="15.46875" style="287" customWidth="1"/>
    <col min="3082" max="3082" width="12.3515625" style="287" bestFit="1" customWidth="1"/>
    <col min="3083" max="3084" width="9.46875" style="287"/>
    <col min="3085" max="3085" width="10.52734375" style="287" bestFit="1" customWidth="1"/>
    <col min="3086" max="3328" width="9.46875" style="287"/>
    <col min="3329" max="3329" width="50" style="287" customWidth="1"/>
    <col min="3330" max="3330" width="5.46875" style="287" customWidth="1"/>
    <col min="3331" max="3331" width="15.52734375" style="287" customWidth="1"/>
    <col min="3332" max="3336" width="16" style="287" customWidth="1"/>
    <col min="3337" max="3337" width="15.46875" style="287" customWidth="1"/>
    <col min="3338" max="3338" width="12.3515625" style="287" bestFit="1" customWidth="1"/>
    <col min="3339" max="3340" width="9.46875" style="287"/>
    <col min="3341" max="3341" width="10.52734375" style="287" bestFit="1" customWidth="1"/>
    <col min="3342" max="3584" width="9.46875" style="287"/>
    <col min="3585" max="3585" width="50" style="287" customWidth="1"/>
    <col min="3586" max="3586" width="5.46875" style="287" customWidth="1"/>
    <col min="3587" max="3587" width="15.52734375" style="287" customWidth="1"/>
    <col min="3588" max="3592" width="16" style="287" customWidth="1"/>
    <col min="3593" max="3593" width="15.46875" style="287" customWidth="1"/>
    <col min="3594" max="3594" width="12.3515625" style="287" bestFit="1" customWidth="1"/>
    <col min="3595" max="3596" width="9.46875" style="287"/>
    <col min="3597" max="3597" width="10.52734375" style="287" bestFit="1" customWidth="1"/>
    <col min="3598" max="3840" width="9.46875" style="287"/>
    <col min="3841" max="3841" width="50" style="287" customWidth="1"/>
    <col min="3842" max="3842" width="5.46875" style="287" customWidth="1"/>
    <col min="3843" max="3843" width="15.52734375" style="287" customWidth="1"/>
    <col min="3844" max="3848" width="16" style="287" customWidth="1"/>
    <col min="3849" max="3849" width="15.46875" style="287" customWidth="1"/>
    <col min="3850" max="3850" width="12.3515625" style="287" bestFit="1" customWidth="1"/>
    <col min="3851" max="3852" width="9.46875" style="287"/>
    <col min="3853" max="3853" width="10.52734375" style="287" bestFit="1" customWidth="1"/>
    <col min="3854" max="4096" width="9.46875" style="287"/>
    <col min="4097" max="4097" width="50" style="287" customWidth="1"/>
    <col min="4098" max="4098" width="5.46875" style="287" customWidth="1"/>
    <col min="4099" max="4099" width="15.52734375" style="287" customWidth="1"/>
    <col min="4100" max="4104" width="16" style="287" customWidth="1"/>
    <col min="4105" max="4105" width="15.46875" style="287" customWidth="1"/>
    <col min="4106" max="4106" width="12.3515625" style="287" bestFit="1" customWidth="1"/>
    <col min="4107" max="4108" width="9.46875" style="287"/>
    <col min="4109" max="4109" width="10.52734375" style="287" bestFit="1" customWidth="1"/>
    <col min="4110" max="4352" width="9.46875" style="287"/>
    <col min="4353" max="4353" width="50" style="287" customWidth="1"/>
    <col min="4354" max="4354" width="5.46875" style="287" customWidth="1"/>
    <col min="4355" max="4355" width="15.52734375" style="287" customWidth="1"/>
    <col min="4356" max="4360" width="16" style="287" customWidth="1"/>
    <col min="4361" max="4361" width="15.46875" style="287" customWidth="1"/>
    <col min="4362" max="4362" width="12.3515625" style="287" bestFit="1" customWidth="1"/>
    <col min="4363" max="4364" width="9.46875" style="287"/>
    <col min="4365" max="4365" width="10.52734375" style="287" bestFit="1" customWidth="1"/>
    <col min="4366" max="4608" width="9.46875" style="287"/>
    <col min="4609" max="4609" width="50" style="287" customWidth="1"/>
    <col min="4610" max="4610" width="5.46875" style="287" customWidth="1"/>
    <col min="4611" max="4611" width="15.52734375" style="287" customWidth="1"/>
    <col min="4612" max="4616" width="16" style="287" customWidth="1"/>
    <col min="4617" max="4617" width="15.46875" style="287" customWidth="1"/>
    <col min="4618" max="4618" width="12.3515625" style="287" bestFit="1" customWidth="1"/>
    <col min="4619" max="4620" width="9.46875" style="287"/>
    <col min="4621" max="4621" width="10.52734375" style="287" bestFit="1" customWidth="1"/>
    <col min="4622" max="4864" width="9.46875" style="287"/>
    <col min="4865" max="4865" width="50" style="287" customWidth="1"/>
    <col min="4866" max="4866" width="5.46875" style="287" customWidth="1"/>
    <col min="4867" max="4867" width="15.52734375" style="287" customWidth="1"/>
    <col min="4868" max="4872" width="16" style="287" customWidth="1"/>
    <col min="4873" max="4873" width="15.46875" style="287" customWidth="1"/>
    <col min="4874" max="4874" width="12.3515625" style="287" bestFit="1" customWidth="1"/>
    <col min="4875" max="4876" width="9.46875" style="287"/>
    <col min="4877" max="4877" width="10.52734375" style="287" bestFit="1" customWidth="1"/>
    <col min="4878" max="5120" width="9.46875" style="287"/>
    <col min="5121" max="5121" width="50" style="287" customWidth="1"/>
    <col min="5122" max="5122" width="5.46875" style="287" customWidth="1"/>
    <col min="5123" max="5123" width="15.52734375" style="287" customWidth="1"/>
    <col min="5124" max="5128" width="16" style="287" customWidth="1"/>
    <col min="5129" max="5129" width="15.46875" style="287" customWidth="1"/>
    <col min="5130" max="5130" width="12.3515625" style="287" bestFit="1" customWidth="1"/>
    <col min="5131" max="5132" width="9.46875" style="287"/>
    <col min="5133" max="5133" width="10.52734375" style="287" bestFit="1" customWidth="1"/>
    <col min="5134" max="5376" width="9.46875" style="287"/>
    <col min="5377" max="5377" width="50" style="287" customWidth="1"/>
    <col min="5378" max="5378" width="5.46875" style="287" customWidth="1"/>
    <col min="5379" max="5379" width="15.52734375" style="287" customWidth="1"/>
    <col min="5380" max="5384" width="16" style="287" customWidth="1"/>
    <col min="5385" max="5385" width="15.46875" style="287" customWidth="1"/>
    <col min="5386" max="5386" width="12.3515625" style="287" bestFit="1" customWidth="1"/>
    <col min="5387" max="5388" width="9.46875" style="287"/>
    <col min="5389" max="5389" width="10.52734375" style="287" bestFit="1" customWidth="1"/>
    <col min="5390" max="5632" width="9.46875" style="287"/>
    <col min="5633" max="5633" width="50" style="287" customWidth="1"/>
    <col min="5634" max="5634" width="5.46875" style="287" customWidth="1"/>
    <col min="5635" max="5635" width="15.52734375" style="287" customWidth="1"/>
    <col min="5636" max="5640" width="16" style="287" customWidth="1"/>
    <col min="5641" max="5641" width="15.46875" style="287" customWidth="1"/>
    <col min="5642" max="5642" width="12.3515625" style="287" bestFit="1" customWidth="1"/>
    <col min="5643" max="5644" width="9.46875" style="287"/>
    <col min="5645" max="5645" width="10.52734375" style="287" bestFit="1" customWidth="1"/>
    <col min="5646" max="5888" width="9.46875" style="287"/>
    <col min="5889" max="5889" width="50" style="287" customWidth="1"/>
    <col min="5890" max="5890" width="5.46875" style="287" customWidth="1"/>
    <col min="5891" max="5891" width="15.52734375" style="287" customWidth="1"/>
    <col min="5892" max="5896" width="16" style="287" customWidth="1"/>
    <col min="5897" max="5897" width="15.46875" style="287" customWidth="1"/>
    <col min="5898" max="5898" width="12.3515625" style="287" bestFit="1" customWidth="1"/>
    <col min="5899" max="5900" width="9.46875" style="287"/>
    <col min="5901" max="5901" width="10.52734375" style="287" bestFit="1" customWidth="1"/>
    <col min="5902" max="6144" width="9.46875" style="287"/>
    <col min="6145" max="6145" width="50" style="287" customWidth="1"/>
    <col min="6146" max="6146" width="5.46875" style="287" customWidth="1"/>
    <col min="6147" max="6147" width="15.52734375" style="287" customWidth="1"/>
    <col min="6148" max="6152" width="16" style="287" customWidth="1"/>
    <col min="6153" max="6153" width="15.46875" style="287" customWidth="1"/>
    <col min="6154" max="6154" width="12.3515625" style="287" bestFit="1" customWidth="1"/>
    <col min="6155" max="6156" width="9.46875" style="287"/>
    <col min="6157" max="6157" width="10.52734375" style="287" bestFit="1" customWidth="1"/>
    <col min="6158" max="6400" width="9.46875" style="287"/>
    <col min="6401" max="6401" width="50" style="287" customWidth="1"/>
    <col min="6402" max="6402" width="5.46875" style="287" customWidth="1"/>
    <col min="6403" max="6403" width="15.52734375" style="287" customWidth="1"/>
    <col min="6404" max="6408" width="16" style="287" customWidth="1"/>
    <col min="6409" max="6409" width="15.46875" style="287" customWidth="1"/>
    <col min="6410" max="6410" width="12.3515625" style="287" bestFit="1" customWidth="1"/>
    <col min="6411" max="6412" width="9.46875" style="287"/>
    <col min="6413" max="6413" width="10.52734375" style="287" bestFit="1" customWidth="1"/>
    <col min="6414" max="6656" width="9.46875" style="287"/>
    <col min="6657" max="6657" width="50" style="287" customWidth="1"/>
    <col min="6658" max="6658" width="5.46875" style="287" customWidth="1"/>
    <col min="6659" max="6659" width="15.52734375" style="287" customWidth="1"/>
    <col min="6660" max="6664" width="16" style="287" customWidth="1"/>
    <col min="6665" max="6665" width="15.46875" style="287" customWidth="1"/>
    <col min="6666" max="6666" width="12.3515625" style="287" bestFit="1" customWidth="1"/>
    <col min="6667" max="6668" width="9.46875" style="287"/>
    <col min="6669" max="6669" width="10.52734375" style="287" bestFit="1" customWidth="1"/>
    <col min="6670" max="6912" width="9.46875" style="287"/>
    <col min="6913" max="6913" width="50" style="287" customWidth="1"/>
    <col min="6914" max="6914" width="5.46875" style="287" customWidth="1"/>
    <col min="6915" max="6915" width="15.52734375" style="287" customWidth="1"/>
    <col min="6916" max="6920" width="16" style="287" customWidth="1"/>
    <col min="6921" max="6921" width="15.46875" style="287" customWidth="1"/>
    <col min="6922" max="6922" width="12.3515625" style="287" bestFit="1" customWidth="1"/>
    <col min="6923" max="6924" width="9.46875" style="287"/>
    <col min="6925" max="6925" width="10.52734375" style="287" bestFit="1" customWidth="1"/>
    <col min="6926" max="7168" width="9.46875" style="287"/>
    <col min="7169" max="7169" width="50" style="287" customWidth="1"/>
    <col min="7170" max="7170" width="5.46875" style="287" customWidth="1"/>
    <col min="7171" max="7171" width="15.52734375" style="287" customWidth="1"/>
    <col min="7172" max="7176" width="16" style="287" customWidth="1"/>
    <col min="7177" max="7177" width="15.46875" style="287" customWidth="1"/>
    <col min="7178" max="7178" width="12.3515625" style="287" bestFit="1" customWidth="1"/>
    <col min="7179" max="7180" width="9.46875" style="287"/>
    <col min="7181" max="7181" width="10.52734375" style="287" bestFit="1" customWidth="1"/>
    <col min="7182" max="7424" width="9.46875" style="287"/>
    <col min="7425" max="7425" width="50" style="287" customWidth="1"/>
    <col min="7426" max="7426" width="5.46875" style="287" customWidth="1"/>
    <col min="7427" max="7427" width="15.52734375" style="287" customWidth="1"/>
    <col min="7428" max="7432" width="16" style="287" customWidth="1"/>
    <col min="7433" max="7433" width="15.46875" style="287" customWidth="1"/>
    <col min="7434" max="7434" width="12.3515625" style="287" bestFit="1" customWidth="1"/>
    <col min="7435" max="7436" width="9.46875" style="287"/>
    <col min="7437" max="7437" width="10.52734375" style="287" bestFit="1" customWidth="1"/>
    <col min="7438" max="7680" width="9.46875" style="287"/>
    <col min="7681" max="7681" width="50" style="287" customWidth="1"/>
    <col min="7682" max="7682" width="5.46875" style="287" customWidth="1"/>
    <col min="7683" max="7683" width="15.52734375" style="287" customWidth="1"/>
    <col min="7684" max="7688" width="16" style="287" customWidth="1"/>
    <col min="7689" max="7689" width="15.46875" style="287" customWidth="1"/>
    <col min="7690" max="7690" width="12.3515625" style="287" bestFit="1" customWidth="1"/>
    <col min="7691" max="7692" width="9.46875" style="287"/>
    <col min="7693" max="7693" width="10.52734375" style="287" bestFit="1" customWidth="1"/>
    <col min="7694" max="7936" width="9.46875" style="287"/>
    <col min="7937" max="7937" width="50" style="287" customWidth="1"/>
    <col min="7938" max="7938" width="5.46875" style="287" customWidth="1"/>
    <col min="7939" max="7939" width="15.52734375" style="287" customWidth="1"/>
    <col min="7940" max="7944" width="16" style="287" customWidth="1"/>
    <col min="7945" max="7945" width="15.46875" style="287" customWidth="1"/>
    <col min="7946" max="7946" width="12.3515625" style="287" bestFit="1" customWidth="1"/>
    <col min="7947" max="7948" width="9.46875" style="287"/>
    <col min="7949" max="7949" width="10.52734375" style="287" bestFit="1" customWidth="1"/>
    <col min="7950" max="8192" width="9.46875" style="287"/>
    <col min="8193" max="8193" width="50" style="287" customWidth="1"/>
    <col min="8194" max="8194" width="5.46875" style="287" customWidth="1"/>
    <col min="8195" max="8195" width="15.52734375" style="287" customWidth="1"/>
    <col min="8196" max="8200" width="16" style="287" customWidth="1"/>
    <col min="8201" max="8201" width="15.46875" style="287" customWidth="1"/>
    <col min="8202" max="8202" width="12.3515625" style="287" bestFit="1" customWidth="1"/>
    <col min="8203" max="8204" width="9.46875" style="287"/>
    <col min="8205" max="8205" width="10.52734375" style="287" bestFit="1" customWidth="1"/>
    <col min="8206" max="8448" width="9.46875" style="287"/>
    <col min="8449" max="8449" width="50" style="287" customWidth="1"/>
    <col min="8450" max="8450" width="5.46875" style="287" customWidth="1"/>
    <col min="8451" max="8451" width="15.52734375" style="287" customWidth="1"/>
    <col min="8452" max="8456" width="16" style="287" customWidth="1"/>
    <col min="8457" max="8457" width="15.46875" style="287" customWidth="1"/>
    <col min="8458" max="8458" width="12.3515625" style="287" bestFit="1" customWidth="1"/>
    <col min="8459" max="8460" width="9.46875" style="287"/>
    <col min="8461" max="8461" width="10.52734375" style="287" bestFit="1" customWidth="1"/>
    <col min="8462" max="8704" width="9.46875" style="287"/>
    <col min="8705" max="8705" width="50" style="287" customWidth="1"/>
    <col min="8706" max="8706" width="5.46875" style="287" customWidth="1"/>
    <col min="8707" max="8707" width="15.52734375" style="287" customWidth="1"/>
    <col min="8708" max="8712" width="16" style="287" customWidth="1"/>
    <col min="8713" max="8713" width="15.46875" style="287" customWidth="1"/>
    <col min="8714" max="8714" width="12.3515625" style="287" bestFit="1" customWidth="1"/>
    <col min="8715" max="8716" width="9.46875" style="287"/>
    <col min="8717" max="8717" width="10.52734375" style="287" bestFit="1" customWidth="1"/>
    <col min="8718" max="8960" width="9.46875" style="287"/>
    <col min="8961" max="8961" width="50" style="287" customWidth="1"/>
    <col min="8962" max="8962" width="5.46875" style="287" customWidth="1"/>
    <col min="8963" max="8963" width="15.52734375" style="287" customWidth="1"/>
    <col min="8964" max="8968" width="16" style="287" customWidth="1"/>
    <col min="8969" max="8969" width="15.46875" style="287" customWidth="1"/>
    <col min="8970" max="8970" width="12.3515625" style="287" bestFit="1" customWidth="1"/>
    <col min="8971" max="8972" width="9.46875" style="287"/>
    <col min="8973" max="8973" width="10.52734375" style="287" bestFit="1" customWidth="1"/>
    <col min="8974" max="9216" width="9.46875" style="287"/>
    <col min="9217" max="9217" width="50" style="287" customWidth="1"/>
    <col min="9218" max="9218" width="5.46875" style="287" customWidth="1"/>
    <col min="9219" max="9219" width="15.52734375" style="287" customWidth="1"/>
    <col min="9220" max="9224" width="16" style="287" customWidth="1"/>
    <col min="9225" max="9225" width="15.46875" style="287" customWidth="1"/>
    <col min="9226" max="9226" width="12.3515625" style="287" bestFit="1" customWidth="1"/>
    <col min="9227" max="9228" width="9.46875" style="287"/>
    <col min="9229" max="9229" width="10.52734375" style="287" bestFit="1" customWidth="1"/>
    <col min="9230" max="9472" width="9.46875" style="287"/>
    <col min="9473" max="9473" width="50" style="287" customWidth="1"/>
    <col min="9474" max="9474" width="5.46875" style="287" customWidth="1"/>
    <col min="9475" max="9475" width="15.52734375" style="287" customWidth="1"/>
    <col min="9476" max="9480" width="16" style="287" customWidth="1"/>
    <col min="9481" max="9481" width="15.46875" style="287" customWidth="1"/>
    <col min="9482" max="9482" width="12.3515625" style="287" bestFit="1" customWidth="1"/>
    <col min="9483" max="9484" width="9.46875" style="287"/>
    <col min="9485" max="9485" width="10.52734375" style="287" bestFit="1" customWidth="1"/>
    <col min="9486" max="9728" width="9.46875" style="287"/>
    <col min="9729" max="9729" width="50" style="287" customWidth="1"/>
    <col min="9730" max="9730" width="5.46875" style="287" customWidth="1"/>
    <col min="9731" max="9731" width="15.52734375" style="287" customWidth="1"/>
    <col min="9732" max="9736" width="16" style="287" customWidth="1"/>
    <col min="9737" max="9737" width="15.46875" style="287" customWidth="1"/>
    <col min="9738" max="9738" width="12.3515625" style="287" bestFit="1" customWidth="1"/>
    <col min="9739" max="9740" width="9.46875" style="287"/>
    <col min="9741" max="9741" width="10.52734375" style="287" bestFit="1" customWidth="1"/>
    <col min="9742" max="9984" width="9.46875" style="287"/>
    <col min="9985" max="9985" width="50" style="287" customWidth="1"/>
    <col min="9986" max="9986" width="5.46875" style="287" customWidth="1"/>
    <col min="9987" max="9987" width="15.52734375" style="287" customWidth="1"/>
    <col min="9988" max="9992" width="16" style="287" customWidth="1"/>
    <col min="9993" max="9993" width="15.46875" style="287" customWidth="1"/>
    <col min="9994" max="9994" width="12.3515625" style="287" bestFit="1" customWidth="1"/>
    <col min="9995" max="9996" width="9.46875" style="287"/>
    <col min="9997" max="9997" width="10.52734375" style="287" bestFit="1" customWidth="1"/>
    <col min="9998" max="10240" width="9.46875" style="287"/>
    <col min="10241" max="10241" width="50" style="287" customWidth="1"/>
    <col min="10242" max="10242" width="5.46875" style="287" customWidth="1"/>
    <col min="10243" max="10243" width="15.52734375" style="287" customWidth="1"/>
    <col min="10244" max="10248" width="16" style="287" customWidth="1"/>
    <col min="10249" max="10249" width="15.46875" style="287" customWidth="1"/>
    <col min="10250" max="10250" width="12.3515625" style="287" bestFit="1" customWidth="1"/>
    <col min="10251" max="10252" width="9.46875" style="287"/>
    <col min="10253" max="10253" width="10.52734375" style="287" bestFit="1" customWidth="1"/>
    <col min="10254" max="10496" width="9.46875" style="287"/>
    <col min="10497" max="10497" width="50" style="287" customWidth="1"/>
    <col min="10498" max="10498" width="5.46875" style="287" customWidth="1"/>
    <col min="10499" max="10499" width="15.52734375" style="287" customWidth="1"/>
    <col min="10500" max="10504" width="16" style="287" customWidth="1"/>
    <col min="10505" max="10505" width="15.46875" style="287" customWidth="1"/>
    <col min="10506" max="10506" width="12.3515625" style="287" bestFit="1" customWidth="1"/>
    <col min="10507" max="10508" width="9.46875" style="287"/>
    <col min="10509" max="10509" width="10.52734375" style="287" bestFit="1" customWidth="1"/>
    <col min="10510" max="10752" width="9.46875" style="287"/>
    <col min="10753" max="10753" width="50" style="287" customWidth="1"/>
    <col min="10754" max="10754" width="5.46875" style="287" customWidth="1"/>
    <col min="10755" max="10755" width="15.52734375" style="287" customWidth="1"/>
    <col min="10756" max="10760" width="16" style="287" customWidth="1"/>
    <col min="10761" max="10761" width="15.46875" style="287" customWidth="1"/>
    <col min="10762" max="10762" width="12.3515625" style="287" bestFit="1" customWidth="1"/>
    <col min="10763" max="10764" width="9.46875" style="287"/>
    <col min="10765" max="10765" width="10.52734375" style="287" bestFit="1" customWidth="1"/>
    <col min="10766" max="11008" width="9.46875" style="287"/>
    <col min="11009" max="11009" width="50" style="287" customWidth="1"/>
    <col min="11010" max="11010" width="5.46875" style="287" customWidth="1"/>
    <col min="11011" max="11011" width="15.52734375" style="287" customWidth="1"/>
    <col min="11012" max="11016" width="16" style="287" customWidth="1"/>
    <col min="11017" max="11017" width="15.46875" style="287" customWidth="1"/>
    <col min="11018" max="11018" width="12.3515625" style="287" bestFit="1" customWidth="1"/>
    <col min="11019" max="11020" width="9.46875" style="287"/>
    <col min="11021" max="11021" width="10.52734375" style="287" bestFit="1" customWidth="1"/>
    <col min="11022" max="11264" width="9.46875" style="287"/>
    <col min="11265" max="11265" width="50" style="287" customWidth="1"/>
    <col min="11266" max="11266" width="5.46875" style="287" customWidth="1"/>
    <col min="11267" max="11267" width="15.52734375" style="287" customWidth="1"/>
    <col min="11268" max="11272" width="16" style="287" customWidth="1"/>
    <col min="11273" max="11273" width="15.46875" style="287" customWidth="1"/>
    <col min="11274" max="11274" width="12.3515625" style="287" bestFit="1" customWidth="1"/>
    <col min="11275" max="11276" width="9.46875" style="287"/>
    <col min="11277" max="11277" width="10.52734375" style="287" bestFit="1" customWidth="1"/>
    <col min="11278" max="11520" width="9.46875" style="287"/>
    <col min="11521" max="11521" width="50" style="287" customWidth="1"/>
    <col min="11522" max="11522" width="5.46875" style="287" customWidth="1"/>
    <col min="11523" max="11523" width="15.52734375" style="287" customWidth="1"/>
    <col min="11524" max="11528" width="16" style="287" customWidth="1"/>
    <col min="11529" max="11529" width="15.46875" style="287" customWidth="1"/>
    <col min="11530" max="11530" width="12.3515625" style="287" bestFit="1" customWidth="1"/>
    <col min="11531" max="11532" width="9.46875" style="287"/>
    <col min="11533" max="11533" width="10.52734375" style="287" bestFit="1" customWidth="1"/>
    <col min="11534" max="11776" width="9.46875" style="287"/>
    <col min="11777" max="11777" width="50" style="287" customWidth="1"/>
    <col min="11778" max="11778" width="5.46875" style="287" customWidth="1"/>
    <col min="11779" max="11779" width="15.52734375" style="287" customWidth="1"/>
    <col min="11780" max="11784" width="16" style="287" customWidth="1"/>
    <col min="11785" max="11785" width="15.46875" style="287" customWidth="1"/>
    <col min="11786" max="11786" width="12.3515625" style="287" bestFit="1" customWidth="1"/>
    <col min="11787" max="11788" width="9.46875" style="287"/>
    <col min="11789" max="11789" width="10.52734375" style="287" bestFit="1" customWidth="1"/>
    <col min="11790" max="12032" width="9.46875" style="287"/>
    <col min="12033" max="12033" width="50" style="287" customWidth="1"/>
    <col min="12034" max="12034" width="5.46875" style="287" customWidth="1"/>
    <col min="12035" max="12035" width="15.52734375" style="287" customWidth="1"/>
    <col min="12036" max="12040" width="16" style="287" customWidth="1"/>
    <col min="12041" max="12041" width="15.46875" style="287" customWidth="1"/>
    <col min="12042" max="12042" width="12.3515625" style="287" bestFit="1" customWidth="1"/>
    <col min="12043" max="12044" width="9.46875" style="287"/>
    <col min="12045" max="12045" width="10.52734375" style="287" bestFit="1" customWidth="1"/>
    <col min="12046" max="12288" width="9.46875" style="287"/>
    <col min="12289" max="12289" width="50" style="287" customWidth="1"/>
    <col min="12290" max="12290" width="5.46875" style="287" customWidth="1"/>
    <col min="12291" max="12291" width="15.52734375" style="287" customWidth="1"/>
    <col min="12292" max="12296" width="16" style="287" customWidth="1"/>
    <col min="12297" max="12297" width="15.46875" style="287" customWidth="1"/>
    <col min="12298" max="12298" width="12.3515625" style="287" bestFit="1" customWidth="1"/>
    <col min="12299" max="12300" width="9.46875" style="287"/>
    <col min="12301" max="12301" width="10.52734375" style="287" bestFit="1" customWidth="1"/>
    <col min="12302" max="12544" width="9.46875" style="287"/>
    <col min="12545" max="12545" width="50" style="287" customWidth="1"/>
    <col min="12546" max="12546" width="5.46875" style="287" customWidth="1"/>
    <col min="12547" max="12547" width="15.52734375" style="287" customWidth="1"/>
    <col min="12548" max="12552" width="16" style="287" customWidth="1"/>
    <col min="12553" max="12553" width="15.46875" style="287" customWidth="1"/>
    <col min="12554" max="12554" width="12.3515625" style="287" bestFit="1" customWidth="1"/>
    <col min="12555" max="12556" width="9.46875" style="287"/>
    <col min="12557" max="12557" width="10.52734375" style="287" bestFit="1" customWidth="1"/>
    <col min="12558" max="12800" width="9.46875" style="287"/>
    <col min="12801" max="12801" width="50" style="287" customWidth="1"/>
    <col min="12802" max="12802" width="5.46875" style="287" customWidth="1"/>
    <col min="12803" max="12803" width="15.52734375" style="287" customWidth="1"/>
    <col min="12804" max="12808" width="16" style="287" customWidth="1"/>
    <col min="12809" max="12809" width="15.46875" style="287" customWidth="1"/>
    <col min="12810" max="12810" width="12.3515625" style="287" bestFit="1" customWidth="1"/>
    <col min="12811" max="12812" width="9.46875" style="287"/>
    <col min="12813" max="12813" width="10.52734375" style="287" bestFit="1" customWidth="1"/>
    <col min="12814" max="13056" width="9.46875" style="287"/>
    <col min="13057" max="13057" width="50" style="287" customWidth="1"/>
    <col min="13058" max="13058" width="5.46875" style="287" customWidth="1"/>
    <col min="13059" max="13059" width="15.52734375" style="287" customWidth="1"/>
    <col min="13060" max="13064" width="16" style="287" customWidth="1"/>
    <col min="13065" max="13065" width="15.46875" style="287" customWidth="1"/>
    <col min="13066" max="13066" width="12.3515625" style="287" bestFit="1" customWidth="1"/>
    <col min="13067" max="13068" width="9.46875" style="287"/>
    <col min="13069" max="13069" width="10.52734375" style="287" bestFit="1" customWidth="1"/>
    <col min="13070" max="13312" width="9.46875" style="287"/>
    <col min="13313" max="13313" width="50" style="287" customWidth="1"/>
    <col min="13314" max="13314" width="5.46875" style="287" customWidth="1"/>
    <col min="13315" max="13315" width="15.52734375" style="287" customWidth="1"/>
    <col min="13316" max="13320" width="16" style="287" customWidth="1"/>
    <col min="13321" max="13321" width="15.46875" style="287" customWidth="1"/>
    <col min="13322" max="13322" width="12.3515625" style="287" bestFit="1" customWidth="1"/>
    <col min="13323" max="13324" width="9.46875" style="287"/>
    <col min="13325" max="13325" width="10.52734375" style="287" bestFit="1" customWidth="1"/>
    <col min="13326" max="13568" width="9.46875" style="287"/>
    <col min="13569" max="13569" width="50" style="287" customWidth="1"/>
    <col min="13570" max="13570" width="5.46875" style="287" customWidth="1"/>
    <col min="13571" max="13571" width="15.52734375" style="287" customWidth="1"/>
    <col min="13572" max="13576" width="16" style="287" customWidth="1"/>
    <col min="13577" max="13577" width="15.46875" style="287" customWidth="1"/>
    <col min="13578" max="13578" width="12.3515625" style="287" bestFit="1" customWidth="1"/>
    <col min="13579" max="13580" width="9.46875" style="287"/>
    <col min="13581" max="13581" width="10.52734375" style="287" bestFit="1" customWidth="1"/>
    <col min="13582" max="13824" width="9.46875" style="287"/>
    <col min="13825" max="13825" width="50" style="287" customWidth="1"/>
    <col min="13826" max="13826" width="5.46875" style="287" customWidth="1"/>
    <col min="13827" max="13827" width="15.52734375" style="287" customWidth="1"/>
    <col min="13828" max="13832" width="16" style="287" customWidth="1"/>
    <col min="13833" max="13833" width="15.46875" style="287" customWidth="1"/>
    <col min="13834" max="13834" width="12.3515625" style="287" bestFit="1" customWidth="1"/>
    <col min="13835" max="13836" width="9.46875" style="287"/>
    <col min="13837" max="13837" width="10.52734375" style="287" bestFit="1" customWidth="1"/>
    <col min="13838" max="14080" width="9.46875" style="287"/>
    <col min="14081" max="14081" width="50" style="287" customWidth="1"/>
    <col min="14082" max="14082" width="5.46875" style="287" customWidth="1"/>
    <col min="14083" max="14083" width="15.52734375" style="287" customWidth="1"/>
    <col min="14084" max="14088" width="16" style="287" customWidth="1"/>
    <col min="14089" max="14089" width="15.46875" style="287" customWidth="1"/>
    <col min="14090" max="14090" width="12.3515625" style="287" bestFit="1" customWidth="1"/>
    <col min="14091" max="14092" width="9.46875" style="287"/>
    <col min="14093" max="14093" width="10.52734375" style="287" bestFit="1" customWidth="1"/>
    <col min="14094" max="14336" width="9.46875" style="287"/>
    <col min="14337" max="14337" width="50" style="287" customWidth="1"/>
    <col min="14338" max="14338" width="5.46875" style="287" customWidth="1"/>
    <col min="14339" max="14339" width="15.52734375" style="287" customWidth="1"/>
    <col min="14340" max="14344" width="16" style="287" customWidth="1"/>
    <col min="14345" max="14345" width="15.46875" style="287" customWidth="1"/>
    <col min="14346" max="14346" width="12.3515625" style="287" bestFit="1" customWidth="1"/>
    <col min="14347" max="14348" width="9.46875" style="287"/>
    <col min="14349" max="14349" width="10.52734375" style="287" bestFit="1" customWidth="1"/>
    <col min="14350" max="14592" width="9.46875" style="287"/>
    <col min="14593" max="14593" width="50" style="287" customWidth="1"/>
    <col min="14594" max="14594" width="5.46875" style="287" customWidth="1"/>
    <col min="14595" max="14595" width="15.52734375" style="287" customWidth="1"/>
    <col min="14596" max="14600" width="16" style="287" customWidth="1"/>
    <col min="14601" max="14601" width="15.46875" style="287" customWidth="1"/>
    <col min="14602" max="14602" width="12.3515625" style="287" bestFit="1" customWidth="1"/>
    <col min="14603" max="14604" width="9.46875" style="287"/>
    <col min="14605" max="14605" width="10.52734375" style="287" bestFit="1" customWidth="1"/>
    <col min="14606" max="14848" width="9.46875" style="287"/>
    <col min="14849" max="14849" width="50" style="287" customWidth="1"/>
    <col min="14850" max="14850" width="5.46875" style="287" customWidth="1"/>
    <col min="14851" max="14851" width="15.52734375" style="287" customWidth="1"/>
    <col min="14852" max="14856" width="16" style="287" customWidth="1"/>
    <col min="14857" max="14857" width="15.46875" style="287" customWidth="1"/>
    <col min="14858" max="14858" width="12.3515625" style="287" bestFit="1" customWidth="1"/>
    <col min="14859" max="14860" width="9.46875" style="287"/>
    <col min="14861" max="14861" width="10.52734375" style="287" bestFit="1" customWidth="1"/>
    <col min="14862" max="15104" width="9.46875" style="287"/>
    <col min="15105" max="15105" width="50" style="287" customWidth="1"/>
    <col min="15106" max="15106" width="5.46875" style="287" customWidth="1"/>
    <col min="15107" max="15107" width="15.52734375" style="287" customWidth="1"/>
    <col min="15108" max="15112" width="16" style="287" customWidth="1"/>
    <col min="15113" max="15113" width="15.46875" style="287" customWidth="1"/>
    <col min="15114" max="15114" width="12.3515625" style="287" bestFit="1" customWidth="1"/>
    <col min="15115" max="15116" width="9.46875" style="287"/>
    <col min="15117" max="15117" width="10.52734375" style="287" bestFit="1" customWidth="1"/>
    <col min="15118" max="15360" width="9.46875" style="287"/>
    <col min="15361" max="15361" width="50" style="287" customWidth="1"/>
    <col min="15362" max="15362" width="5.46875" style="287" customWidth="1"/>
    <col min="15363" max="15363" width="15.52734375" style="287" customWidth="1"/>
    <col min="15364" max="15368" width="16" style="287" customWidth="1"/>
    <col min="15369" max="15369" width="15.46875" style="287" customWidth="1"/>
    <col min="15370" max="15370" width="12.3515625" style="287" bestFit="1" customWidth="1"/>
    <col min="15371" max="15372" width="9.46875" style="287"/>
    <col min="15373" max="15373" width="10.52734375" style="287" bestFit="1" customWidth="1"/>
    <col min="15374" max="15616" width="9.46875" style="287"/>
    <col min="15617" max="15617" width="50" style="287" customWidth="1"/>
    <col min="15618" max="15618" width="5.46875" style="287" customWidth="1"/>
    <col min="15619" max="15619" width="15.52734375" style="287" customWidth="1"/>
    <col min="15620" max="15624" width="16" style="287" customWidth="1"/>
    <col min="15625" max="15625" width="15.46875" style="287" customWidth="1"/>
    <col min="15626" max="15626" width="12.3515625" style="287" bestFit="1" customWidth="1"/>
    <col min="15627" max="15628" width="9.46875" style="287"/>
    <col min="15629" max="15629" width="10.52734375" style="287" bestFit="1" customWidth="1"/>
    <col min="15630" max="15872" width="9.46875" style="287"/>
    <col min="15873" max="15873" width="50" style="287" customWidth="1"/>
    <col min="15874" max="15874" width="5.46875" style="287" customWidth="1"/>
    <col min="15875" max="15875" width="15.52734375" style="287" customWidth="1"/>
    <col min="15876" max="15880" width="16" style="287" customWidth="1"/>
    <col min="15881" max="15881" width="15.46875" style="287" customWidth="1"/>
    <col min="15882" max="15882" width="12.3515625" style="287" bestFit="1" customWidth="1"/>
    <col min="15883" max="15884" width="9.46875" style="287"/>
    <col min="15885" max="15885" width="10.52734375" style="287" bestFit="1" customWidth="1"/>
    <col min="15886" max="16128" width="9.46875" style="287"/>
    <col min="16129" max="16129" width="50" style="287" customWidth="1"/>
    <col min="16130" max="16130" width="5.46875" style="287" customWidth="1"/>
    <col min="16131" max="16131" width="15.52734375" style="287" customWidth="1"/>
    <col min="16132" max="16136" width="16" style="287" customWidth="1"/>
    <col min="16137" max="16137" width="15.46875" style="287" customWidth="1"/>
    <col min="16138" max="16138" width="12.3515625" style="287" bestFit="1" customWidth="1"/>
    <col min="16139" max="16140" width="9.46875" style="287"/>
    <col min="16141" max="16141" width="10.52734375" style="287" bestFit="1" customWidth="1"/>
    <col min="16142" max="16384" width="9.46875" style="287"/>
  </cols>
  <sheetData>
    <row r="1" spans="1:10" x14ac:dyDescent="0.4">
      <c r="A1" s="394" t="s">
        <v>1292</v>
      </c>
      <c r="J1" s="289"/>
    </row>
    <row r="2" spans="1:10" x14ac:dyDescent="0.4">
      <c r="A2" s="394" t="s">
        <v>1557</v>
      </c>
      <c r="J2" s="289"/>
    </row>
    <row r="3" spans="1:10" x14ac:dyDescent="0.4">
      <c r="A3" s="395">
        <v>44286</v>
      </c>
    </row>
    <row r="4" spans="1:10" x14ac:dyDescent="0.4">
      <c r="D4" s="290"/>
    </row>
    <row r="5" spans="1:10" s="291" customFormat="1" x14ac:dyDescent="0.4">
      <c r="B5" s="290"/>
      <c r="C5" s="292">
        <v>44286</v>
      </c>
      <c r="D5" s="292">
        <v>44196</v>
      </c>
      <c r="E5" s="293" t="s">
        <v>1363</v>
      </c>
      <c r="F5" s="288"/>
    </row>
    <row r="6" spans="1:10" x14ac:dyDescent="0.4">
      <c r="A6" s="287" t="s">
        <v>263</v>
      </c>
      <c r="C6" s="295">
        <f>GETPIVOTDATA("AMT",'BS-Detail 03.21'!$L$5,"ACCOUNT TYPE","CASH")</f>
        <v>337600</v>
      </c>
      <c r="D6" s="287">
        <v>407881</v>
      </c>
      <c r="E6" s="287">
        <f t="shared" ref="E6:E11" si="0">D6-C6</f>
        <v>70281</v>
      </c>
      <c r="F6" s="294"/>
      <c r="G6" s="295"/>
      <c r="H6" s="222"/>
      <c r="I6" s="77"/>
      <c r="J6" s="295"/>
    </row>
    <row r="7" spans="1:10" x14ac:dyDescent="0.4">
      <c r="A7" s="287" t="s">
        <v>1364</v>
      </c>
      <c r="C7" s="295">
        <f>GETPIVOTDATA("AMT",'BS-Detail 03.21'!$L$5,"ACCOUNT TYPE","AR")</f>
        <v>1763281</v>
      </c>
      <c r="D7" s="287">
        <v>768371</v>
      </c>
      <c r="E7" s="295">
        <f>D7-C7</f>
        <v>-994910</v>
      </c>
      <c r="F7" s="294">
        <v>3</v>
      </c>
      <c r="G7" s="295"/>
      <c r="H7" s="222"/>
      <c r="I7" s="77"/>
      <c r="J7" s="295"/>
    </row>
    <row r="8" spans="1:10" x14ac:dyDescent="0.4">
      <c r="A8" s="287" t="s">
        <v>1365</v>
      </c>
      <c r="C8" s="295">
        <v>0</v>
      </c>
      <c r="D8" s="287">
        <v>0</v>
      </c>
      <c r="E8" s="295">
        <f t="shared" si="0"/>
        <v>0</v>
      </c>
      <c r="F8" s="294">
        <v>4</v>
      </c>
      <c r="G8" s="295"/>
      <c r="H8" s="222"/>
      <c r="I8" s="77"/>
      <c r="J8" s="295"/>
    </row>
    <row r="9" spans="1:10" x14ac:dyDescent="0.4">
      <c r="A9" s="287" t="s">
        <v>1366</v>
      </c>
      <c r="C9" s="295">
        <v>0</v>
      </c>
      <c r="D9" s="287">
        <v>0</v>
      </c>
      <c r="E9" s="295">
        <f t="shared" si="0"/>
        <v>0</v>
      </c>
      <c r="F9" s="294">
        <v>9</v>
      </c>
      <c r="G9" s="295"/>
      <c r="H9" s="222"/>
      <c r="I9" s="77"/>
      <c r="J9" s="295"/>
    </row>
    <row r="10" spans="1:10" x14ac:dyDescent="0.4">
      <c r="A10" s="287" t="s">
        <v>651</v>
      </c>
      <c r="C10" s="295">
        <f>GETPIVOTDATA("AMT",'BS-Detail 03.21'!$L$5,"ACCOUNT TYPE","INVENTORY")</f>
        <v>6630817</v>
      </c>
      <c r="D10" s="287">
        <v>5873569</v>
      </c>
      <c r="E10" s="295">
        <f t="shared" si="0"/>
        <v>-757248</v>
      </c>
      <c r="F10" s="294">
        <v>5</v>
      </c>
      <c r="G10" s="295"/>
      <c r="H10" s="222"/>
      <c r="I10" s="77"/>
      <c r="J10" s="295"/>
    </row>
    <row r="11" spans="1:10" x14ac:dyDescent="0.4">
      <c r="A11" s="287" t="s">
        <v>1367</v>
      </c>
      <c r="C11" s="295">
        <f>GETPIVOTDATA("AMT",'BS-Detail 03.21'!$L$5,"ACCOUNT TYPE","OTHER CURRENT ASSETS")</f>
        <v>232291</v>
      </c>
      <c r="D11" s="287">
        <v>198531</v>
      </c>
      <c r="E11" s="295">
        <f t="shared" si="0"/>
        <v>-33760</v>
      </c>
      <c r="F11" s="294">
        <v>6</v>
      </c>
      <c r="G11" s="295"/>
      <c r="H11" s="222"/>
      <c r="I11" s="77"/>
      <c r="J11" s="295"/>
    </row>
    <row r="12" spans="1:10" x14ac:dyDescent="0.4">
      <c r="A12" s="287" t="s">
        <v>1368</v>
      </c>
      <c r="C12" s="295">
        <f>GETPIVOTDATA("AMT",'BS-Detail 03.21'!$L$5,"ACCOUNT TYPE","PP&amp;E")</f>
        <v>968972</v>
      </c>
      <c r="D12" s="287">
        <v>1035840</v>
      </c>
      <c r="E12" s="295">
        <f>D12-C12</f>
        <v>66868</v>
      </c>
      <c r="F12" s="294">
        <v>2</v>
      </c>
      <c r="G12" s="295"/>
      <c r="H12" s="222"/>
      <c r="I12" s="77"/>
      <c r="J12" s="295"/>
    </row>
    <row r="13" spans="1:10" x14ac:dyDescent="0.4">
      <c r="A13" s="287" t="s">
        <v>1369</v>
      </c>
      <c r="C13" s="295">
        <f>GETPIVOTDATA("AMT",'BS-Detail 03.21'!$L$5,"ACCOUNT TYPE","RENTAL EQUIP")</f>
        <v>3114425</v>
      </c>
      <c r="D13" s="287">
        <v>3624376</v>
      </c>
      <c r="E13" s="295">
        <f>D13-C13</f>
        <v>509951</v>
      </c>
      <c r="F13" s="294">
        <v>2</v>
      </c>
      <c r="G13" s="295"/>
      <c r="H13" s="222"/>
      <c r="I13" s="77"/>
      <c r="J13" s="295"/>
    </row>
    <row r="14" spans="1:10" x14ac:dyDescent="0.4">
      <c r="A14" s="287" t="s">
        <v>1508</v>
      </c>
      <c r="C14" s="295">
        <v>0</v>
      </c>
      <c r="D14" s="287">
        <v>158124</v>
      </c>
      <c r="E14" s="295"/>
      <c r="F14" s="294"/>
      <c r="G14" s="295"/>
      <c r="H14" s="222"/>
      <c r="I14" s="77"/>
      <c r="J14" s="295"/>
    </row>
    <row r="15" spans="1:10" x14ac:dyDescent="0.4">
      <c r="A15" s="287" t="s">
        <v>52</v>
      </c>
      <c r="C15" s="295">
        <f>GETPIVOTDATA("AMT",'BS-Detail 03.21'!$L$5,"ACCOUNT TYPE","OTHER ASSETS")</f>
        <v>435862</v>
      </c>
      <c r="D15" s="287">
        <f>453410</f>
        <v>453410</v>
      </c>
      <c r="E15" s="295">
        <f>D15-C15</f>
        <v>17548</v>
      </c>
      <c r="F15" s="294">
        <v>11</v>
      </c>
      <c r="G15" s="295"/>
      <c r="H15" s="222"/>
      <c r="I15" s="77"/>
      <c r="J15" s="295"/>
    </row>
    <row r="16" spans="1:10" x14ac:dyDescent="0.4">
      <c r="A16" s="287" t="s">
        <v>56</v>
      </c>
      <c r="C16" s="295">
        <v>0</v>
      </c>
      <c r="D16" s="287">
        <v>0</v>
      </c>
      <c r="E16" s="295">
        <f>D16-C16</f>
        <v>0</v>
      </c>
      <c r="F16" s="294">
        <v>12</v>
      </c>
      <c r="G16" s="295"/>
      <c r="H16" s="222"/>
      <c r="I16" s="77"/>
      <c r="J16" s="295"/>
    </row>
    <row r="17" spans="1:10" x14ac:dyDescent="0.4">
      <c r="A17" s="287" t="s">
        <v>1370</v>
      </c>
      <c r="C17" s="295">
        <v>0</v>
      </c>
      <c r="D17" s="287">
        <v>0</v>
      </c>
      <c r="E17" s="295">
        <f>D17-C17</f>
        <v>0</v>
      </c>
      <c r="F17" s="294">
        <v>20</v>
      </c>
      <c r="G17" s="295"/>
      <c r="H17" s="222"/>
      <c r="I17" s="77"/>
      <c r="J17" s="295"/>
    </row>
    <row r="18" spans="1:10" ht="14" thickBot="1" x14ac:dyDescent="0.45">
      <c r="A18" s="287" t="s">
        <v>1371</v>
      </c>
      <c r="C18" s="297">
        <f>SUM(C6:C17)</f>
        <v>13483248</v>
      </c>
      <c r="D18" s="296">
        <f>SUM(D6:D17)</f>
        <v>12520102</v>
      </c>
      <c r="E18" s="297">
        <f>D18-C18</f>
        <v>-963146</v>
      </c>
      <c r="F18" s="294"/>
      <c r="G18" s="295"/>
      <c r="H18" s="222"/>
      <c r="I18" s="77"/>
      <c r="J18" s="295"/>
    </row>
    <row r="19" spans="1:10" ht="14" thickTop="1" x14ac:dyDescent="0.4">
      <c r="C19" s="295"/>
      <c r="E19" s="295"/>
      <c r="F19" s="294"/>
      <c r="G19" s="295"/>
      <c r="H19" s="222"/>
      <c r="I19" s="77"/>
      <c r="J19" s="295"/>
    </row>
    <row r="20" spans="1:10" x14ac:dyDescent="0.4">
      <c r="A20" s="287" t="s">
        <v>64</v>
      </c>
      <c r="C20" s="295">
        <f>-GETPIVOTDATA("AMT",'BS-Detail 03.21'!$L$5,"ACCOUNT TYPE","AP")</f>
        <v>1253413</v>
      </c>
      <c r="D20" s="287">
        <v>620200</v>
      </c>
      <c r="E20" s="295">
        <f>C20-D20</f>
        <v>633213</v>
      </c>
      <c r="F20" s="294">
        <v>7</v>
      </c>
      <c r="G20" s="295"/>
      <c r="H20" s="222"/>
      <c r="I20" s="77"/>
      <c r="J20" s="295"/>
    </row>
    <row r="21" spans="1:10" x14ac:dyDescent="0.4">
      <c r="A21" s="287" t="s">
        <v>1372</v>
      </c>
      <c r="C21" s="295">
        <f>-GETPIVOTDATA("AMT",'BS-Detail 03.21'!$L$5,"ACCOUNT TYPE","ACCRUED")</f>
        <v>347316</v>
      </c>
      <c r="D21" s="287">
        <v>231329</v>
      </c>
      <c r="E21" s="295">
        <f>C21-D21</f>
        <v>115987</v>
      </c>
      <c r="F21" s="294">
        <v>7</v>
      </c>
      <c r="G21" s="295"/>
      <c r="H21" s="222"/>
      <c r="I21" s="77"/>
      <c r="J21" s="295"/>
    </row>
    <row r="22" spans="1:10" x14ac:dyDescent="0.4">
      <c r="A22" s="287" t="s">
        <v>1560</v>
      </c>
      <c r="C22" s="295">
        <f>-GETPIVOTDATA("AMT",'BS-Detail 03.21'!$L$5,"ACCOUNT TYPE","CONVERT NOTE")</f>
        <v>194686</v>
      </c>
      <c r="D22" s="287">
        <v>150683</v>
      </c>
      <c r="E22" s="295">
        <f>C22-D22</f>
        <v>44003</v>
      </c>
      <c r="F22" s="294"/>
      <c r="G22" s="295"/>
      <c r="H22" s="222"/>
      <c r="I22" s="77"/>
      <c r="J22" s="295"/>
    </row>
    <row r="23" spans="1:10" x14ac:dyDescent="0.4">
      <c r="A23" s="287" t="s">
        <v>1373</v>
      </c>
      <c r="C23" s="295">
        <f>-GETPIVOTDATA("AMT",'BS-Detail 03.21'!$L$5,"ACCOUNT TYPE","STCAPLEASE.NOTES")</f>
        <v>1026552</v>
      </c>
      <c r="D23" s="287">
        <v>911265</v>
      </c>
      <c r="E23" s="295">
        <f>C23-D23</f>
        <v>115287</v>
      </c>
      <c r="F23" s="294">
        <v>8</v>
      </c>
      <c r="G23" s="295"/>
      <c r="H23" s="222"/>
      <c r="I23" s="77"/>
      <c r="J23" s="295"/>
    </row>
    <row r="24" spans="1:10" x14ac:dyDescent="0.4">
      <c r="A24" s="287" t="s">
        <v>1374</v>
      </c>
      <c r="C24" s="295">
        <f>-GETPIVOTDATA("AMT",'BS-Detail 03.21'!$L$5,"ACCOUNT TYPE","RELATED PARTY NOTE")</f>
        <v>239412</v>
      </c>
      <c r="D24" s="287">
        <v>226659</v>
      </c>
      <c r="E24" s="295">
        <f t="shared" ref="E24:E32" si="1">C24-D24</f>
        <v>12753</v>
      </c>
      <c r="F24" s="294">
        <v>13</v>
      </c>
      <c r="G24" s="295"/>
      <c r="H24" s="222"/>
      <c r="I24" s="77"/>
      <c r="J24" s="295"/>
    </row>
    <row r="25" spans="1:10" x14ac:dyDescent="0.4">
      <c r="A25" s="287" t="s">
        <v>1514</v>
      </c>
      <c r="C25" s="295">
        <f>-GETPIVOTDATA("AMT",'BS-Detail 03.21'!$L$5,"ACCOUNT TYPE","JT VT LIABILITY")</f>
        <v>594747</v>
      </c>
      <c r="D25" s="287">
        <v>439500</v>
      </c>
      <c r="E25" s="295">
        <f t="shared" si="1"/>
        <v>155247</v>
      </c>
      <c r="F25" s="294"/>
      <c r="G25" s="295"/>
      <c r="H25" s="222"/>
      <c r="I25" s="77"/>
      <c r="J25" s="295"/>
    </row>
    <row r="26" spans="1:10" x14ac:dyDescent="0.4">
      <c r="A26" s="287" t="s">
        <v>1590</v>
      </c>
      <c r="C26" s="295">
        <f>-GETPIVOTDATA("AMT",'BS-Detail 03.21'!$L$5,"ACCOUNT TYPE","CREDIT LINE LT")-GETPIVOTDATA("AMT",'BS-Detail 03.21'!$L$5,"ACCOUNT TYPE","CREDIT LINE ST")</f>
        <v>5165554</v>
      </c>
      <c r="D26" s="287">
        <f>5749800</f>
        <v>5749800</v>
      </c>
      <c r="E26" s="295">
        <f t="shared" si="1"/>
        <v>-584246</v>
      </c>
      <c r="F26" s="294"/>
      <c r="G26" s="295"/>
      <c r="H26" s="222"/>
      <c r="I26" s="77"/>
      <c r="J26" s="295"/>
    </row>
    <row r="27" spans="1:10" x14ac:dyDescent="0.4">
      <c r="A27" s="287" t="s">
        <v>1307</v>
      </c>
      <c r="C27" s="295">
        <f>-GETPIVOTDATA("AMT",'BS-Detail 03.21'!$L$5,"ACCOUNT TYPE","DEFTAXLIAB")</f>
        <v>-4249</v>
      </c>
      <c r="D27" s="287">
        <v>0</v>
      </c>
      <c r="E27" s="295">
        <f>C27-D27</f>
        <v>-4249</v>
      </c>
      <c r="F27" s="294">
        <v>15</v>
      </c>
    </row>
    <row r="28" spans="1:10" x14ac:dyDescent="0.4">
      <c r="C28" s="295"/>
      <c r="E28" s="295"/>
      <c r="F28" s="294"/>
    </row>
    <row r="29" spans="1:10" x14ac:dyDescent="0.4">
      <c r="A29" s="287" t="s">
        <v>1376</v>
      </c>
      <c r="C29" s="295">
        <f>-GETPIVOTDATA("AMT",'BS-Detail 03.21'!$L$5,"ACCOUNT TYPE","LTCAPLEASE.NOTES")</f>
        <v>2707258</v>
      </c>
      <c r="D29" s="287">
        <v>2597935</v>
      </c>
      <c r="E29" s="295">
        <f>C29-D29</f>
        <v>109323</v>
      </c>
      <c r="F29" s="294">
        <v>17</v>
      </c>
    </row>
    <row r="30" spans="1:10" x14ac:dyDescent="0.4">
      <c r="C30" s="295"/>
      <c r="E30" s="295"/>
      <c r="F30" s="294"/>
    </row>
    <row r="31" spans="1:10" x14ac:dyDescent="0.4">
      <c r="A31" s="298" t="s">
        <v>301</v>
      </c>
      <c r="C31" s="295">
        <f>-GETPIVOTDATA("AMT",'BS-Detail 03.21'!$L$5,"ACCOUNT TYPE","COMMON")</f>
        <v>14549</v>
      </c>
      <c r="D31" s="287">
        <v>14549</v>
      </c>
      <c r="E31" s="295">
        <f t="shared" si="1"/>
        <v>0</v>
      </c>
      <c r="F31" s="294">
        <v>18</v>
      </c>
    </row>
    <row r="32" spans="1:10" x14ac:dyDescent="0.4">
      <c r="A32" s="287" t="s">
        <v>1378</v>
      </c>
      <c r="C32" s="295">
        <f>-GETPIVOTDATA("AMT",'BS-Detail 03.21'!$L$5,"ACCOUNT TYPE","APIC")</f>
        <v>21545614</v>
      </c>
      <c r="D32" s="287">
        <f>21545614+1</f>
        <v>21545615</v>
      </c>
      <c r="E32" s="295">
        <f t="shared" si="1"/>
        <v>-1</v>
      </c>
      <c r="F32" s="294">
        <v>19</v>
      </c>
    </row>
    <row r="33" spans="1:10" x14ac:dyDescent="0.4">
      <c r="A33" s="287" t="s">
        <v>1379</v>
      </c>
      <c r="C33" s="295">
        <f>-GETPIVOTDATA("AMT",'BS-Detail 03.21'!$L$5,"ACCOUNT TYPE","RE")</f>
        <v>-19601604</v>
      </c>
      <c r="D33" s="287">
        <f>-19967432-1</f>
        <v>-19967433</v>
      </c>
      <c r="E33" s="295">
        <f>C33-D33</f>
        <v>365829</v>
      </c>
      <c r="F33" s="294">
        <v>1</v>
      </c>
      <c r="G33" s="287">
        <v>365829</v>
      </c>
      <c r="H33" s="287">
        <f>E33-G33</f>
        <v>0</v>
      </c>
    </row>
    <row r="34" spans="1:10" ht="12.75" customHeight="1" thickBot="1" x14ac:dyDescent="0.45">
      <c r="A34" s="287" t="s">
        <v>1380</v>
      </c>
      <c r="C34" s="296">
        <f>SUM(C20:C33)</f>
        <v>13483248</v>
      </c>
      <c r="D34" s="296">
        <f>SUM(D19:D33)</f>
        <v>12520102</v>
      </c>
      <c r="E34" s="296">
        <f>D34-C34</f>
        <v>-963146</v>
      </c>
      <c r="F34" s="299"/>
    </row>
    <row r="35" spans="1:10" ht="14" thickTop="1" x14ac:dyDescent="0.4">
      <c r="C35" s="287">
        <f>C18-C34</f>
        <v>0</v>
      </c>
      <c r="D35" s="287">
        <f>D18-D34</f>
        <v>0</v>
      </c>
      <c r="E35" s="287">
        <f>E18-E34</f>
        <v>0</v>
      </c>
    </row>
    <row r="38" spans="1:10" x14ac:dyDescent="0.4">
      <c r="D38" s="290"/>
      <c r="F38" s="291"/>
      <c r="G38" s="291"/>
    </row>
    <row r="39" spans="1:10" ht="27.35" x14ac:dyDescent="0.4">
      <c r="A39" s="287" t="s">
        <v>1381</v>
      </c>
      <c r="C39" s="293" t="s">
        <v>1382</v>
      </c>
      <c r="D39" s="300" t="s">
        <v>185</v>
      </c>
      <c r="E39" s="300" t="s">
        <v>1383</v>
      </c>
      <c r="F39" s="300" t="s">
        <v>1384</v>
      </c>
      <c r="G39" s="301" t="s">
        <v>1385</v>
      </c>
      <c r="H39" s="293" t="s">
        <v>1484</v>
      </c>
      <c r="I39" s="293" t="s">
        <v>1386</v>
      </c>
    </row>
    <row r="40" spans="1:10" x14ac:dyDescent="0.4">
      <c r="A40" s="295" t="s">
        <v>1387</v>
      </c>
      <c r="B40" s="286">
        <v>1</v>
      </c>
      <c r="C40" s="287">
        <f>E33</f>
        <v>365829</v>
      </c>
      <c r="I40" s="302">
        <f>SUM(C40:H40)</f>
        <v>365829</v>
      </c>
      <c r="J40" s="286" t="s">
        <v>1388</v>
      </c>
    </row>
    <row r="41" spans="1:10" x14ac:dyDescent="0.4">
      <c r="A41" s="295" t="s">
        <v>1389</v>
      </c>
      <c r="I41" s="303"/>
      <c r="J41" s="286"/>
    </row>
    <row r="42" spans="1:10" x14ac:dyDescent="0.4">
      <c r="A42" s="295" t="s">
        <v>185</v>
      </c>
      <c r="D42" s="295">
        <f>-' P&amp;L-03.21'!I34-' P&amp;L-03.21'!I109-' P&amp;L-03.21'!I110</f>
        <v>220810</v>
      </c>
      <c r="I42" s="304">
        <f t="shared" ref="I42:I52" si="2">SUM(C42:H42)</f>
        <v>220810</v>
      </c>
      <c r="J42" s="286" t="s">
        <v>1388</v>
      </c>
    </row>
    <row r="43" spans="1:10" x14ac:dyDescent="0.4">
      <c r="A43" s="295" t="s">
        <v>1391</v>
      </c>
      <c r="B43" s="286">
        <v>12</v>
      </c>
      <c r="C43" s="287">
        <f>E16</f>
        <v>0</v>
      </c>
      <c r="I43" s="303">
        <f>SUM(C43:H43)</f>
        <v>0</v>
      </c>
      <c r="J43" s="286" t="s">
        <v>1388</v>
      </c>
    </row>
    <row r="44" spans="1:10" x14ac:dyDescent="0.4">
      <c r="A44" s="295" t="s">
        <v>1392</v>
      </c>
      <c r="B44" s="286">
        <v>20</v>
      </c>
      <c r="C44" s="287">
        <f>E17</f>
        <v>0</v>
      </c>
      <c r="I44" s="303">
        <f t="shared" si="2"/>
        <v>0</v>
      </c>
      <c r="J44" s="286" t="s">
        <v>1388</v>
      </c>
    </row>
    <row r="45" spans="1:10" x14ac:dyDescent="0.4">
      <c r="A45" s="295" t="s">
        <v>1393</v>
      </c>
      <c r="I45" s="303"/>
      <c r="J45" s="286"/>
    </row>
    <row r="46" spans="1:10" x14ac:dyDescent="0.4">
      <c r="A46" s="295" t="s">
        <v>1394</v>
      </c>
      <c r="B46" s="286">
        <v>3</v>
      </c>
      <c r="C46" s="287">
        <f>E7</f>
        <v>-994910</v>
      </c>
      <c r="I46" s="302">
        <f t="shared" si="2"/>
        <v>-994910</v>
      </c>
      <c r="J46" s="286" t="s">
        <v>1388</v>
      </c>
    </row>
    <row r="47" spans="1:10" x14ac:dyDescent="0.4">
      <c r="A47" s="295" t="s">
        <v>651</v>
      </c>
      <c r="B47" s="286">
        <v>5</v>
      </c>
      <c r="C47" s="295">
        <f>E10</f>
        <v>-757248</v>
      </c>
      <c r="I47" s="302">
        <f t="shared" si="2"/>
        <v>-757248</v>
      </c>
      <c r="J47" s="286" t="s">
        <v>1388</v>
      </c>
    </row>
    <row r="48" spans="1:10" x14ac:dyDescent="0.4">
      <c r="A48" s="295" t="s">
        <v>1260</v>
      </c>
      <c r="B48" s="286">
        <v>6</v>
      </c>
      <c r="C48" s="287">
        <f>E11</f>
        <v>-33760</v>
      </c>
      <c r="I48" s="302">
        <f t="shared" si="2"/>
        <v>-33760</v>
      </c>
      <c r="J48" s="286" t="s">
        <v>1388</v>
      </c>
    </row>
    <row r="49" spans="1:10" x14ac:dyDescent="0.4">
      <c r="A49" s="295" t="s">
        <v>52</v>
      </c>
      <c r="B49" s="286">
        <v>11</v>
      </c>
      <c r="C49" s="287">
        <f>E15</f>
        <v>17548</v>
      </c>
      <c r="I49" s="302">
        <f t="shared" si="2"/>
        <v>17548</v>
      </c>
      <c r="J49" s="286"/>
    </row>
    <row r="50" spans="1:10" x14ac:dyDescent="0.4">
      <c r="A50" s="295" t="s">
        <v>64</v>
      </c>
      <c r="B50" s="286">
        <v>7</v>
      </c>
      <c r="C50" s="287">
        <f>E20</f>
        <v>633213</v>
      </c>
      <c r="I50" s="304">
        <f t="shared" si="2"/>
        <v>633213</v>
      </c>
      <c r="J50" s="286" t="s">
        <v>1388</v>
      </c>
    </row>
    <row r="51" spans="1:10" x14ac:dyDescent="0.4">
      <c r="A51" s="295" t="s">
        <v>65</v>
      </c>
      <c r="B51" s="286">
        <v>7</v>
      </c>
      <c r="C51" s="287">
        <f>E21</f>
        <v>115987</v>
      </c>
      <c r="I51" s="304">
        <f t="shared" si="2"/>
        <v>115987</v>
      </c>
      <c r="J51" s="286" t="s">
        <v>1388</v>
      </c>
    </row>
    <row r="52" spans="1:10" x14ac:dyDescent="0.4">
      <c r="A52" s="295" t="s">
        <v>1591</v>
      </c>
      <c r="B52" s="286">
        <v>8</v>
      </c>
      <c r="C52" s="305">
        <f>E27</f>
        <v>-4249</v>
      </c>
      <c r="I52" s="306">
        <f t="shared" si="2"/>
        <v>-4249</v>
      </c>
      <c r="J52" s="286" t="s">
        <v>1388</v>
      </c>
    </row>
    <row r="53" spans="1:10" x14ac:dyDescent="0.4">
      <c r="A53" s="287" t="s">
        <v>1454</v>
      </c>
      <c r="B53" s="286">
        <v>19</v>
      </c>
      <c r="C53" s="307">
        <f>-GETPIVOTDATA("AMT",' P&amp;L-03.21'!$L$5,"ACCOUNT TYPE","EARLY DEBT")</f>
        <v>12333</v>
      </c>
      <c r="I53" s="308">
        <f>SUM(C53:H53)</f>
        <v>12333</v>
      </c>
      <c r="J53" s="286" t="s">
        <v>1388</v>
      </c>
    </row>
    <row r="54" spans="1:10" x14ac:dyDescent="0.4">
      <c r="A54" s="309" t="s">
        <v>1395</v>
      </c>
      <c r="B54" s="310"/>
      <c r="C54" s="287">
        <f>SUM(C40:C53)</f>
        <v>-645257</v>
      </c>
      <c r="I54" s="295">
        <f>SUM(I40:I53)</f>
        <v>-424447</v>
      </c>
      <c r="J54" s="286" t="s">
        <v>1388</v>
      </c>
    </row>
    <row r="55" spans="1:10" x14ac:dyDescent="0.4">
      <c r="A55" s="295"/>
      <c r="J55" s="286"/>
    </row>
    <row r="56" spans="1:10" x14ac:dyDescent="0.4">
      <c r="A56" s="295" t="s">
        <v>1396</v>
      </c>
      <c r="D56" s="290"/>
      <c r="J56" s="286"/>
    </row>
    <row r="57" spans="1:10" x14ac:dyDescent="0.4">
      <c r="A57" s="295" t="s">
        <v>1397</v>
      </c>
      <c r="B57" s="286">
        <v>9</v>
      </c>
      <c r="C57" s="287">
        <f>E9</f>
        <v>0</v>
      </c>
      <c r="I57" s="287">
        <f>SUM(C57:H57)</f>
        <v>0</v>
      </c>
      <c r="J57" s="286" t="s">
        <v>1388</v>
      </c>
    </row>
    <row r="58" spans="1:10" x14ac:dyDescent="0.4">
      <c r="A58" s="295" t="s">
        <v>1398</v>
      </c>
      <c r="B58" s="286">
        <v>2</v>
      </c>
      <c r="C58" s="295">
        <f>E12</f>
        <v>66868</v>
      </c>
      <c r="D58" s="295">
        <f>' P&amp;L-03.21'!I109</f>
        <v>-73369</v>
      </c>
      <c r="G58" s="286"/>
      <c r="I58" s="287">
        <f>SUM(C58:H58)</f>
        <v>-6501</v>
      </c>
      <c r="J58" s="286" t="s">
        <v>1388</v>
      </c>
    </row>
    <row r="59" spans="1:10" x14ac:dyDescent="0.4">
      <c r="A59" s="295" t="s">
        <v>1399</v>
      </c>
      <c r="B59" s="286">
        <v>2</v>
      </c>
      <c r="C59" s="295">
        <f>E13</f>
        <v>509951</v>
      </c>
      <c r="D59" s="295">
        <f>-D42-D58</f>
        <v>-147441</v>
      </c>
      <c r="G59" s="286"/>
      <c r="I59" s="287">
        <f>SUM(C59:H59)</f>
        <v>362510</v>
      </c>
      <c r="J59" s="286" t="s">
        <v>1388</v>
      </c>
    </row>
    <row r="60" spans="1:10" x14ac:dyDescent="0.4">
      <c r="A60" s="295" t="s">
        <v>1358</v>
      </c>
      <c r="B60" s="286">
        <v>11</v>
      </c>
      <c r="C60" s="287">
        <v>0</v>
      </c>
      <c r="E60" s="287">
        <f>-C60</f>
        <v>0</v>
      </c>
      <c r="I60" s="287">
        <f>SUM(C60:H60)</f>
        <v>0</v>
      </c>
      <c r="J60" s="286" t="s">
        <v>1388</v>
      </c>
    </row>
    <row r="61" spans="1:10" x14ac:dyDescent="0.4">
      <c r="A61" s="295" t="s">
        <v>1400</v>
      </c>
      <c r="C61" s="307"/>
      <c r="I61" s="307">
        <f>SUM(C61:H61)</f>
        <v>0</v>
      </c>
      <c r="J61" s="286" t="s">
        <v>1388</v>
      </c>
    </row>
    <row r="62" spans="1:10" x14ac:dyDescent="0.4">
      <c r="A62" s="309" t="s">
        <v>1401</v>
      </c>
      <c r="B62" s="290"/>
      <c r="C62" s="287">
        <f>SUM(C57:C61)</f>
        <v>576819</v>
      </c>
      <c r="I62" s="295">
        <f>SUM(I57:I61)</f>
        <v>356009</v>
      </c>
      <c r="J62" s="286" t="s">
        <v>1388</v>
      </c>
    </row>
    <row r="63" spans="1:10" x14ac:dyDescent="0.4">
      <c r="A63" s="295"/>
      <c r="I63" s="287">
        <f t="shared" ref="I63:I69" si="3">SUM(C63:H63)</f>
        <v>0</v>
      </c>
      <c r="J63" s="286" t="s">
        <v>1388</v>
      </c>
    </row>
    <row r="64" spans="1:10" x14ac:dyDescent="0.4">
      <c r="A64" s="295" t="s">
        <v>1402</v>
      </c>
      <c r="I64" s="287">
        <f t="shared" si="3"/>
        <v>0</v>
      </c>
      <c r="J64" s="286" t="s">
        <v>1388</v>
      </c>
    </row>
    <row r="65" spans="1:10" x14ac:dyDescent="0.4">
      <c r="A65" s="295" t="s">
        <v>1457</v>
      </c>
      <c r="B65" s="286">
        <v>15</v>
      </c>
      <c r="C65" s="287">
        <f>E26</f>
        <v>-584246</v>
      </c>
      <c r="I65" s="287">
        <f t="shared" si="3"/>
        <v>-584246</v>
      </c>
      <c r="J65" s="286" t="s">
        <v>1388</v>
      </c>
    </row>
    <row r="66" spans="1:10" x14ac:dyDescent="0.4">
      <c r="A66" s="287" t="s">
        <v>1514</v>
      </c>
      <c r="C66" s="287">
        <f>E25</f>
        <v>155247</v>
      </c>
      <c r="I66" s="287">
        <f t="shared" si="3"/>
        <v>155247</v>
      </c>
      <c r="J66" s="286"/>
    </row>
    <row r="67" spans="1:10" x14ac:dyDescent="0.4">
      <c r="A67" s="295" t="s">
        <v>1404</v>
      </c>
      <c r="B67" s="286">
        <v>17</v>
      </c>
      <c r="C67" s="287">
        <v>700940</v>
      </c>
      <c r="E67" s="311">
        <f>-E60</f>
        <v>0</v>
      </c>
      <c r="I67" s="304">
        <f t="shared" si="3"/>
        <v>700940</v>
      </c>
      <c r="J67" s="286" t="s">
        <v>1388</v>
      </c>
    </row>
    <row r="68" spans="1:10" x14ac:dyDescent="0.4">
      <c r="A68" s="295" t="s">
        <v>1405</v>
      </c>
      <c r="B68" s="286">
        <v>17</v>
      </c>
      <c r="C68" s="287">
        <f>'[2]Debt Rollforward'!$AJ$94</f>
        <v>-286537</v>
      </c>
      <c r="E68" s="288"/>
      <c r="I68" s="304">
        <f t="shared" si="3"/>
        <v>-286537</v>
      </c>
      <c r="J68" s="286" t="s">
        <v>1388</v>
      </c>
    </row>
    <row r="69" spans="1:10" x14ac:dyDescent="0.4">
      <c r="A69" s="295" t="s">
        <v>1406</v>
      </c>
      <c r="B69" s="286">
        <v>13</v>
      </c>
      <c r="C69" s="287">
        <f>E24</f>
        <v>12753</v>
      </c>
      <c r="I69" s="295">
        <f t="shared" si="3"/>
        <v>12753</v>
      </c>
      <c r="J69" s="286" t="s">
        <v>1388</v>
      </c>
    </row>
    <row r="70" spans="1:10" x14ac:dyDescent="0.4">
      <c r="A70" s="312" t="s">
        <v>1408</v>
      </c>
      <c r="C70" s="391">
        <f>SUM(C65:C69)</f>
        <v>-1843</v>
      </c>
      <c r="I70" s="287">
        <f>SUM(I65:I69)</f>
        <v>-1843</v>
      </c>
      <c r="J70" s="286" t="s">
        <v>1388</v>
      </c>
    </row>
    <row r="71" spans="1:10" x14ac:dyDescent="0.4">
      <c r="J71" s="286"/>
    </row>
    <row r="72" spans="1:10" x14ac:dyDescent="0.4">
      <c r="A72" s="287" t="s">
        <v>1409</v>
      </c>
      <c r="C72" s="307">
        <f>C54+C62+C70</f>
        <v>-70281</v>
      </c>
      <c r="I72" s="307">
        <f>I54+I62+I70</f>
        <v>-70281</v>
      </c>
      <c r="J72" s="286" t="s">
        <v>1388</v>
      </c>
    </row>
    <row r="73" spans="1:10" x14ac:dyDescent="0.4">
      <c r="J73" s="286"/>
    </row>
    <row r="74" spans="1:10" x14ac:dyDescent="0.4">
      <c r="A74" s="287" t="s">
        <v>1410</v>
      </c>
      <c r="C74" s="287">
        <f>D6</f>
        <v>407881</v>
      </c>
      <c r="I74" s="287">
        <f>D6</f>
        <v>407881</v>
      </c>
      <c r="J74" s="286" t="s">
        <v>1388</v>
      </c>
    </row>
    <row r="75" spans="1:10" x14ac:dyDescent="0.4">
      <c r="I75" s="307"/>
      <c r="J75" s="286"/>
    </row>
    <row r="76" spans="1:10" ht="14" thickBot="1" x14ac:dyDescent="0.45">
      <c r="A76" s="287" t="s">
        <v>1411</v>
      </c>
      <c r="C76" s="296">
        <f>C72+C74</f>
        <v>337600</v>
      </c>
      <c r="D76" s="296">
        <f>SUM(D40:D75)</f>
        <v>0</v>
      </c>
      <c r="E76" s="296">
        <f t="shared" ref="E76:H76" si="4">SUM(E40:E75)</f>
        <v>0</v>
      </c>
      <c r="F76" s="296">
        <f t="shared" si="4"/>
        <v>0</v>
      </c>
      <c r="G76" s="296">
        <f t="shared" si="4"/>
        <v>0</v>
      </c>
      <c r="H76" s="296">
        <f t="shared" si="4"/>
        <v>0</v>
      </c>
      <c r="I76" s="313">
        <f>I72+I74</f>
        <v>337600</v>
      </c>
      <c r="J76" s="286"/>
    </row>
    <row r="77" spans="1:10" ht="14" thickTop="1" x14ac:dyDescent="0.4">
      <c r="I77" s="287">
        <f>GETPIVOTDATA("AMT",'BS-Detail 03.21'!$L$5,"ACCOUNT TYPE","CASH")</f>
        <v>337600</v>
      </c>
    </row>
    <row r="78" spans="1:10" x14ac:dyDescent="0.4">
      <c r="F78" s="287"/>
      <c r="I78" s="287">
        <f>I76-I77</f>
        <v>0</v>
      </c>
    </row>
    <row r="79" spans="1:10" s="295" customFormat="1" x14ac:dyDescent="0.4">
      <c r="B79" s="314"/>
      <c r="F79" s="315"/>
    </row>
    <row r="80" spans="1:10" s="295" customFormat="1" x14ac:dyDescent="0.4">
      <c r="B80" s="314"/>
      <c r="F80" s="315"/>
    </row>
    <row r="81" spans="2:6" s="295" customFormat="1" x14ac:dyDescent="0.4">
      <c r="B81" s="314"/>
      <c r="F81" s="315"/>
    </row>
  </sheetData>
  <pageMargins left="0.7" right="0.7" top="0.75" bottom="0.75" header="0.3" footer="0.3"/>
  <pageSetup scale="50" orientation="portrait" r:id="rId1"/>
  <ignoredErrors>
    <ignoredError sqref="I62:I64" formula="1"/>
    <ignoredError sqref="I67:I69 I65" formula="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97558519241921"/>
  </sheetPr>
  <dimension ref="A1:J78"/>
  <sheetViews>
    <sheetView topLeftCell="A52" workbookViewId="0"/>
  </sheetViews>
  <sheetFormatPr defaultColWidth="9.46875" defaultRowHeight="14.35" x14ac:dyDescent="0.5"/>
  <cols>
    <col min="1" max="1" width="50" style="138" customWidth="1"/>
    <col min="2" max="2" width="5.46875" style="196" customWidth="1"/>
    <col min="3" max="3" width="15.52734375" style="138" customWidth="1"/>
    <col min="4" max="5" width="16" style="138" customWidth="1"/>
    <col min="6" max="6" width="16" style="197" customWidth="1"/>
    <col min="7" max="8" width="16" style="138" customWidth="1"/>
    <col min="9" max="9" width="15.46875" style="138" customWidth="1"/>
    <col min="10" max="10" width="12.3515625" style="138" bestFit="1" customWidth="1"/>
    <col min="11" max="12" width="9.46875" style="138"/>
    <col min="13" max="13" width="10.52734375" style="138" bestFit="1" customWidth="1"/>
    <col min="14" max="256" width="9.46875" style="138"/>
    <col min="257" max="257" width="50" style="138" customWidth="1"/>
    <col min="258" max="258" width="5.46875" style="138" customWidth="1"/>
    <col min="259" max="259" width="15.52734375" style="138" customWidth="1"/>
    <col min="260" max="264" width="16" style="138" customWidth="1"/>
    <col min="265" max="265" width="15.46875" style="138" customWidth="1"/>
    <col min="266" max="266" width="12.3515625" style="138" bestFit="1" customWidth="1"/>
    <col min="267" max="268" width="9.46875" style="138"/>
    <col min="269" max="269" width="10.52734375" style="138" bestFit="1" customWidth="1"/>
    <col min="270" max="512" width="9.46875" style="138"/>
    <col min="513" max="513" width="50" style="138" customWidth="1"/>
    <col min="514" max="514" width="5.46875" style="138" customWidth="1"/>
    <col min="515" max="515" width="15.52734375" style="138" customWidth="1"/>
    <col min="516" max="520" width="16" style="138" customWidth="1"/>
    <col min="521" max="521" width="15.46875" style="138" customWidth="1"/>
    <col min="522" max="522" width="12.3515625" style="138" bestFit="1" customWidth="1"/>
    <col min="523" max="524" width="9.46875" style="138"/>
    <col min="525" max="525" width="10.52734375" style="138" bestFit="1" customWidth="1"/>
    <col min="526" max="768" width="9.46875" style="138"/>
    <col min="769" max="769" width="50" style="138" customWidth="1"/>
    <col min="770" max="770" width="5.46875" style="138" customWidth="1"/>
    <col min="771" max="771" width="15.52734375" style="138" customWidth="1"/>
    <col min="772" max="776" width="16" style="138" customWidth="1"/>
    <col min="777" max="777" width="15.46875" style="138" customWidth="1"/>
    <col min="778" max="778" width="12.3515625" style="138" bestFit="1" customWidth="1"/>
    <col min="779" max="780" width="9.46875" style="138"/>
    <col min="781" max="781" width="10.52734375" style="138" bestFit="1" customWidth="1"/>
    <col min="782" max="1024" width="9.46875" style="138"/>
    <col min="1025" max="1025" width="50" style="138" customWidth="1"/>
    <col min="1026" max="1026" width="5.46875" style="138" customWidth="1"/>
    <col min="1027" max="1027" width="15.52734375" style="138" customWidth="1"/>
    <col min="1028" max="1032" width="16" style="138" customWidth="1"/>
    <col min="1033" max="1033" width="15.46875" style="138" customWidth="1"/>
    <col min="1034" max="1034" width="12.3515625" style="138" bestFit="1" customWidth="1"/>
    <col min="1035" max="1036" width="9.46875" style="138"/>
    <col min="1037" max="1037" width="10.52734375" style="138" bestFit="1" customWidth="1"/>
    <col min="1038" max="1280" width="9.46875" style="138"/>
    <col min="1281" max="1281" width="50" style="138" customWidth="1"/>
    <col min="1282" max="1282" width="5.46875" style="138" customWidth="1"/>
    <col min="1283" max="1283" width="15.52734375" style="138" customWidth="1"/>
    <col min="1284" max="1288" width="16" style="138" customWidth="1"/>
    <col min="1289" max="1289" width="15.46875" style="138" customWidth="1"/>
    <col min="1290" max="1290" width="12.3515625" style="138" bestFit="1" customWidth="1"/>
    <col min="1291" max="1292" width="9.46875" style="138"/>
    <col min="1293" max="1293" width="10.52734375" style="138" bestFit="1" customWidth="1"/>
    <col min="1294" max="1536" width="9.46875" style="138"/>
    <col min="1537" max="1537" width="50" style="138" customWidth="1"/>
    <col min="1538" max="1538" width="5.46875" style="138" customWidth="1"/>
    <col min="1539" max="1539" width="15.52734375" style="138" customWidth="1"/>
    <col min="1540" max="1544" width="16" style="138" customWidth="1"/>
    <col min="1545" max="1545" width="15.46875" style="138" customWidth="1"/>
    <col min="1546" max="1546" width="12.3515625" style="138" bestFit="1" customWidth="1"/>
    <col min="1547" max="1548" width="9.46875" style="138"/>
    <col min="1549" max="1549" width="10.52734375" style="138" bestFit="1" customWidth="1"/>
    <col min="1550" max="1792" width="9.46875" style="138"/>
    <col min="1793" max="1793" width="50" style="138" customWidth="1"/>
    <col min="1794" max="1794" width="5.46875" style="138" customWidth="1"/>
    <col min="1795" max="1795" width="15.52734375" style="138" customWidth="1"/>
    <col min="1796" max="1800" width="16" style="138" customWidth="1"/>
    <col min="1801" max="1801" width="15.46875" style="138" customWidth="1"/>
    <col min="1802" max="1802" width="12.3515625" style="138" bestFit="1" customWidth="1"/>
    <col min="1803" max="1804" width="9.46875" style="138"/>
    <col min="1805" max="1805" width="10.52734375" style="138" bestFit="1" customWidth="1"/>
    <col min="1806" max="2048" width="9.46875" style="138"/>
    <col min="2049" max="2049" width="50" style="138" customWidth="1"/>
    <col min="2050" max="2050" width="5.46875" style="138" customWidth="1"/>
    <col min="2051" max="2051" width="15.52734375" style="138" customWidth="1"/>
    <col min="2052" max="2056" width="16" style="138" customWidth="1"/>
    <col min="2057" max="2057" width="15.46875" style="138" customWidth="1"/>
    <col min="2058" max="2058" width="12.3515625" style="138" bestFit="1" customWidth="1"/>
    <col min="2059" max="2060" width="9.46875" style="138"/>
    <col min="2061" max="2061" width="10.52734375" style="138" bestFit="1" customWidth="1"/>
    <col min="2062" max="2304" width="9.46875" style="138"/>
    <col min="2305" max="2305" width="50" style="138" customWidth="1"/>
    <col min="2306" max="2306" width="5.46875" style="138" customWidth="1"/>
    <col min="2307" max="2307" width="15.52734375" style="138" customWidth="1"/>
    <col min="2308" max="2312" width="16" style="138" customWidth="1"/>
    <col min="2313" max="2313" width="15.46875" style="138" customWidth="1"/>
    <col min="2314" max="2314" width="12.3515625" style="138" bestFit="1" customWidth="1"/>
    <col min="2315" max="2316" width="9.46875" style="138"/>
    <col min="2317" max="2317" width="10.52734375" style="138" bestFit="1" customWidth="1"/>
    <col min="2318" max="2560" width="9.46875" style="138"/>
    <col min="2561" max="2561" width="50" style="138" customWidth="1"/>
    <col min="2562" max="2562" width="5.46875" style="138" customWidth="1"/>
    <col min="2563" max="2563" width="15.52734375" style="138" customWidth="1"/>
    <col min="2564" max="2568" width="16" style="138" customWidth="1"/>
    <col min="2569" max="2569" width="15.46875" style="138" customWidth="1"/>
    <col min="2570" max="2570" width="12.3515625" style="138" bestFit="1" customWidth="1"/>
    <col min="2571" max="2572" width="9.46875" style="138"/>
    <col min="2573" max="2573" width="10.52734375" style="138" bestFit="1" customWidth="1"/>
    <col min="2574" max="2816" width="9.46875" style="138"/>
    <col min="2817" max="2817" width="50" style="138" customWidth="1"/>
    <col min="2818" max="2818" width="5.46875" style="138" customWidth="1"/>
    <col min="2819" max="2819" width="15.52734375" style="138" customWidth="1"/>
    <col min="2820" max="2824" width="16" style="138" customWidth="1"/>
    <col min="2825" max="2825" width="15.46875" style="138" customWidth="1"/>
    <col min="2826" max="2826" width="12.3515625" style="138" bestFit="1" customWidth="1"/>
    <col min="2827" max="2828" width="9.46875" style="138"/>
    <col min="2829" max="2829" width="10.52734375" style="138" bestFit="1" customWidth="1"/>
    <col min="2830" max="3072" width="9.46875" style="138"/>
    <col min="3073" max="3073" width="50" style="138" customWidth="1"/>
    <col min="3074" max="3074" width="5.46875" style="138" customWidth="1"/>
    <col min="3075" max="3075" width="15.52734375" style="138" customWidth="1"/>
    <col min="3076" max="3080" width="16" style="138" customWidth="1"/>
    <col min="3081" max="3081" width="15.46875" style="138" customWidth="1"/>
    <col min="3082" max="3082" width="12.3515625" style="138" bestFit="1" customWidth="1"/>
    <col min="3083" max="3084" width="9.46875" style="138"/>
    <col min="3085" max="3085" width="10.52734375" style="138" bestFit="1" customWidth="1"/>
    <col min="3086" max="3328" width="9.46875" style="138"/>
    <col min="3329" max="3329" width="50" style="138" customWidth="1"/>
    <col min="3330" max="3330" width="5.46875" style="138" customWidth="1"/>
    <col min="3331" max="3331" width="15.52734375" style="138" customWidth="1"/>
    <col min="3332" max="3336" width="16" style="138" customWidth="1"/>
    <col min="3337" max="3337" width="15.46875" style="138" customWidth="1"/>
    <col min="3338" max="3338" width="12.3515625" style="138" bestFit="1" customWidth="1"/>
    <col min="3339" max="3340" width="9.46875" style="138"/>
    <col min="3341" max="3341" width="10.52734375" style="138" bestFit="1" customWidth="1"/>
    <col min="3342" max="3584" width="9.46875" style="138"/>
    <col min="3585" max="3585" width="50" style="138" customWidth="1"/>
    <col min="3586" max="3586" width="5.46875" style="138" customWidth="1"/>
    <col min="3587" max="3587" width="15.52734375" style="138" customWidth="1"/>
    <col min="3588" max="3592" width="16" style="138" customWidth="1"/>
    <col min="3593" max="3593" width="15.46875" style="138" customWidth="1"/>
    <col min="3594" max="3594" width="12.3515625" style="138" bestFit="1" customWidth="1"/>
    <col min="3595" max="3596" width="9.46875" style="138"/>
    <col min="3597" max="3597" width="10.52734375" style="138" bestFit="1" customWidth="1"/>
    <col min="3598" max="3840" width="9.46875" style="138"/>
    <col min="3841" max="3841" width="50" style="138" customWidth="1"/>
    <col min="3842" max="3842" width="5.46875" style="138" customWidth="1"/>
    <col min="3843" max="3843" width="15.52734375" style="138" customWidth="1"/>
    <col min="3844" max="3848" width="16" style="138" customWidth="1"/>
    <col min="3849" max="3849" width="15.46875" style="138" customWidth="1"/>
    <col min="3850" max="3850" width="12.3515625" style="138" bestFit="1" customWidth="1"/>
    <col min="3851" max="3852" width="9.46875" style="138"/>
    <col min="3853" max="3853" width="10.52734375" style="138" bestFit="1" customWidth="1"/>
    <col min="3854" max="4096" width="9.46875" style="138"/>
    <col min="4097" max="4097" width="50" style="138" customWidth="1"/>
    <col min="4098" max="4098" width="5.46875" style="138" customWidth="1"/>
    <col min="4099" max="4099" width="15.52734375" style="138" customWidth="1"/>
    <col min="4100" max="4104" width="16" style="138" customWidth="1"/>
    <col min="4105" max="4105" width="15.46875" style="138" customWidth="1"/>
    <col min="4106" max="4106" width="12.3515625" style="138" bestFit="1" customWidth="1"/>
    <col min="4107" max="4108" width="9.46875" style="138"/>
    <col min="4109" max="4109" width="10.52734375" style="138" bestFit="1" customWidth="1"/>
    <col min="4110" max="4352" width="9.46875" style="138"/>
    <col min="4353" max="4353" width="50" style="138" customWidth="1"/>
    <col min="4354" max="4354" width="5.46875" style="138" customWidth="1"/>
    <col min="4355" max="4355" width="15.52734375" style="138" customWidth="1"/>
    <col min="4356" max="4360" width="16" style="138" customWidth="1"/>
    <col min="4361" max="4361" width="15.46875" style="138" customWidth="1"/>
    <col min="4362" max="4362" width="12.3515625" style="138" bestFit="1" customWidth="1"/>
    <col min="4363" max="4364" width="9.46875" style="138"/>
    <col min="4365" max="4365" width="10.52734375" style="138" bestFit="1" customWidth="1"/>
    <col min="4366" max="4608" width="9.46875" style="138"/>
    <col min="4609" max="4609" width="50" style="138" customWidth="1"/>
    <col min="4610" max="4610" width="5.46875" style="138" customWidth="1"/>
    <col min="4611" max="4611" width="15.52734375" style="138" customWidth="1"/>
    <col min="4612" max="4616" width="16" style="138" customWidth="1"/>
    <col min="4617" max="4617" width="15.46875" style="138" customWidth="1"/>
    <col min="4618" max="4618" width="12.3515625" style="138" bestFit="1" customWidth="1"/>
    <col min="4619" max="4620" width="9.46875" style="138"/>
    <col min="4621" max="4621" width="10.52734375" style="138" bestFit="1" customWidth="1"/>
    <col min="4622" max="4864" width="9.46875" style="138"/>
    <col min="4865" max="4865" width="50" style="138" customWidth="1"/>
    <col min="4866" max="4866" width="5.46875" style="138" customWidth="1"/>
    <col min="4867" max="4867" width="15.52734375" style="138" customWidth="1"/>
    <col min="4868" max="4872" width="16" style="138" customWidth="1"/>
    <col min="4873" max="4873" width="15.46875" style="138" customWidth="1"/>
    <col min="4874" max="4874" width="12.3515625" style="138" bestFit="1" customWidth="1"/>
    <col min="4875" max="4876" width="9.46875" style="138"/>
    <col min="4877" max="4877" width="10.52734375" style="138" bestFit="1" customWidth="1"/>
    <col min="4878" max="5120" width="9.46875" style="138"/>
    <col min="5121" max="5121" width="50" style="138" customWidth="1"/>
    <col min="5122" max="5122" width="5.46875" style="138" customWidth="1"/>
    <col min="5123" max="5123" width="15.52734375" style="138" customWidth="1"/>
    <col min="5124" max="5128" width="16" style="138" customWidth="1"/>
    <col min="5129" max="5129" width="15.46875" style="138" customWidth="1"/>
    <col min="5130" max="5130" width="12.3515625" style="138" bestFit="1" customWidth="1"/>
    <col min="5131" max="5132" width="9.46875" style="138"/>
    <col min="5133" max="5133" width="10.52734375" style="138" bestFit="1" customWidth="1"/>
    <col min="5134" max="5376" width="9.46875" style="138"/>
    <col min="5377" max="5377" width="50" style="138" customWidth="1"/>
    <col min="5378" max="5378" width="5.46875" style="138" customWidth="1"/>
    <col min="5379" max="5379" width="15.52734375" style="138" customWidth="1"/>
    <col min="5380" max="5384" width="16" style="138" customWidth="1"/>
    <col min="5385" max="5385" width="15.46875" style="138" customWidth="1"/>
    <col min="5386" max="5386" width="12.3515625" style="138" bestFit="1" customWidth="1"/>
    <col min="5387" max="5388" width="9.46875" style="138"/>
    <col min="5389" max="5389" width="10.52734375" style="138" bestFit="1" customWidth="1"/>
    <col min="5390" max="5632" width="9.46875" style="138"/>
    <col min="5633" max="5633" width="50" style="138" customWidth="1"/>
    <col min="5634" max="5634" width="5.46875" style="138" customWidth="1"/>
    <col min="5635" max="5635" width="15.52734375" style="138" customWidth="1"/>
    <col min="5636" max="5640" width="16" style="138" customWidth="1"/>
    <col min="5641" max="5641" width="15.46875" style="138" customWidth="1"/>
    <col min="5642" max="5642" width="12.3515625" style="138" bestFit="1" customWidth="1"/>
    <col min="5643" max="5644" width="9.46875" style="138"/>
    <col min="5645" max="5645" width="10.52734375" style="138" bestFit="1" customWidth="1"/>
    <col min="5646" max="5888" width="9.46875" style="138"/>
    <col min="5889" max="5889" width="50" style="138" customWidth="1"/>
    <col min="5890" max="5890" width="5.46875" style="138" customWidth="1"/>
    <col min="5891" max="5891" width="15.52734375" style="138" customWidth="1"/>
    <col min="5892" max="5896" width="16" style="138" customWidth="1"/>
    <col min="5897" max="5897" width="15.46875" style="138" customWidth="1"/>
    <col min="5898" max="5898" width="12.3515625" style="138" bestFit="1" customWidth="1"/>
    <col min="5899" max="5900" width="9.46875" style="138"/>
    <col min="5901" max="5901" width="10.52734375" style="138" bestFit="1" customWidth="1"/>
    <col min="5902" max="6144" width="9.46875" style="138"/>
    <col min="6145" max="6145" width="50" style="138" customWidth="1"/>
    <col min="6146" max="6146" width="5.46875" style="138" customWidth="1"/>
    <col min="6147" max="6147" width="15.52734375" style="138" customWidth="1"/>
    <col min="6148" max="6152" width="16" style="138" customWidth="1"/>
    <col min="6153" max="6153" width="15.46875" style="138" customWidth="1"/>
    <col min="6154" max="6154" width="12.3515625" style="138" bestFit="1" customWidth="1"/>
    <col min="6155" max="6156" width="9.46875" style="138"/>
    <col min="6157" max="6157" width="10.52734375" style="138" bestFit="1" customWidth="1"/>
    <col min="6158" max="6400" width="9.46875" style="138"/>
    <col min="6401" max="6401" width="50" style="138" customWidth="1"/>
    <col min="6402" max="6402" width="5.46875" style="138" customWidth="1"/>
    <col min="6403" max="6403" width="15.52734375" style="138" customWidth="1"/>
    <col min="6404" max="6408" width="16" style="138" customWidth="1"/>
    <col min="6409" max="6409" width="15.46875" style="138" customWidth="1"/>
    <col min="6410" max="6410" width="12.3515625" style="138" bestFit="1" customWidth="1"/>
    <col min="6411" max="6412" width="9.46875" style="138"/>
    <col min="6413" max="6413" width="10.52734375" style="138" bestFit="1" customWidth="1"/>
    <col min="6414" max="6656" width="9.46875" style="138"/>
    <col min="6657" max="6657" width="50" style="138" customWidth="1"/>
    <col min="6658" max="6658" width="5.46875" style="138" customWidth="1"/>
    <col min="6659" max="6659" width="15.52734375" style="138" customWidth="1"/>
    <col min="6660" max="6664" width="16" style="138" customWidth="1"/>
    <col min="6665" max="6665" width="15.46875" style="138" customWidth="1"/>
    <col min="6666" max="6666" width="12.3515625" style="138" bestFit="1" customWidth="1"/>
    <col min="6667" max="6668" width="9.46875" style="138"/>
    <col min="6669" max="6669" width="10.52734375" style="138" bestFit="1" customWidth="1"/>
    <col min="6670" max="6912" width="9.46875" style="138"/>
    <col min="6913" max="6913" width="50" style="138" customWidth="1"/>
    <col min="6914" max="6914" width="5.46875" style="138" customWidth="1"/>
    <col min="6915" max="6915" width="15.52734375" style="138" customWidth="1"/>
    <col min="6916" max="6920" width="16" style="138" customWidth="1"/>
    <col min="6921" max="6921" width="15.46875" style="138" customWidth="1"/>
    <col min="6922" max="6922" width="12.3515625" style="138" bestFit="1" customWidth="1"/>
    <col min="6923" max="6924" width="9.46875" style="138"/>
    <col min="6925" max="6925" width="10.52734375" style="138" bestFit="1" customWidth="1"/>
    <col min="6926" max="7168" width="9.46875" style="138"/>
    <col min="7169" max="7169" width="50" style="138" customWidth="1"/>
    <col min="7170" max="7170" width="5.46875" style="138" customWidth="1"/>
    <col min="7171" max="7171" width="15.52734375" style="138" customWidth="1"/>
    <col min="7172" max="7176" width="16" style="138" customWidth="1"/>
    <col min="7177" max="7177" width="15.46875" style="138" customWidth="1"/>
    <col min="7178" max="7178" width="12.3515625" style="138" bestFit="1" customWidth="1"/>
    <col min="7179" max="7180" width="9.46875" style="138"/>
    <col min="7181" max="7181" width="10.52734375" style="138" bestFit="1" customWidth="1"/>
    <col min="7182" max="7424" width="9.46875" style="138"/>
    <col min="7425" max="7425" width="50" style="138" customWidth="1"/>
    <col min="7426" max="7426" width="5.46875" style="138" customWidth="1"/>
    <col min="7427" max="7427" width="15.52734375" style="138" customWidth="1"/>
    <col min="7428" max="7432" width="16" style="138" customWidth="1"/>
    <col min="7433" max="7433" width="15.46875" style="138" customWidth="1"/>
    <col min="7434" max="7434" width="12.3515625" style="138" bestFit="1" customWidth="1"/>
    <col min="7435" max="7436" width="9.46875" style="138"/>
    <col min="7437" max="7437" width="10.52734375" style="138" bestFit="1" customWidth="1"/>
    <col min="7438" max="7680" width="9.46875" style="138"/>
    <col min="7681" max="7681" width="50" style="138" customWidth="1"/>
    <col min="7682" max="7682" width="5.46875" style="138" customWidth="1"/>
    <col min="7683" max="7683" width="15.52734375" style="138" customWidth="1"/>
    <col min="7684" max="7688" width="16" style="138" customWidth="1"/>
    <col min="7689" max="7689" width="15.46875" style="138" customWidth="1"/>
    <col min="7690" max="7690" width="12.3515625" style="138" bestFit="1" customWidth="1"/>
    <col min="7691" max="7692" width="9.46875" style="138"/>
    <col min="7693" max="7693" width="10.52734375" style="138" bestFit="1" customWidth="1"/>
    <col min="7694" max="7936" width="9.46875" style="138"/>
    <col min="7937" max="7937" width="50" style="138" customWidth="1"/>
    <col min="7938" max="7938" width="5.46875" style="138" customWidth="1"/>
    <col min="7939" max="7939" width="15.52734375" style="138" customWidth="1"/>
    <col min="7940" max="7944" width="16" style="138" customWidth="1"/>
    <col min="7945" max="7945" width="15.46875" style="138" customWidth="1"/>
    <col min="7946" max="7946" width="12.3515625" style="138" bestFit="1" customWidth="1"/>
    <col min="7947" max="7948" width="9.46875" style="138"/>
    <col min="7949" max="7949" width="10.52734375" style="138" bestFit="1" customWidth="1"/>
    <col min="7950" max="8192" width="9.46875" style="138"/>
    <col min="8193" max="8193" width="50" style="138" customWidth="1"/>
    <col min="8194" max="8194" width="5.46875" style="138" customWidth="1"/>
    <col min="8195" max="8195" width="15.52734375" style="138" customWidth="1"/>
    <col min="8196" max="8200" width="16" style="138" customWidth="1"/>
    <col min="8201" max="8201" width="15.46875" style="138" customWidth="1"/>
    <col min="8202" max="8202" width="12.3515625" style="138" bestFit="1" customWidth="1"/>
    <col min="8203" max="8204" width="9.46875" style="138"/>
    <col min="8205" max="8205" width="10.52734375" style="138" bestFit="1" customWidth="1"/>
    <col min="8206" max="8448" width="9.46875" style="138"/>
    <col min="8449" max="8449" width="50" style="138" customWidth="1"/>
    <col min="8450" max="8450" width="5.46875" style="138" customWidth="1"/>
    <col min="8451" max="8451" width="15.52734375" style="138" customWidth="1"/>
    <col min="8452" max="8456" width="16" style="138" customWidth="1"/>
    <col min="8457" max="8457" width="15.46875" style="138" customWidth="1"/>
    <col min="8458" max="8458" width="12.3515625" style="138" bestFit="1" customWidth="1"/>
    <col min="8459" max="8460" width="9.46875" style="138"/>
    <col min="8461" max="8461" width="10.52734375" style="138" bestFit="1" customWidth="1"/>
    <col min="8462" max="8704" width="9.46875" style="138"/>
    <col min="8705" max="8705" width="50" style="138" customWidth="1"/>
    <col min="8706" max="8706" width="5.46875" style="138" customWidth="1"/>
    <col min="8707" max="8707" width="15.52734375" style="138" customWidth="1"/>
    <col min="8708" max="8712" width="16" style="138" customWidth="1"/>
    <col min="8713" max="8713" width="15.46875" style="138" customWidth="1"/>
    <col min="8714" max="8714" width="12.3515625" style="138" bestFit="1" customWidth="1"/>
    <col min="8715" max="8716" width="9.46875" style="138"/>
    <col min="8717" max="8717" width="10.52734375" style="138" bestFit="1" customWidth="1"/>
    <col min="8718" max="8960" width="9.46875" style="138"/>
    <col min="8961" max="8961" width="50" style="138" customWidth="1"/>
    <col min="8962" max="8962" width="5.46875" style="138" customWidth="1"/>
    <col min="8963" max="8963" width="15.52734375" style="138" customWidth="1"/>
    <col min="8964" max="8968" width="16" style="138" customWidth="1"/>
    <col min="8969" max="8969" width="15.46875" style="138" customWidth="1"/>
    <col min="8970" max="8970" width="12.3515625" style="138" bestFit="1" customWidth="1"/>
    <col min="8971" max="8972" width="9.46875" style="138"/>
    <col min="8973" max="8973" width="10.52734375" style="138" bestFit="1" customWidth="1"/>
    <col min="8974" max="9216" width="9.46875" style="138"/>
    <col min="9217" max="9217" width="50" style="138" customWidth="1"/>
    <col min="9218" max="9218" width="5.46875" style="138" customWidth="1"/>
    <col min="9219" max="9219" width="15.52734375" style="138" customWidth="1"/>
    <col min="9220" max="9224" width="16" style="138" customWidth="1"/>
    <col min="9225" max="9225" width="15.46875" style="138" customWidth="1"/>
    <col min="9226" max="9226" width="12.3515625" style="138" bestFit="1" customWidth="1"/>
    <col min="9227" max="9228" width="9.46875" style="138"/>
    <col min="9229" max="9229" width="10.52734375" style="138" bestFit="1" customWidth="1"/>
    <col min="9230" max="9472" width="9.46875" style="138"/>
    <col min="9473" max="9473" width="50" style="138" customWidth="1"/>
    <col min="9474" max="9474" width="5.46875" style="138" customWidth="1"/>
    <col min="9475" max="9475" width="15.52734375" style="138" customWidth="1"/>
    <col min="9476" max="9480" width="16" style="138" customWidth="1"/>
    <col min="9481" max="9481" width="15.46875" style="138" customWidth="1"/>
    <col min="9482" max="9482" width="12.3515625" style="138" bestFit="1" customWidth="1"/>
    <col min="9483" max="9484" width="9.46875" style="138"/>
    <col min="9485" max="9485" width="10.52734375" style="138" bestFit="1" customWidth="1"/>
    <col min="9486" max="9728" width="9.46875" style="138"/>
    <col min="9729" max="9729" width="50" style="138" customWidth="1"/>
    <col min="9730" max="9730" width="5.46875" style="138" customWidth="1"/>
    <col min="9731" max="9731" width="15.52734375" style="138" customWidth="1"/>
    <col min="9732" max="9736" width="16" style="138" customWidth="1"/>
    <col min="9737" max="9737" width="15.46875" style="138" customWidth="1"/>
    <col min="9738" max="9738" width="12.3515625" style="138" bestFit="1" customWidth="1"/>
    <col min="9739" max="9740" width="9.46875" style="138"/>
    <col min="9741" max="9741" width="10.52734375" style="138" bestFit="1" customWidth="1"/>
    <col min="9742" max="9984" width="9.46875" style="138"/>
    <col min="9985" max="9985" width="50" style="138" customWidth="1"/>
    <col min="9986" max="9986" width="5.46875" style="138" customWidth="1"/>
    <col min="9987" max="9987" width="15.52734375" style="138" customWidth="1"/>
    <col min="9988" max="9992" width="16" style="138" customWidth="1"/>
    <col min="9993" max="9993" width="15.46875" style="138" customWidth="1"/>
    <col min="9994" max="9994" width="12.3515625" style="138" bestFit="1" customWidth="1"/>
    <col min="9995" max="9996" width="9.46875" style="138"/>
    <col min="9997" max="9997" width="10.52734375" style="138" bestFit="1" customWidth="1"/>
    <col min="9998" max="10240" width="9.46875" style="138"/>
    <col min="10241" max="10241" width="50" style="138" customWidth="1"/>
    <col min="10242" max="10242" width="5.46875" style="138" customWidth="1"/>
    <col min="10243" max="10243" width="15.52734375" style="138" customWidth="1"/>
    <col min="10244" max="10248" width="16" style="138" customWidth="1"/>
    <col min="10249" max="10249" width="15.46875" style="138" customWidth="1"/>
    <col min="10250" max="10250" width="12.3515625" style="138" bestFit="1" customWidth="1"/>
    <col min="10251" max="10252" width="9.46875" style="138"/>
    <col min="10253" max="10253" width="10.52734375" style="138" bestFit="1" customWidth="1"/>
    <col min="10254" max="10496" width="9.46875" style="138"/>
    <col min="10497" max="10497" width="50" style="138" customWidth="1"/>
    <col min="10498" max="10498" width="5.46875" style="138" customWidth="1"/>
    <col min="10499" max="10499" width="15.52734375" style="138" customWidth="1"/>
    <col min="10500" max="10504" width="16" style="138" customWidth="1"/>
    <col min="10505" max="10505" width="15.46875" style="138" customWidth="1"/>
    <col min="10506" max="10506" width="12.3515625" style="138" bestFit="1" customWidth="1"/>
    <col min="10507" max="10508" width="9.46875" style="138"/>
    <col min="10509" max="10509" width="10.52734375" style="138" bestFit="1" customWidth="1"/>
    <col min="10510" max="10752" width="9.46875" style="138"/>
    <col min="10753" max="10753" width="50" style="138" customWidth="1"/>
    <col min="10754" max="10754" width="5.46875" style="138" customWidth="1"/>
    <col min="10755" max="10755" width="15.52734375" style="138" customWidth="1"/>
    <col min="10756" max="10760" width="16" style="138" customWidth="1"/>
    <col min="10761" max="10761" width="15.46875" style="138" customWidth="1"/>
    <col min="10762" max="10762" width="12.3515625" style="138" bestFit="1" customWidth="1"/>
    <col min="10763" max="10764" width="9.46875" style="138"/>
    <col min="10765" max="10765" width="10.52734375" style="138" bestFit="1" customWidth="1"/>
    <col min="10766" max="11008" width="9.46875" style="138"/>
    <col min="11009" max="11009" width="50" style="138" customWidth="1"/>
    <col min="11010" max="11010" width="5.46875" style="138" customWidth="1"/>
    <col min="11011" max="11011" width="15.52734375" style="138" customWidth="1"/>
    <col min="11012" max="11016" width="16" style="138" customWidth="1"/>
    <col min="11017" max="11017" width="15.46875" style="138" customWidth="1"/>
    <col min="11018" max="11018" width="12.3515625" style="138" bestFit="1" customWidth="1"/>
    <col min="11019" max="11020" width="9.46875" style="138"/>
    <col min="11021" max="11021" width="10.52734375" style="138" bestFit="1" customWidth="1"/>
    <col min="11022" max="11264" width="9.46875" style="138"/>
    <col min="11265" max="11265" width="50" style="138" customWidth="1"/>
    <col min="11266" max="11266" width="5.46875" style="138" customWidth="1"/>
    <col min="11267" max="11267" width="15.52734375" style="138" customWidth="1"/>
    <col min="11268" max="11272" width="16" style="138" customWidth="1"/>
    <col min="11273" max="11273" width="15.46875" style="138" customWidth="1"/>
    <col min="11274" max="11274" width="12.3515625" style="138" bestFit="1" customWidth="1"/>
    <col min="11275" max="11276" width="9.46875" style="138"/>
    <col min="11277" max="11277" width="10.52734375" style="138" bestFit="1" customWidth="1"/>
    <col min="11278" max="11520" width="9.46875" style="138"/>
    <col min="11521" max="11521" width="50" style="138" customWidth="1"/>
    <col min="11522" max="11522" width="5.46875" style="138" customWidth="1"/>
    <col min="11523" max="11523" width="15.52734375" style="138" customWidth="1"/>
    <col min="11524" max="11528" width="16" style="138" customWidth="1"/>
    <col min="11529" max="11529" width="15.46875" style="138" customWidth="1"/>
    <col min="11530" max="11530" width="12.3515625" style="138" bestFit="1" customWidth="1"/>
    <col min="11531" max="11532" width="9.46875" style="138"/>
    <col min="11533" max="11533" width="10.52734375" style="138" bestFit="1" customWidth="1"/>
    <col min="11534" max="11776" width="9.46875" style="138"/>
    <col min="11777" max="11777" width="50" style="138" customWidth="1"/>
    <col min="11778" max="11778" width="5.46875" style="138" customWidth="1"/>
    <col min="11779" max="11779" width="15.52734375" style="138" customWidth="1"/>
    <col min="11780" max="11784" width="16" style="138" customWidth="1"/>
    <col min="11785" max="11785" width="15.46875" style="138" customWidth="1"/>
    <col min="11786" max="11786" width="12.3515625" style="138" bestFit="1" customWidth="1"/>
    <col min="11787" max="11788" width="9.46875" style="138"/>
    <col min="11789" max="11789" width="10.52734375" style="138" bestFit="1" customWidth="1"/>
    <col min="11790" max="12032" width="9.46875" style="138"/>
    <col min="12033" max="12033" width="50" style="138" customWidth="1"/>
    <col min="12034" max="12034" width="5.46875" style="138" customWidth="1"/>
    <col min="12035" max="12035" width="15.52734375" style="138" customWidth="1"/>
    <col min="12036" max="12040" width="16" style="138" customWidth="1"/>
    <col min="12041" max="12041" width="15.46875" style="138" customWidth="1"/>
    <col min="12042" max="12042" width="12.3515625" style="138" bestFit="1" customWidth="1"/>
    <col min="12043" max="12044" width="9.46875" style="138"/>
    <col min="12045" max="12045" width="10.52734375" style="138" bestFit="1" customWidth="1"/>
    <col min="12046" max="12288" width="9.46875" style="138"/>
    <col min="12289" max="12289" width="50" style="138" customWidth="1"/>
    <col min="12290" max="12290" width="5.46875" style="138" customWidth="1"/>
    <col min="12291" max="12291" width="15.52734375" style="138" customWidth="1"/>
    <col min="12292" max="12296" width="16" style="138" customWidth="1"/>
    <col min="12297" max="12297" width="15.46875" style="138" customWidth="1"/>
    <col min="12298" max="12298" width="12.3515625" style="138" bestFit="1" customWidth="1"/>
    <col min="12299" max="12300" width="9.46875" style="138"/>
    <col min="12301" max="12301" width="10.52734375" style="138" bestFit="1" customWidth="1"/>
    <col min="12302" max="12544" width="9.46875" style="138"/>
    <col min="12545" max="12545" width="50" style="138" customWidth="1"/>
    <col min="12546" max="12546" width="5.46875" style="138" customWidth="1"/>
    <col min="12547" max="12547" width="15.52734375" style="138" customWidth="1"/>
    <col min="12548" max="12552" width="16" style="138" customWidth="1"/>
    <col min="12553" max="12553" width="15.46875" style="138" customWidth="1"/>
    <col min="12554" max="12554" width="12.3515625" style="138" bestFit="1" customWidth="1"/>
    <col min="12555" max="12556" width="9.46875" style="138"/>
    <col min="12557" max="12557" width="10.52734375" style="138" bestFit="1" customWidth="1"/>
    <col min="12558" max="12800" width="9.46875" style="138"/>
    <col min="12801" max="12801" width="50" style="138" customWidth="1"/>
    <col min="12802" max="12802" width="5.46875" style="138" customWidth="1"/>
    <col min="12803" max="12803" width="15.52734375" style="138" customWidth="1"/>
    <col min="12804" max="12808" width="16" style="138" customWidth="1"/>
    <col min="12809" max="12809" width="15.46875" style="138" customWidth="1"/>
    <col min="12810" max="12810" width="12.3515625" style="138" bestFit="1" customWidth="1"/>
    <col min="12811" max="12812" width="9.46875" style="138"/>
    <col min="12813" max="12813" width="10.52734375" style="138" bestFit="1" customWidth="1"/>
    <col min="12814" max="13056" width="9.46875" style="138"/>
    <col min="13057" max="13057" width="50" style="138" customWidth="1"/>
    <col min="13058" max="13058" width="5.46875" style="138" customWidth="1"/>
    <col min="13059" max="13059" width="15.52734375" style="138" customWidth="1"/>
    <col min="13060" max="13064" width="16" style="138" customWidth="1"/>
    <col min="13065" max="13065" width="15.46875" style="138" customWidth="1"/>
    <col min="13066" max="13066" width="12.3515625" style="138" bestFit="1" customWidth="1"/>
    <col min="13067" max="13068" width="9.46875" style="138"/>
    <col min="13069" max="13069" width="10.52734375" style="138" bestFit="1" customWidth="1"/>
    <col min="13070" max="13312" width="9.46875" style="138"/>
    <col min="13313" max="13313" width="50" style="138" customWidth="1"/>
    <col min="13314" max="13314" width="5.46875" style="138" customWidth="1"/>
    <col min="13315" max="13315" width="15.52734375" style="138" customWidth="1"/>
    <col min="13316" max="13320" width="16" style="138" customWidth="1"/>
    <col min="13321" max="13321" width="15.46875" style="138" customWidth="1"/>
    <col min="13322" max="13322" width="12.3515625" style="138" bestFit="1" customWidth="1"/>
    <col min="13323" max="13324" width="9.46875" style="138"/>
    <col min="13325" max="13325" width="10.52734375" style="138" bestFit="1" customWidth="1"/>
    <col min="13326" max="13568" width="9.46875" style="138"/>
    <col min="13569" max="13569" width="50" style="138" customWidth="1"/>
    <col min="13570" max="13570" width="5.46875" style="138" customWidth="1"/>
    <col min="13571" max="13571" width="15.52734375" style="138" customWidth="1"/>
    <col min="13572" max="13576" width="16" style="138" customWidth="1"/>
    <col min="13577" max="13577" width="15.46875" style="138" customWidth="1"/>
    <col min="13578" max="13578" width="12.3515625" style="138" bestFit="1" customWidth="1"/>
    <col min="13579" max="13580" width="9.46875" style="138"/>
    <col min="13581" max="13581" width="10.52734375" style="138" bestFit="1" customWidth="1"/>
    <col min="13582" max="13824" width="9.46875" style="138"/>
    <col min="13825" max="13825" width="50" style="138" customWidth="1"/>
    <col min="13826" max="13826" width="5.46875" style="138" customWidth="1"/>
    <col min="13827" max="13827" width="15.52734375" style="138" customWidth="1"/>
    <col min="13828" max="13832" width="16" style="138" customWidth="1"/>
    <col min="13833" max="13833" width="15.46875" style="138" customWidth="1"/>
    <col min="13834" max="13834" width="12.3515625" style="138" bestFit="1" customWidth="1"/>
    <col min="13835" max="13836" width="9.46875" style="138"/>
    <col min="13837" max="13837" width="10.52734375" style="138" bestFit="1" customWidth="1"/>
    <col min="13838" max="14080" width="9.46875" style="138"/>
    <col min="14081" max="14081" width="50" style="138" customWidth="1"/>
    <col min="14082" max="14082" width="5.46875" style="138" customWidth="1"/>
    <col min="14083" max="14083" width="15.52734375" style="138" customWidth="1"/>
    <col min="14084" max="14088" width="16" style="138" customWidth="1"/>
    <col min="14089" max="14089" width="15.46875" style="138" customWidth="1"/>
    <col min="14090" max="14090" width="12.3515625" style="138" bestFit="1" customWidth="1"/>
    <col min="14091" max="14092" width="9.46875" style="138"/>
    <col min="14093" max="14093" width="10.52734375" style="138" bestFit="1" customWidth="1"/>
    <col min="14094" max="14336" width="9.46875" style="138"/>
    <col min="14337" max="14337" width="50" style="138" customWidth="1"/>
    <col min="14338" max="14338" width="5.46875" style="138" customWidth="1"/>
    <col min="14339" max="14339" width="15.52734375" style="138" customWidth="1"/>
    <col min="14340" max="14344" width="16" style="138" customWidth="1"/>
    <col min="14345" max="14345" width="15.46875" style="138" customWidth="1"/>
    <col min="14346" max="14346" width="12.3515625" style="138" bestFit="1" customWidth="1"/>
    <col min="14347" max="14348" width="9.46875" style="138"/>
    <col min="14349" max="14349" width="10.52734375" style="138" bestFit="1" customWidth="1"/>
    <col min="14350" max="14592" width="9.46875" style="138"/>
    <col min="14593" max="14593" width="50" style="138" customWidth="1"/>
    <col min="14594" max="14594" width="5.46875" style="138" customWidth="1"/>
    <col min="14595" max="14595" width="15.52734375" style="138" customWidth="1"/>
    <col min="14596" max="14600" width="16" style="138" customWidth="1"/>
    <col min="14601" max="14601" width="15.46875" style="138" customWidth="1"/>
    <col min="14602" max="14602" width="12.3515625" style="138" bestFit="1" customWidth="1"/>
    <col min="14603" max="14604" width="9.46875" style="138"/>
    <col min="14605" max="14605" width="10.52734375" style="138" bestFit="1" customWidth="1"/>
    <col min="14606" max="14848" width="9.46875" style="138"/>
    <col min="14849" max="14849" width="50" style="138" customWidth="1"/>
    <col min="14850" max="14850" width="5.46875" style="138" customWidth="1"/>
    <col min="14851" max="14851" width="15.52734375" style="138" customWidth="1"/>
    <col min="14852" max="14856" width="16" style="138" customWidth="1"/>
    <col min="14857" max="14857" width="15.46875" style="138" customWidth="1"/>
    <col min="14858" max="14858" width="12.3515625" style="138" bestFit="1" customWidth="1"/>
    <col min="14859" max="14860" width="9.46875" style="138"/>
    <col min="14861" max="14861" width="10.52734375" style="138" bestFit="1" customWidth="1"/>
    <col min="14862" max="15104" width="9.46875" style="138"/>
    <col min="15105" max="15105" width="50" style="138" customWidth="1"/>
    <col min="15106" max="15106" width="5.46875" style="138" customWidth="1"/>
    <col min="15107" max="15107" width="15.52734375" style="138" customWidth="1"/>
    <col min="15108" max="15112" width="16" style="138" customWidth="1"/>
    <col min="15113" max="15113" width="15.46875" style="138" customWidth="1"/>
    <col min="15114" max="15114" width="12.3515625" style="138" bestFit="1" customWidth="1"/>
    <col min="15115" max="15116" width="9.46875" style="138"/>
    <col min="15117" max="15117" width="10.52734375" style="138" bestFit="1" customWidth="1"/>
    <col min="15118" max="15360" width="9.46875" style="138"/>
    <col min="15361" max="15361" width="50" style="138" customWidth="1"/>
    <col min="15362" max="15362" width="5.46875" style="138" customWidth="1"/>
    <col min="15363" max="15363" width="15.52734375" style="138" customWidth="1"/>
    <col min="15364" max="15368" width="16" style="138" customWidth="1"/>
    <col min="15369" max="15369" width="15.46875" style="138" customWidth="1"/>
    <col min="15370" max="15370" width="12.3515625" style="138" bestFit="1" customWidth="1"/>
    <col min="15371" max="15372" width="9.46875" style="138"/>
    <col min="15373" max="15373" width="10.52734375" style="138" bestFit="1" customWidth="1"/>
    <col min="15374" max="15616" width="9.46875" style="138"/>
    <col min="15617" max="15617" width="50" style="138" customWidth="1"/>
    <col min="15618" max="15618" width="5.46875" style="138" customWidth="1"/>
    <col min="15619" max="15619" width="15.52734375" style="138" customWidth="1"/>
    <col min="15620" max="15624" width="16" style="138" customWidth="1"/>
    <col min="15625" max="15625" width="15.46875" style="138" customWidth="1"/>
    <col min="15626" max="15626" width="12.3515625" style="138" bestFit="1" customWidth="1"/>
    <col min="15627" max="15628" width="9.46875" style="138"/>
    <col min="15629" max="15629" width="10.52734375" style="138" bestFit="1" customWidth="1"/>
    <col min="15630" max="15872" width="9.46875" style="138"/>
    <col min="15873" max="15873" width="50" style="138" customWidth="1"/>
    <col min="15874" max="15874" width="5.46875" style="138" customWidth="1"/>
    <col min="15875" max="15875" width="15.52734375" style="138" customWidth="1"/>
    <col min="15876" max="15880" width="16" style="138" customWidth="1"/>
    <col min="15881" max="15881" width="15.46875" style="138" customWidth="1"/>
    <col min="15882" max="15882" width="12.3515625" style="138" bestFit="1" customWidth="1"/>
    <col min="15883" max="15884" width="9.46875" style="138"/>
    <col min="15885" max="15885" width="10.52734375" style="138" bestFit="1" customWidth="1"/>
    <col min="15886" max="16128" width="9.46875" style="138"/>
    <col min="16129" max="16129" width="50" style="138" customWidth="1"/>
    <col min="16130" max="16130" width="5.46875" style="138" customWidth="1"/>
    <col min="16131" max="16131" width="15.52734375" style="138" customWidth="1"/>
    <col min="16132" max="16136" width="16" style="138" customWidth="1"/>
    <col min="16137" max="16137" width="15.46875" style="138" customWidth="1"/>
    <col min="16138" max="16138" width="12.3515625" style="138" bestFit="1" customWidth="1"/>
    <col min="16139" max="16140" width="9.46875" style="138"/>
    <col min="16141" max="16141" width="10.52734375" style="138" bestFit="1" customWidth="1"/>
    <col min="16142" max="16384" width="9.46875" style="138"/>
  </cols>
  <sheetData>
    <row r="1" spans="1:10" x14ac:dyDescent="0.5">
      <c r="A1" s="195" t="s">
        <v>1362</v>
      </c>
      <c r="J1" s="198"/>
    </row>
    <row r="2" spans="1:10" x14ac:dyDescent="0.5">
      <c r="A2" s="199">
        <v>43373</v>
      </c>
      <c r="J2" s="198"/>
    </row>
    <row r="4" spans="1:10" x14ac:dyDescent="0.5">
      <c r="D4" s="200"/>
    </row>
    <row r="5" spans="1:10" s="201" customFormat="1" x14ac:dyDescent="0.5">
      <c r="B5" s="200"/>
      <c r="C5" s="202">
        <v>43373</v>
      </c>
      <c r="D5" s="202">
        <v>43100</v>
      </c>
      <c r="E5" s="203" t="s">
        <v>1363</v>
      </c>
      <c r="F5" s="197"/>
    </row>
    <row r="6" spans="1:10" x14ac:dyDescent="0.5">
      <c r="A6" s="138" t="s">
        <v>263</v>
      </c>
      <c r="C6" s="138">
        <f>GETPIVOTDATA("AMT",'BS-Detail 9.30.18'!$L$5,"ACCOUNT TYPE","CASH")</f>
        <v>420390</v>
      </c>
      <c r="D6" s="138">
        <v>553625</v>
      </c>
      <c r="E6" s="138">
        <f t="shared" ref="E6:E11" si="0">D6-C6</f>
        <v>133235</v>
      </c>
      <c r="F6" s="204"/>
    </row>
    <row r="7" spans="1:10" x14ac:dyDescent="0.5">
      <c r="A7" s="138" t="s">
        <v>1364</v>
      </c>
      <c r="C7" s="138">
        <f>GETPIVOTDATA("AMT",'BS-Detail 9.30.18'!$L$5,"ACCOUNT TYPE","AR")</f>
        <v>687783</v>
      </c>
      <c r="D7" s="138">
        <v>449165</v>
      </c>
      <c r="E7" s="150">
        <f>D7-C7</f>
        <v>-238618</v>
      </c>
      <c r="F7" s="204">
        <v>3</v>
      </c>
    </row>
    <row r="8" spans="1:10" x14ac:dyDescent="0.5">
      <c r="A8" s="138" t="s">
        <v>1365</v>
      </c>
      <c r="C8" s="138">
        <v>0</v>
      </c>
      <c r="D8" s="138">
        <v>0</v>
      </c>
      <c r="E8" s="150">
        <f t="shared" si="0"/>
        <v>0</v>
      </c>
      <c r="F8" s="204">
        <v>4</v>
      </c>
    </row>
    <row r="9" spans="1:10" x14ac:dyDescent="0.5">
      <c r="A9" s="138" t="s">
        <v>1366</v>
      </c>
      <c r="C9" s="138">
        <v>0</v>
      </c>
      <c r="D9" s="138">
        <v>0</v>
      </c>
      <c r="E9" s="150">
        <f t="shared" si="0"/>
        <v>0</v>
      </c>
      <c r="F9" s="204">
        <v>9</v>
      </c>
    </row>
    <row r="10" spans="1:10" x14ac:dyDescent="0.5">
      <c r="A10" s="138" t="s">
        <v>651</v>
      </c>
      <c r="C10" s="138">
        <f>GETPIVOTDATA("AMT",'BS-Detail 9.30.18'!$L$5,"ACCOUNT TYPE","INVENTORY")</f>
        <v>2821700</v>
      </c>
      <c r="D10" s="138">
        <v>3257019</v>
      </c>
      <c r="E10" s="150">
        <f t="shared" si="0"/>
        <v>435319</v>
      </c>
      <c r="F10" s="204">
        <v>5</v>
      </c>
    </row>
    <row r="11" spans="1:10" x14ac:dyDescent="0.5">
      <c r="A11" s="138" t="s">
        <v>1367</v>
      </c>
      <c r="C11" s="138">
        <f>GETPIVOTDATA("AMT",'BS-Detail 9.30.18'!$L$5,"ACCOUNT TYPE","OTHER CURRENT ASSETS")</f>
        <v>246745</v>
      </c>
      <c r="D11" s="138">
        <v>252095</v>
      </c>
      <c r="E11" s="150">
        <f t="shared" si="0"/>
        <v>5350</v>
      </c>
      <c r="F11" s="204">
        <v>6</v>
      </c>
    </row>
    <row r="12" spans="1:10" x14ac:dyDescent="0.5">
      <c r="A12" s="138" t="s">
        <v>1368</v>
      </c>
      <c r="C12" s="138">
        <f>GETPIVOTDATA("AMT",'BS-Detail 9.30.18'!$L$5,"ACCOUNT TYPE","PP&amp;E")</f>
        <v>1058726</v>
      </c>
      <c r="D12" s="138">
        <v>631202</v>
      </c>
      <c r="E12" s="150">
        <f>D12-C12</f>
        <v>-427524</v>
      </c>
      <c r="F12" s="204">
        <v>2</v>
      </c>
    </row>
    <row r="13" spans="1:10" x14ac:dyDescent="0.5">
      <c r="A13" s="138" t="s">
        <v>1369</v>
      </c>
      <c r="C13" s="138">
        <f>GETPIVOTDATA("AMT",'BS-Detail 9.30.18'!$L$5,"ACCOUNT TYPE","RENTAL EQUIP")</f>
        <v>4354839</v>
      </c>
      <c r="D13" s="138">
        <v>4636980</v>
      </c>
      <c r="E13" s="150">
        <f>D13-C13</f>
        <v>282141</v>
      </c>
      <c r="F13" s="204">
        <v>2</v>
      </c>
    </row>
    <row r="14" spans="1:10" x14ac:dyDescent="0.5">
      <c r="E14" s="150"/>
      <c r="F14" s="204"/>
    </row>
    <row r="15" spans="1:10" x14ac:dyDescent="0.5">
      <c r="A15" s="138" t="s">
        <v>52</v>
      </c>
      <c r="C15" s="138">
        <f>GETPIVOTDATA("AMT",'BS-Detail 9.30.18'!$L$5,"ACCOUNT TYPE","OTHER ASSETS")</f>
        <v>234075</v>
      </c>
      <c r="D15" s="138">
        <v>234074</v>
      </c>
      <c r="E15" s="150">
        <f>D15-C15</f>
        <v>-1</v>
      </c>
      <c r="F15" s="204">
        <v>11</v>
      </c>
    </row>
    <row r="16" spans="1:10" x14ac:dyDescent="0.5">
      <c r="A16" s="138" t="s">
        <v>56</v>
      </c>
      <c r="C16" s="138">
        <v>0</v>
      </c>
      <c r="D16" s="138">
        <v>0</v>
      </c>
      <c r="E16" s="150">
        <f>D16-C16</f>
        <v>0</v>
      </c>
      <c r="F16" s="204">
        <v>12</v>
      </c>
    </row>
    <row r="17" spans="1:6" x14ac:dyDescent="0.5">
      <c r="A17" s="138" t="s">
        <v>1370</v>
      </c>
      <c r="C17" s="138">
        <v>0</v>
      </c>
      <c r="D17" s="138">
        <v>0</v>
      </c>
      <c r="E17" s="150">
        <f>D17-C17</f>
        <v>0</v>
      </c>
      <c r="F17" s="204">
        <v>20</v>
      </c>
    </row>
    <row r="18" spans="1:6" ht="14.7" thickBot="1" x14ac:dyDescent="0.55000000000000004">
      <c r="A18" s="138" t="s">
        <v>1371</v>
      </c>
      <c r="C18" s="139">
        <f>SUM(C6:C17)</f>
        <v>9824258</v>
      </c>
      <c r="D18" s="139">
        <v>10014160</v>
      </c>
      <c r="E18" s="205">
        <f>D18-C18</f>
        <v>189902</v>
      </c>
      <c r="F18" s="204"/>
    </row>
    <row r="19" spans="1:6" ht="14.7" thickTop="1" x14ac:dyDescent="0.5">
      <c r="E19" s="150"/>
      <c r="F19" s="204"/>
    </row>
    <row r="20" spans="1:6" x14ac:dyDescent="0.5">
      <c r="A20" s="138" t="s">
        <v>64</v>
      </c>
      <c r="C20" s="138">
        <f>-GETPIVOTDATA("AMT",'BS-Detail 9.30.18'!$L$5,"ACCOUNT TYPE","AP")</f>
        <v>1431526</v>
      </c>
      <c r="D20" s="138">
        <v>2246619</v>
      </c>
      <c r="E20" s="150">
        <f>C20-D20</f>
        <v>-815093</v>
      </c>
      <c r="F20" s="204">
        <v>7</v>
      </c>
    </row>
    <row r="21" spans="1:6" x14ac:dyDescent="0.5">
      <c r="A21" s="138" t="s">
        <v>1372</v>
      </c>
      <c r="C21" s="138">
        <f>-GETPIVOTDATA("AMT",'BS-Detail 9.30.18'!$L$5,"ACCOUNT TYPE","ACCRUED")</f>
        <v>297447</v>
      </c>
      <c r="D21" s="138">
        <v>165950</v>
      </c>
      <c r="E21" s="150">
        <f>C21-D21</f>
        <v>131497</v>
      </c>
      <c r="F21" s="204">
        <v>7</v>
      </c>
    </row>
    <row r="22" spans="1:6" x14ac:dyDescent="0.5">
      <c r="A22" s="138" t="s">
        <v>1373</v>
      </c>
      <c r="C22" s="138">
        <f>-GETPIVOTDATA("AMT",'BS-Detail 9.30.18'!$L$5,"ACCOUNT TYPE","STCAPLEASE.NOTES")</f>
        <v>1434281</v>
      </c>
      <c r="D22" s="138">
        <v>1165080</v>
      </c>
      <c r="E22" s="150">
        <f>C22-D22</f>
        <v>269201</v>
      </c>
      <c r="F22" s="204">
        <v>8</v>
      </c>
    </row>
    <row r="23" spans="1:6" x14ac:dyDescent="0.5">
      <c r="A23" s="138" t="s">
        <v>1374</v>
      </c>
      <c r="C23" s="138">
        <f>-GETPIVOTDATA("AMT",'BS-Detail 9.30.18'!$L$5,"ACCOUNT TYPE","RELATED PARTY NOTE")</f>
        <v>389321</v>
      </c>
      <c r="D23" s="138">
        <v>402650</v>
      </c>
      <c r="E23" s="150">
        <f t="shared" ref="E23:E30" si="1">C23-D23</f>
        <v>-13329</v>
      </c>
      <c r="F23" s="204">
        <v>13</v>
      </c>
    </row>
    <row r="24" spans="1:6" x14ac:dyDescent="0.5">
      <c r="A24" s="138" t="s">
        <v>1375</v>
      </c>
      <c r="C24" s="138">
        <f>-GETPIVOTDATA("AMT",'BS-Detail 9.30.18'!$L$5,"ACCOUNT TYPE","CREDIT LINE")</f>
        <v>511105</v>
      </c>
      <c r="D24" s="138">
        <v>488000</v>
      </c>
      <c r="E24" s="150">
        <f t="shared" si="1"/>
        <v>23105</v>
      </c>
      <c r="F24" s="204">
        <v>17</v>
      </c>
    </row>
    <row r="25" spans="1:6" x14ac:dyDescent="0.5">
      <c r="A25" s="138" t="s">
        <v>1307</v>
      </c>
      <c r="C25" s="138">
        <f>-GETPIVOTDATA("AMT",'BS-Detail 9.30.18'!$L$5,"ACCOUNT TYPE","DEFTAXLIAB")</f>
        <v>-3678</v>
      </c>
      <c r="D25" s="138">
        <f>-3682+4</f>
        <v>-3678</v>
      </c>
      <c r="E25" s="150">
        <f t="shared" si="1"/>
        <v>0</v>
      </c>
      <c r="F25" s="204">
        <v>15</v>
      </c>
    </row>
    <row r="26" spans="1:6" x14ac:dyDescent="0.5">
      <c r="E26" s="150"/>
      <c r="F26" s="204"/>
    </row>
    <row r="27" spans="1:6" x14ac:dyDescent="0.5">
      <c r="A27" s="138" t="s">
        <v>1376</v>
      </c>
      <c r="C27" s="138">
        <f>-GETPIVOTDATA("AMT",'BS-Detail 9.30.18'!$L$5,"ACCOUNT TYPE","LTCAPLEASE.NOTES")</f>
        <v>3667949</v>
      </c>
      <c r="D27" s="138">
        <v>4194823</v>
      </c>
      <c r="E27" s="150">
        <f>C27-D27</f>
        <v>-526874</v>
      </c>
      <c r="F27" s="204">
        <v>17</v>
      </c>
    </row>
    <row r="28" spans="1:6" x14ac:dyDescent="0.5">
      <c r="E28" s="150"/>
      <c r="F28" s="204"/>
    </row>
    <row r="29" spans="1:6" x14ac:dyDescent="0.5">
      <c r="A29" s="206" t="s">
        <v>1377</v>
      </c>
      <c r="C29" s="138">
        <f>-GETPIVOTDATA("AMT",'BS-Detail 9.30.18'!$L$5,"ACCOUNT TYPE","COMMON")-GETPIVOTDATA("AMT",'BS-Detail 9.30.18'!$L$5,"ACCOUNT TYPE","TREASURY")</f>
        <v>748579</v>
      </c>
      <c r="D29" s="138">
        <v>748579</v>
      </c>
      <c r="E29" s="150">
        <f t="shared" si="1"/>
        <v>0</v>
      </c>
      <c r="F29" s="204">
        <v>18</v>
      </c>
    </row>
    <row r="30" spans="1:6" x14ac:dyDescent="0.5">
      <c r="A30" s="138" t="s">
        <v>1378</v>
      </c>
      <c r="C30" s="138">
        <f>-GETPIVOTDATA("AMT",'BS-Detail 9.30.18'!$L$5,"ACCOUNT TYPE","APIC")</f>
        <v>20785924</v>
      </c>
      <c r="D30" s="138">
        <v>20785924</v>
      </c>
      <c r="E30" s="150">
        <f t="shared" si="1"/>
        <v>0</v>
      </c>
      <c r="F30" s="204">
        <v>19</v>
      </c>
    </row>
    <row r="31" spans="1:6" x14ac:dyDescent="0.5">
      <c r="A31" s="138" t="s">
        <v>1379</v>
      </c>
      <c r="C31" s="138">
        <f>-GETPIVOTDATA("AMT",'BS-Detail 9.30.18'!$L$5,"ACCOUNT TYPE","RE")</f>
        <v>-19438196</v>
      </c>
      <c r="D31" s="138">
        <f>-20179783-5</f>
        <v>-20179788</v>
      </c>
      <c r="E31" s="150">
        <f>C31-D31</f>
        <v>741592</v>
      </c>
      <c r="F31" s="204">
        <v>1</v>
      </c>
    </row>
    <row r="32" spans="1:6" ht="12.75" customHeight="1" thickBot="1" x14ac:dyDescent="0.55000000000000004">
      <c r="A32" s="138" t="s">
        <v>1380</v>
      </c>
      <c r="C32" s="139">
        <f>SUM(C20:C31)</f>
        <v>9824258</v>
      </c>
      <c r="D32" s="139">
        <v>10014160</v>
      </c>
      <c r="E32" s="139">
        <f>D32-C32</f>
        <v>189902</v>
      </c>
      <c r="F32" s="207"/>
    </row>
    <row r="33" spans="1:10" ht="14.7" thickTop="1" x14ac:dyDescent="0.5">
      <c r="C33" s="138">
        <f>C18-C32</f>
        <v>0</v>
      </c>
      <c r="D33" s="138">
        <f>D18-D32</f>
        <v>0</v>
      </c>
    </row>
    <row r="36" spans="1:10" x14ac:dyDescent="0.5">
      <c r="D36" s="200"/>
      <c r="F36" s="201"/>
      <c r="G36" s="201"/>
    </row>
    <row r="37" spans="1:10" ht="28.7" x14ac:dyDescent="0.5">
      <c r="A37" s="138" t="s">
        <v>1381</v>
      </c>
      <c r="C37" s="203" t="s">
        <v>1382</v>
      </c>
      <c r="D37" s="208" t="s">
        <v>185</v>
      </c>
      <c r="E37" s="208" t="s">
        <v>1383</v>
      </c>
      <c r="F37" s="208" t="s">
        <v>1384</v>
      </c>
      <c r="G37" s="209" t="s">
        <v>1385</v>
      </c>
      <c r="H37" s="203"/>
      <c r="I37" s="203" t="s">
        <v>1386</v>
      </c>
    </row>
    <row r="38" spans="1:10" x14ac:dyDescent="0.5">
      <c r="A38" s="150" t="s">
        <v>1387</v>
      </c>
      <c r="B38" s="196">
        <v>1</v>
      </c>
      <c r="C38" s="138">
        <f>E31</f>
        <v>741592</v>
      </c>
      <c r="I38" s="225">
        <f>SUM(C38:H38)</f>
        <v>741592</v>
      </c>
      <c r="J38" s="196" t="s">
        <v>1388</v>
      </c>
    </row>
    <row r="39" spans="1:10" x14ac:dyDescent="0.5">
      <c r="A39" s="150" t="s">
        <v>1389</v>
      </c>
      <c r="I39" s="210"/>
      <c r="J39" s="196"/>
    </row>
    <row r="40" spans="1:10" x14ac:dyDescent="0.5">
      <c r="A40" s="150" t="s">
        <v>185</v>
      </c>
      <c r="D40" s="150">
        <f>-'P&amp;L-9 mos'!G106-'P&amp;L-9 mos'!G34-'P&amp;L-9 mos'!G107</f>
        <v>779661</v>
      </c>
      <c r="I40" s="225">
        <f t="shared" ref="I40:I50" si="2">SUM(C40:H40)</f>
        <v>779661</v>
      </c>
      <c r="J40" s="196" t="s">
        <v>1388</v>
      </c>
    </row>
    <row r="41" spans="1:10" x14ac:dyDescent="0.5">
      <c r="A41" s="150" t="s">
        <v>1390</v>
      </c>
      <c r="I41" s="210">
        <f t="shared" si="2"/>
        <v>0</v>
      </c>
      <c r="J41" s="196" t="s">
        <v>1388</v>
      </c>
    </row>
    <row r="42" spans="1:10" x14ac:dyDescent="0.5">
      <c r="A42" s="150" t="s">
        <v>1391</v>
      </c>
      <c r="B42" s="196">
        <v>12</v>
      </c>
      <c r="C42" s="138">
        <f>E16</f>
        <v>0</v>
      </c>
      <c r="I42" s="210">
        <f>SUM(C42:H42)</f>
        <v>0</v>
      </c>
      <c r="J42" s="196" t="s">
        <v>1388</v>
      </c>
    </row>
    <row r="43" spans="1:10" x14ac:dyDescent="0.5">
      <c r="A43" s="150" t="s">
        <v>1392</v>
      </c>
      <c r="B43" s="196">
        <v>20</v>
      </c>
      <c r="C43" s="138">
        <f>E17</f>
        <v>0</v>
      </c>
      <c r="I43" s="210">
        <f t="shared" si="2"/>
        <v>0</v>
      </c>
      <c r="J43" s="196" t="s">
        <v>1388</v>
      </c>
    </row>
    <row r="44" spans="1:10" x14ac:dyDescent="0.5">
      <c r="A44" s="150" t="s">
        <v>1393</v>
      </c>
      <c r="I44" s="210"/>
      <c r="J44" s="196"/>
    </row>
    <row r="45" spans="1:10" x14ac:dyDescent="0.5">
      <c r="A45" s="150" t="s">
        <v>1394</v>
      </c>
      <c r="B45" s="196">
        <v>3</v>
      </c>
      <c r="C45" s="138">
        <f>E7</f>
        <v>-238618</v>
      </c>
      <c r="I45" s="210">
        <f t="shared" si="2"/>
        <v>-238618</v>
      </c>
      <c r="J45" s="196" t="s">
        <v>1388</v>
      </c>
    </row>
    <row r="46" spans="1:10" x14ac:dyDescent="0.5">
      <c r="A46" s="150" t="s">
        <v>651</v>
      </c>
      <c r="B46" s="196">
        <v>5</v>
      </c>
      <c r="C46" s="150">
        <f>E10</f>
        <v>435319</v>
      </c>
      <c r="I46" s="210">
        <f t="shared" si="2"/>
        <v>435319</v>
      </c>
      <c r="J46" s="196" t="s">
        <v>1388</v>
      </c>
    </row>
    <row r="47" spans="1:10" x14ac:dyDescent="0.5">
      <c r="A47" s="150" t="s">
        <v>1260</v>
      </c>
      <c r="B47" s="196">
        <v>6</v>
      </c>
      <c r="C47" s="138">
        <f>E11</f>
        <v>5350</v>
      </c>
      <c r="I47" s="210">
        <f t="shared" si="2"/>
        <v>5350</v>
      </c>
      <c r="J47" s="196" t="s">
        <v>1388</v>
      </c>
    </row>
    <row r="48" spans="1:10" x14ac:dyDescent="0.5">
      <c r="A48" s="150" t="s">
        <v>64</v>
      </c>
      <c r="B48" s="196">
        <v>7</v>
      </c>
      <c r="C48" s="138">
        <f>E20</f>
        <v>-815093</v>
      </c>
      <c r="I48" s="138">
        <f t="shared" si="2"/>
        <v>-815093</v>
      </c>
      <c r="J48" s="196" t="s">
        <v>1388</v>
      </c>
    </row>
    <row r="49" spans="1:10" x14ac:dyDescent="0.5">
      <c r="A49" s="150" t="s">
        <v>65</v>
      </c>
      <c r="B49" s="196">
        <v>7</v>
      </c>
      <c r="C49" s="138">
        <f>E21</f>
        <v>131497</v>
      </c>
      <c r="I49" s="138">
        <f t="shared" si="2"/>
        <v>131497</v>
      </c>
      <c r="J49" s="196" t="s">
        <v>1388</v>
      </c>
    </row>
    <row r="50" spans="1:10" x14ac:dyDescent="0.5">
      <c r="A50" s="150" t="s">
        <v>1355</v>
      </c>
      <c r="B50" s="196">
        <v>8</v>
      </c>
      <c r="C50" s="141">
        <f>E25</f>
        <v>0</v>
      </c>
      <c r="I50" s="141">
        <f t="shared" si="2"/>
        <v>0</v>
      </c>
      <c r="J50" s="196" t="s">
        <v>1388</v>
      </c>
    </row>
    <row r="51" spans="1:10" x14ac:dyDescent="0.5">
      <c r="A51" s="211" t="s">
        <v>1395</v>
      </c>
      <c r="B51" s="212"/>
      <c r="C51" s="138">
        <f>SUM(C38:C50)</f>
        <v>260047</v>
      </c>
      <c r="I51" s="138">
        <f>SUM(I38:I50)</f>
        <v>1039708</v>
      </c>
      <c r="J51" s="196" t="s">
        <v>1388</v>
      </c>
    </row>
    <row r="52" spans="1:10" x14ac:dyDescent="0.5">
      <c r="A52" s="150"/>
      <c r="J52" s="196"/>
    </row>
    <row r="53" spans="1:10" x14ac:dyDescent="0.5">
      <c r="A53" s="150" t="s">
        <v>1396</v>
      </c>
      <c r="D53" s="200"/>
      <c r="J53" s="196"/>
    </row>
    <row r="54" spans="1:10" x14ac:dyDescent="0.5">
      <c r="A54" s="150" t="s">
        <v>1397</v>
      </c>
      <c r="B54" s="196">
        <v>9</v>
      </c>
      <c r="C54" s="138">
        <f>E9</f>
        <v>0</v>
      </c>
      <c r="I54" s="138">
        <f>SUM(C54:H54)</f>
        <v>0</v>
      </c>
      <c r="J54" s="196" t="s">
        <v>1388</v>
      </c>
    </row>
    <row r="55" spans="1:10" x14ac:dyDescent="0.5">
      <c r="A55" s="150" t="s">
        <v>1398</v>
      </c>
      <c r="B55" s="196">
        <v>2</v>
      </c>
      <c r="C55" s="150">
        <f>E12</f>
        <v>-427524</v>
      </c>
      <c r="D55" s="150"/>
      <c r="E55" s="138">
        <f>'P&amp;L-9 mos'!M27</f>
        <v>15603</v>
      </c>
      <c r="G55" s="196"/>
      <c r="I55" s="138">
        <f>SUM(C55:H55)</f>
        <v>-411921</v>
      </c>
      <c r="J55" s="196" t="s">
        <v>1388</v>
      </c>
    </row>
    <row r="56" spans="1:10" x14ac:dyDescent="0.5">
      <c r="A56" s="150" t="s">
        <v>1399</v>
      </c>
      <c r="B56" s="196">
        <v>2</v>
      </c>
      <c r="C56" s="150">
        <f>E13</f>
        <v>282141</v>
      </c>
      <c r="D56" s="150">
        <f>-D40</f>
        <v>-779661</v>
      </c>
      <c r="E56" s="197"/>
      <c r="G56" s="196"/>
      <c r="I56" s="138">
        <f>SUM(C56:H56)</f>
        <v>-497520</v>
      </c>
      <c r="J56" s="196" t="s">
        <v>1388</v>
      </c>
    </row>
    <row r="57" spans="1:10" x14ac:dyDescent="0.5">
      <c r="A57" s="150" t="s">
        <v>1358</v>
      </c>
      <c r="B57" s="196">
        <v>11</v>
      </c>
      <c r="C57" s="138">
        <f>'P&amp;L-9 mos'!M27+'P&amp;L-9 mos'!M29+28589</f>
        <v>158589</v>
      </c>
      <c r="E57" s="138">
        <f>-C57</f>
        <v>-158589</v>
      </c>
      <c r="I57" s="138">
        <f>SUM(C57:H57)</f>
        <v>0</v>
      </c>
      <c r="J57" s="196" t="s">
        <v>1388</v>
      </c>
    </row>
    <row r="58" spans="1:10" x14ac:dyDescent="0.5">
      <c r="A58" s="150" t="s">
        <v>1400</v>
      </c>
      <c r="C58" s="141"/>
      <c r="I58" s="141">
        <f>SUM(C58:H58)</f>
        <v>0</v>
      </c>
      <c r="J58" s="196" t="s">
        <v>1388</v>
      </c>
    </row>
    <row r="59" spans="1:10" x14ac:dyDescent="0.5">
      <c r="A59" s="211" t="s">
        <v>1401</v>
      </c>
      <c r="B59" s="200"/>
      <c r="C59" s="138">
        <f>SUM(C54:C58)</f>
        <v>13206</v>
      </c>
      <c r="I59" s="138">
        <f>SUM(I54:I58)</f>
        <v>-909441</v>
      </c>
      <c r="J59" s="196" t="s">
        <v>1388</v>
      </c>
    </row>
    <row r="60" spans="1:10" x14ac:dyDescent="0.5">
      <c r="A60" s="150"/>
      <c r="I60" s="138">
        <f t="shared" ref="I60:I66" si="3">SUM(C60:H60)</f>
        <v>0</v>
      </c>
      <c r="J60" s="196" t="s">
        <v>1388</v>
      </c>
    </row>
    <row r="61" spans="1:10" x14ac:dyDescent="0.5">
      <c r="A61" s="150" t="s">
        <v>1402</v>
      </c>
      <c r="I61" s="138">
        <f t="shared" si="3"/>
        <v>0</v>
      </c>
      <c r="J61" s="196" t="s">
        <v>1388</v>
      </c>
    </row>
    <row r="62" spans="1:10" x14ac:dyDescent="0.5">
      <c r="A62" s="150" t="s">
        <v>1403</v>
      </c>
      <c r="B62" s="196">
        <v>15</v>
      </c>
      <c r="C62" s="138">
        <f>254500+104640.2</f>
        <v>359140</v>
      </c>
      <c r="E62" s="138">
        <f>-E57+-E55</f>
        <v>142986</v>
      </c>
      <c r="I62" s="138">
        <f>SUM(C62:H62)</f>
        <v>502126</v>
      </c>
      <c r="J62" s="196" t="s">
        <v>1388</v>
      </c>
    </row>
    <row r="63" spans="1:10" x14ac:dyDescent="0.5">
      <c r="A63" s="150" t="s">
        <v>1404</v>
      </c>
      <c r="B63" s="196">
        <v>17</v>
      </c>
      <c r="C63" s="138">
        <f>'[3]Debt Rollforward'!$V$59</f>
        <v>2047176</v>
      </c>
      <c r="I63" s="150">
        <f>SUM(C63:H63)</f>
        <v>2047176</v>
      </c>
      <c r="J63" s="196" t="s">
        <v>1388</v>
      </c>
    </row>
    <row r="64" spans="1:10" x14ac:dyDescent="0.5">
      <c r="A64" s="150" t="s">
        <v>1405</v>
      </c>
      <c r="B64" s="196">
        <v>17</v>
      </c>
      <c r="C64" s="138">
        <f>'[3]Debt Rollforward'!$X$59-'[4]9.2018'!$M$12-'[4]9.2018'!$M$21</f>
        <v>-2799475</v>
      </c>
      <c r="I64" s="150">
        <f t="shared" si="3"/>
        <v>-2799475</v>
      </c>
      <c r="J64" s="196" t="s">
        <v>1388</v>
      </c>
    </row>
    <row r="65" spans="1:10" x14ac:dyDescent="0.5">
      <c r="A65" s="150" t="s">
        <v>1406</v>
      </c>
      <c r="B65" s="196">
        <v>13</v>
      </c>
      <c r="C65" s="138">
        <f>E23</f>
        <v>-13329</v>
      </c>
      <c r="I65" s="150">
        <f t="shared" si="3"/>
        <v>-13329</v>
      </c>
      <c r="J65" s="196" t="s">
        <v>1388</v>
      </c>
    </row>
    <row r="66" spans="1:10" x14ac:dyDescent="0.5">
      <c r="A66" s="138" t="s">
        <v>1407</v>
      </c>
      <c r="B66" s="196">
        <v>19</v>
      </c>
      <c r="C66" s="141">
        <v>0</v>
      </c>
      <c r="I66" s="141">
        <f t="shared" si="3"/>
        <v>0</v>
      </c>
      <c r="J66" s="196" t="s">
        <v>1388</v>
      </c>
    </row>
    <row r="67" spans="1:10" x14ac:dyDescent="0.5">
      <c r="A67" s="213" t="s">
        <v>1408</v>
      </c>
      <c r="C67" s="138">
        <f>SUM(C62:C66)</f>
        <v>-406488</v>
      </c>
      <c r="I67" s="138">
        <f>SUM(I62:I66)</f>
        <v>-263502</v>
      </c>
      <c r="J67" s="196" t="s">
        <v>1388</v>
      </c>
    </row>
    <row r="68" spans="1:10" x14ac:dyDescent="0.5">
      <c r="J68" s="196"/>
    </row>
    <row r="69" spans="1:10" x14ac:dyDescent="0.5">
      <c r="A69" s="138" t="s">
        <v>1409</v>
      </c>
      <c r="C69" s="141">
        <f>C51+C59+C67</f>
        <v>-133235</v>
      </c>
      <c r="I69" s="141">
        <f>I51+I59+I67</f>
        <v>-133235</v>
      </c>
      <c r="J69" s="196" t="s">
        <v>1388</v>
      </c>
    </row>
    <row r="70" spans="1:10" x14ac:dyDescent="0.5">
      <c r="J70" s="196"/>
    </row>
    <row r="71" spans="1:10" x14ac:dyDescent="0.5">
      <c r="A71" s="138" t="s">
        <v>1410</v>
      </c>
      <c r="C71" s="138">
        <f>D6</f>
        <v>553625</v>
      </c>
      <c r="I71" s="138">
        <f>D6</f>
        <v>553625</v>
      </c>
      <c r="J71" s="196" t="s">
        <v>1388</v>
      </c>
    </row>
    <row r="72" spans="1:10" x14ac:dyDescent="0.5">
      <c r="I72" s="141"/>
      <c r="J72" s="196"/>
    </row>
    <row r="73" spans="1:10" ht="14.7" thickBot="1" x14ac:dyDescent="0.55000000000000004">
      <c r="A73" s="138" t="s">
        <v>1411</v>
      </c>
      <c r="C73" s="139">
        <f>C69+C71</f>
        <v>420390</v>
      </c>
      <c r="D73" s="139">
        <f>SUM(D38:D72)</f>
        <v>0</v>
      </c>
      <c r="E73" s="139">
        <f t="shared" ref="E73:H73" si="4">SUM(E38:E72)</f>
        <v>0</v>
      </c>
      <c r="F73" s="139">
        <f t="shared" si="4"/>
        <v>0</v>
      </c>
      <c r="G73" s="139">
        <f t="shared" si="4"/>
        <v>0</v>
      </c>
      <c r="H73" s="139">
        <f t="shared" si="4"/>
        <v>0</v>
      </c>
      <c r="I73" s="194">
        <f>I69+I71</f>
        <v>420390</v>
      </c>
      <c r="J73" s="196"/>
    </row>
    <row r="74" spans="1:10" ht="14.7" thickTop="1" x14ac:dyDescent="0.5">
      <c r="I74" s="138">
        <f>GETPIVOTDATA("AMT",'BS-Detail 9.30.18'!$L$5,"ACCOUNT TYPE","CASH")</f>
        <v>420390</v>
      </c>
    </row>
    <row r="75" spans="1:10" x14ac:dyDescent="0.5">
      <c r="F75" s="138"/>
      <c r="I75" s="138">
        <f>I73-I74</f>
        <v>0</v>
      </c>
    </row>
    <row r="76" spans="1:10" s="150" customFormat="1" x14ac:dyDescent="0.5">
      <c r="B76" s="214"/>
      <c r="D76" s="138"/>
      <c r="E76" s="138"/>
      <c r="F76" s="197"/>
      <c r="G76" s="197"/>
      <c r="H76" s="138"/>
      <c r="I76" s="138"/>
      <c r="J76" s="138"/>
    </row>
    <row r="77" spans="1:10" s="150" customFormat="1" x14ac:dyDescent="0.5">
      <c r="B77" s="214"/>
      <c r="C77" s="224"/>
      <c r="D77" s="138"/>
      <c r="E77" s="138"/>
      <c r="F77" s="197"/>
      <c r="G77" s="197"/>
      <c r="H77" s="138"/>
      <c r="I77" s="138"/>
      <c r="J77" s="138"/>
    </row>
    <row r="78" spans="1:10" s="150" customFormat="1" x14ac:dyDescent="0.5">
      <c r="B78" s="214"/>
      <c r="F78" s="215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64"/>
  <sheetViews>
    <sheetView workbookViewId="0">
      <selection activeCell="A3" sqref="A3:B3"/>
    </sheetView>
  </sheetViews>
  <sheetFormatPr defaultColWidth="9.05859375" defaultRowHeight="12.7" outlineLevelCol="1" x14ac:dyDescent="0.4"/>
  <cols>
    <col min="1" max="1" width="8.46875" style="21" bestFit="1" customWidth="1"/>
    <col min="2" max="2" width="43.64453125" style="9" bestFit="1" customWidth="1"/>
    <col min="3" max="3" width="13.64453125" style="10" hidden="1" customWidth="1" outlineLevel="1"/>
    <col min="4" max="4" width="13.52734375" style="10" hidden="1" customWidth="1" outlineLevel="1"/>
    <col min="5" max="5" width="11.3515625" style="78" hidden="1" customWidth="1" outlineLevel="1"/>
    <col min="6" max="7" width="11" style="78" hidden="1" customWidth="1" outlineLevel="1"/>
    <col min="8" max="8" width="12.64453125" style="78" hidden="1" customWidth="1" outlineLevel="1"/>
    <col min="9" max="9" width="15.64453125" style="105" hidden="1" customWidth="1" outlineLevel="1"/>
    <col min="10" max="10" width="15.46875" style="21" hidden="1" customWidth="1" outlineLevel="1"/>
    <col min="11" max="11" width="13.52734375" style="79" customWidth="1" collapsed="1"/>
    <col min="12" max="12" width="10" style="21" customWidth="1"/>
    <col min="13" max="13" width="11.64453125" style="21" customWidth="1"/>
    <col min="14" max="14" width="13.17578125" style="21" customWidth="1"/>
    <col min="15" max="15" width="12.17578125" style="10" customWidth="1"/>
    <col min="16" max="16384" width="9.05859375" style="21"/>
  </cols>
  <sheetData>
    <row r="1" spans="1:17" x14ac:dyDescent="0.4">
      <c r="A1" s="433" t="s">
        <v>0</v>
      </c>
      <c r="B1" s="433"/>
      <c r="M1" s="76"/>
      <c r="N1" s="76"/>
    </row>
    <row r="2" spans="1:17" x14ac:dyDescent="0.4">
      <c r="A2" s="434" t="s">
        <v>603</v>
      </c>
      <c r="B2" s="434"/>
      <c r="M2" s="76"/>
      <c r="N2" s="76"/>
    </row>
    <row r="3" spans="1:17" x14ac:dyDescent="0.4">
      <c r="A3" s="434" t="s">
        <v>895</v>
      </c>
      <c r="B3" s="434"/>
      <c r="D3" s="10" t="s">
        <v>261</v>
      </c>
      <c r="E3" s="78" t="s">
        <v>261</v>
      </c>
      <c r="F3" s="10"/>
      <c r="G3" s="10"/>
      <c r="H3" s="10" t="s">
        <v>261</v>
      </c>
      <c r="I3" s="105" t="s">
        <v>261</v>
      </c>
      <c r="J3" s="107"/>
      <c r="M3" s="76"/>
      <c r="N3" s="76"/>
    </row>
    <row r="5" spans="1:17" s="10" customFormat="1" x14ac:dyDescent="0.4">
      <c r="A5" s="21" t="s">
        <v>484</v>
      </c>
      <c r="B5" s="9" t="s">
        <v>279</v>
      </c>
      <c r="C5" s="108" t="s">
        <v>0</v>
      </c>
      <c r="D5" s="108" t="s">
        <v>2</v>
      </c>
      <c r="E5" s="78" t="s">
        <v>3</v>
      </c>
      <c r="F5" s="108" t="s">
        <v>485</v>
      </c>
      <c r="G5" s="108" t="s">
        <v>486</v>
      </c>
      <c r="H5" s="108" t="s">
        <v>487</v>
      </c>
      <c r="I5" s="105" t="s">
        <v>1</v>
      </c>
      <c r="J5" s="21" t="s">
        <v>280</v>
      </c>
      <c r="K5" s="19" t="s">
        <v>281</v>
      </c>
      <c r="M5" s="78"/>
      <c r="N5" s="413" t="s">
        <v>282</v>
      </c>
      <c r="O5" s="423" t="s">
        <v>284</v>
      </c>
    </row>
    <row r="6" spans="1:17" s="10" customFormat="1" x14ac:dyDescent="0.4">
      <c r="A6" s="124" t="s">
        <v>488</v>
      </c>
      <c r="B6" s="12" t="s">
        <v>143</v>
      </c>
      <c r="C6" s="13"/>
      <c r="D6" s="78"/>
      <c r="E6" s="78"/>
      <c r="F6" s="78"/>
      <c r="G6" s="78"/>
      <c r="H6" s="78"/>
      <c r="I6" s="79">
        <f t="shared" ref="I6:I73" si="0">SUM(C6:H6)</f>
        <v>0</v>
      </c>
      <c r="J6" s="78" t="s">
        <v>287</v>
      </c>
      <c r="K6" s="79">
        <f>I6*1</f>
        <v>0</v>
      </c>
      <c r="L6" s="78"/>
      <c r="M6" s="78"/>
      <c r="N6" s="414" t="s">
        <v>287</v>
      </c>
      <c r="O6" s="423">
        <v>0</v>
      </c>
    </row>
    <row r="7" spans="1:17" s="10" customFormat="1" x14ac:dyDescent="0.4">
      <c r="A7" s="124" t="s">
        <v>489</v>
      </c>
      <c r="B7" s="12" t="s">
        <v>144</v>
      </c>
      <c r="C7" s="13"/>
      <c r="D7" s="78"/>
      <c r="E7" s="78"/>
      <c r="F7" s="78"/>
      <c r="G7" s="78"/>
      <c r="H7" s="78"/>
      <c r="I7" s="79">
        <f t="shared" si="0"/>
        <v>0</v>
      </c>
      <c r="J7" s="78" t="s">
        <v>287</v>
      </c>
      <c r="K7" s="79">
        <f t="shared" ref="K7:K73" si="1">I7*1</f>
        <v>0</v>
      </c>
      <c r="L7" s="78"/>
      <c r="M7" s="78"/>
      <c r="N7" s="414" t="s">
        <v>288</v>
      </c>
      <c r="O7" s="423">
        <v>0</v>
      </c>
    </row>
    <row r="8" spans="1:17" s="10" customFormat="1" x14ac:dyDescent="0.4">
      <c r="A8" s="124" t="s">
        <v>490</v>
      </c>
      <c r="B8" s="12" t="s">
        <v>145</v>
      </c>
      <c r="C8" s="13"/>
      <c r="D8" s="78"/>
      <c r="E8" s="78"/>
      <c r="F8" s="78"/>
      <c r="G8" s="78"/>
      <c r="H8" s="78"/>
      <c r="I8" s="79">
        <f t="shared" si="0"/>
        <v>0</v>
      </c>
      <c r="J8" s="78" t="s">
        <v>287</v>
      </c>
      <c r="K8" s="79">
        <f t="shared" si="1"/>
        <v>0</v>
      </c>
      <c r="L8" s="78"/>
      <c r="M8" s="78"/>
      <c r="N8" s="414" t="s">
        <v>292</v>
      </c>
      <c r="O8" s="423">
        <v>0</v>
      </c>
    </row>
    <row r="9" spans="1:17" s="10" customFormat="1" x14ac:dyDescent="0.4">
      <c r="A9" s="124" t="s">
        <v>491</v>
      </c>
      <c r="B9" s="12" t="s">
        <v>146</v>
      </c>
      <c r="C9" s="13"/>
      <c r="D9" s="78"/>
      <c r="E9" s="78"/>
      <c r="F9" s="78"/>
      <c r="G9" s="78"/>
      <c r="H9" s="78"/>
      <c r="I9" s="79">
        <f t="shared" si="0"/>
        <v>0</v>
      </c>
      <c r="J9" s="78" t="s">
        <v>287</v>
      </c>
      <c r="K9" s="79">
        <f t="shared" si="1"/>
        <v>0</v>
      </c>
      <c r="L9" s="78"/>
      <c r="M9" s="78"/>
      <c r="N9" s="414" t="s">
        <v>291</v>
      </c>
      <c r="O9" s="423">
        <v>0</v>
      </c>
    </row>
    <row r="10" spans="1:17" s="10" customFormat="1" x14ac:dyDescent="0.4">
      <c r="A10" s="124" t="s">
        <v>492</v>
      </c>
      <c r="B10" s="12" t="s">
        <v>147</v>
      </c>
      <c r="C10" s="13"/>
      <c r="D10" s="78"/>
      <c r="E10" s="78"/>
      <c r="F10" s="78"/>
      <c r="G10" s="78"/>
      <c r="H10" s="78"/>
      <c r="I10" s="79">
        <f t="shared" si="0"/>
        <v>0</v>
      </c>
      <c r="J10" s="78" t="s">
        <v>287</v>
      </c>
      <c r="K10" s="79">
        <f t="shared" si="1"/>
        <v>0</v>
      </c>
      <c r="L10" s="78"/>
      <c r="M10" s="78"/>
      <c r="N10" s="414" t="s">
        <v>289</v>
      </c>
      <c r="O10" s="423">
        <v>0</v>
      </c>
    </row>
    <row r="11" spans="1:17" s="10" customFormat="1" x14ac:dyDescent="0.4">
      <c r="A11" s="69" t="s">
        <v>757</v>
      </c>
      <c r="B11" s="12" t="s">
        <v>758</v>
      </c>
      <c r="C11" s="13"/>
      <c r="D11" s="78"/>
      <c r="E11" s="78"/>
      <c r="F11" s="78"/>
      <c r="G11" s="78"/>
      <c r="H11" s="78">
        <f>-D11</f>
        <v>0</v>
      </c>
      <c r="I11" s="79">
        <f t="shared" si="0"/>
        <v>0</v>
      </c>
      <c r="J11" s="78" t="s">
        <v>287</v>
      </c>
      <c r="K11" s="79">
        <f t="shared" si="1"/>
        <v>0</v>
      </c>
      <c r="L11" s="78"/>
      <c r="M11" s="78"/>
      <c r="N11" s="414" t="s">
        <v>290</v>
      </c>
      <c r="O11" s="423">
        <v>0</v>
      </c>
    </row>
    <row r="12" spans="1:17" s="78" customFormat="1" x14ac:dyDescent="0.4">
      <c r="A12" s="124" t="s">
        <v>493</v>
      </c>
      <c r="B12" s="100" t="s">
        <v>148</v>
      </c>
      <c r="C12" s="13"/>
      <c r="I12" s="79">
        <f t="shared" si="0"/>
        <v>0</v>
      </c>
      <c r="J12" s="78" t="s">
        <v>287</v>
      </c>
      <c r="K12" s="79">
        <f t="shared" si="1"/>
        <v>0</v>
      </c>
      <c r="N12" s="414" t="s">
        <v>299</v>
      </c>
      <c r="O12" s="423">
        <v>0</v>
      </c>
      <c r="P12" s="10"/>
      <c r="Q12" s="10"/>
    </row>
    <row r="13" spans="1:17" s="78" customFormat="1" x14ac:dyDescent="0.4">
      <c r="A13" s="124" t="s">
        <v>494</v>
      </c>
      <c r="B13" s="12" t="s">
        <v>149</v>
      </c>
      <c r="C13" s="13"/>
      <c r="I13" s="79">
        <f t="shared" si="0"/>
        <v>0</v>
      </c>
      <c r="J13" s="78" t="s">
        <v>287</v>
      </c>
      <c r="K13" s="79">
        <f t="shared" si="1"/>
        <v>0</v>
      </c>
      <c r="N13" s="414" t="s">
        <v>862</v>
      </c>
      <c r="O13" s="423">
        <v>0</v>
      </c>
    </row>
    <row r="14" spans="1:17" s="78" customFormat="1" x14ac:dyDescent="0.4">
      <c r="A14" s="124" t="s">
        <v>495</v>
      </c>
      <c r="B14" s="12" t="s">
        <v>150</v>
      </c>
      <c r="C14" s="13"/>
      <c r="I14" s="79">
        <f t="shared" si="0"/>
        <v>0</v>
      </c>
      <c r="J14" s="78" t="s">
        <v>287</v>
      </c>
      <c r="K14" s="79">
        <f t="shared" si="1"/>
        <v>0</v>
      </c>
      <c r="N14" s="414" t="s">
        <v>283</v>
      </c>
      <c r="O14" s="423">
        <v>0</v>
      </c>
    </row>
    <row r="15" spans="1:17" s="10" customFormat="1" ht="14.35" x14ac:dyDescent="0.5">
      <c r="A15" s="124" t="s">
        <v>496</v>
      </c>
      <c r="B15" s="12" t="s">
        <v>151</v>
      </c>
      <c r="C15" s="13"/>
      <c r="D15" s="78"/>
      <c r="E15" s="78"/>
      <c r="F15" s="78"/>
      <c r="G15" s="78"/>
      <c r="H15" s="78"/>
      <c r="I15" s="79">
        <f t="shared" si="0"/>
        <v>0</v>
      </c>
      <c r="J15" s="78" t="s">
        <v>287</v>
      </c>
      <c r="K15" s="79">
        <f t="shared" si="1"/>
        <v>0</v>
      </c>
      <c r="L15" s="78"/>
      <c r="M15" s="78"/>
      <c r="N15" s="98"/>
      <c r="O15" s="98"/>
      <c r="P15" s="78"/>
      <c r="Q15" s="78"/>
    </row>
    <row r="16" spans="1:17" s="10" customFormat="1" ht="14.35" x14ac:dyDescent="0.5">
      <c r="A16" s="124" t="s">
        <v>497</v>
      </c>
      <c r="B16" s="12" t="s">
        <v>152</v>
      </c>
      <c r="C16" s="13"/>
      <c r="D16" s="78"/>
      <c r="E16" s="78"/>
      <c r="F16" s="78"/>
      <c r="G16" s="78"/>
      <c r="H16" s="78"/>
      <c r="I16" s="79">
        <f t="shared" si="0"/>
        <v>0</v>
      </c>
      <c r="J16" s="78" t="s">
        <v>287</v>
      </c>
      <c r="K16" s="79">
        <f t="shared" si="1"/>
        <v>0</v>
      </c>
      <c r="M16" s="78"/>
      <c r="N16" s="98"/>
      <c r="O16" s="98"/>
    </row>
    <row r="17" spans="1:17" s="10" customFormat="1" x14ac:dyDescent="0.4">
      <c r="A17" s="124" t="s">
        <v>498</v>
      </c>
      <c r="B17" s="12" t="s">
        <v>153</v>
      </c>
      <c r="C17" s="13"/>
      <c r="D17" s="78"/>
      <c r="E17" s="78"/>
      <c r="F17" s="78"/>
      <c r="G17" s="78"/>
      <c r="H17" s="78"/>
      <c r="I17" s="79">
        <f t="shared" si="0"/>
        <v>0</v>
      </c>
      <c r="J17" s="78" t="s">
        <v>287</v>
      </c>
      <c r="K17" s="79">
        <f t="shared" si="1"/>
        <v>0</v>
      </c>
      <c r="M17" s="78"/>
      <c r="N17" s="21"/>
    </row>
    <row r="18" spans="1:17" s="10" customFormat="1" x14ac:dyDescent="0.4">
      <c r="A18" s="124" t="s">
        <v>637</v>
      </c>
      <c r="B18" s="12" t="s">
        <v>638</v>
      </c>
      <c r="C18" s="13"/>
      <c r="D18" s="78"/>
      <c r="E18" s="78"/>
      <c r="F18" s="78"/>
      <c r="G18" s="78"/>
      <c r="H18" s="78"/>
      <c r="I18" s="79">
        <f t="shared" si="0"/>
        <v>0</v>
      </c>
      <c r="J18" s="78" t="s">
        <v>287</v>
      </c>
      <c r="K18" s="79">
        <f t="shared" si="1"/>
        <v>0</v>
      </c>
      <c r="M18" s="78"/>
      <c r="N18" s="21"/>
    </row>
    <row r="19" spans="1:17" s="10" customFormat="1" x14ac:dyDescent="0.4">
      <c r="A19" s="124" t="s">
        <v>499</v>
      </c>
      <c r="B19" s="12" t="s">
        <v>154</v>
      </c>
      <c r="C19" s="13"/>
      <c r="D19" s="78"/>
      <c r="E19" s="78"/>
      <c r="F19" s="78"/>
      <c r="G19" s="78"/>
      <c r="H19" s="78"/>
      <c r="I19" s="79">
        <f t="shared" si="0"/>
        <v>0</v>
      </c>
      <c r="J19" s="78" t="s">
        <v>287</v>
      </c>
      <c r="K19" s="79">
        <f t="shared" si="1"/>
        <v>0</v>
      </c>
      <c r="M19" s="78"/>
      <c r="N19" s="21"/>
    </row>
    <row r="20" spans="1:17" s="10" customFormat="1" x14ac:dyDescent="0.4">
      <c r="A20" s="124" t="s">
        <v>639</v>
      </c>
      <c r="B20" s="12" t="s">
        <v>640</v>
      </c>
      <c r="C20" s="13"/>
      <c r="D20" s="78"/>
      <c r="E20" s="78"/>
      <c r="F20" s="78"/>
      <c r="G20" s="78"/>
      <c r="H20" s="78"/>
      <c r="I20" s="79">
        <f t="shared" si="0"/>
        <v>0</v>
      </c>
      <c r="J20" s="78" t="s">
        <v>287</v>
      </c>
      <c r="K20" s="79">
        <f t="shared" si="1"/>
        <v>0</v>
      </c>
      <c r="M20" s="78"/>
      <c r="N20" s="21"/>
    </row>
    <row r="21" spans="1:17" s="10" customFormat="1" x14ac:dyDescent="0.4">
      <c r="A21" s="124" t="s">
        <v>500</v>
      </c>
      <c r="B21" s="12" t="s">
        <v>155</v>
      </c>
      <c r="C21" s="13"/>
      <c r="D21" s="78"/>
      <c r="E21" s="78"/>
      <c r="F21" s="78"/>
      <c r="G21" s="78"/>
      <c r="H21" s="78"/>
      <c r="I21" s="79">
        <f t="shared" si="0"/>
        <v>0</v>
      </c>
      <c r="J21" s="78" t="s">
        <v>287</v>
      </c>
      <c r="K21" s="79">
        <f t="shared" si="1"/>
        <v>0</v>
      </c>
      <c r="M21" s="78"/>
      <c r="N21" s="21"/>
    </row>
    <row r="22" spans="1:17" s="10" customFormat="1" x14ac:dyDescent="0.4">
      <c r="A22" s="124" t="s">
        <v>501</v>
      </c>
      <c r="B22" s="12" t="s">
        <v>156</v>
      </c>
      <c r="C22" s="13"/>
      <c r="D22" s="78"/>
      <c r="E22" s="78"/>
      <c r="F22" s="78"/>
      <c r="G22" s="78"/>
      <c r="H22" s="78"/>
      <c r="I22" s="79">
        <f t="shared" si="0"/>
        <v>0</v>
      </c>
      <c r="J22" s="78" t="s">
        <v>287</v>
      </c>
      <c r="K22" s="79">
        <f t="shared" si="1"/>
        <v>0</v>
      </c>
      <c r="M22" s="78"/>
      <c r="N22" s="21"/>
    </row>
    <row r="23" spans="1:17" s="10" customFormat="1" x14ac:dyDescent="0.4">
      <c r="A23" s="88" t="s">
        <v>662</v>
      </c>
      <c r="B23" s="100" t="s">
        <v>663</v>
      </c>
      <c r="C23" s="13"/>
      <c r="D23" s="78"/>
      <c r="E23" s="78"/>
      <c r="F23" s="78"/>
      <c r="G23" s="78"/>
      <c r="H23" s="78"/>
      <c r="I23" s="79">
        <f t="shared" si="0"/>
        <v>0</v>
      </c>
      <c r="J23" s="78" t="s">
        <v>287</v>
      </c>
      <c r="K23" s="79">
        <f t="shared" si="1"/>
        <v>0</v>
      </c>
      <c r="M23" s="78"/>
      <c r="N23" s="78"/>
    </row>
    <row r="24" spans="1:17" s="10" customFormat="1" x14ac:dyDescent="0.4">
      <c r="A24" s="124" t="s">
        <v>502</v>
      </c>
      <c r="B24" s="12" t="s">
        <v>157</v>
      </c>
      <c r="C24" s="13"/>
      <c r="D24" s="78"/>
      <c r="E24" s="78"/>
      <c r="F24" s="78"/>
      <c r="G24" s="78"/>
      <c r="H24" s="78"/>
      <c r="I24" s="79">
        <f t="shared" si="0"/>
        <v>0</v>
      </c>
      <c r="J24" s="78" t="s">
        <v>287</v>
      </c>
      <c r="K24" s="79">
        <f t="shared" si="1"/>
        <v>0</v>
      </c>
      <c r="M24" s="78"/>
      <c r="N24" s="78"/>
    </row>
    <row r="25" spans="1:17" s="10" customFormat="1" x14ac:dyDescent="0.4">
      <c r="A25" s="124" t="s">
        <v>699</v>
      </c>
      <c r="B25" s="27" t="s">
        <v>698</v>
      </c>
      <c r="C25" s="13"/>
      <c r="D25" s="78"/>
      <c r="E25" s="78"/>
      <c r="F25" s="78"/>
      <c r="G25" s="78"/>
      <c r="H25" s="78"/>
      <c r="I25" s="79">
        <f t="shared" si="0"/>
        <v>0</v>
      </c>
      <c r="J25" s="78" t="s">
        <v>287</v>
      </c>
      <c r="K25" s="79">
        <f t="shared" si="1"/>
        <v>0</v>
      </c>
      <c r="M25" s="78"/>
      <c r="N25" s="78"/>
    </row>
    <row r="26" spans="1:17" s="10" customFormat="1" x14ac:dyDescent="0.4">
      <c r="A26" s="124" t="s">
        <v>503</v>
      </c>
      <c r="B26" s="12" t="s">
        <v>158</v>
      </c>
      <c r="C26" s="13"/>
      <c r="D26" s="78"/>
      <c r="E26" s="78"/>
      <c r="F26" s="78"/>
      <c r="G26" s="78"/>
      <c r="H26" s="78"/>
      <c r="I26" s="79">
        <f t="shared" si="0"/>
        <v>0</v>
      </c>
      <c r="J26" s="78" t="s">
        <v>287</v>
      </c>
      <c r="K26" s="79">
        <f t="shared" si="1"/>
        <v>0</v>
      </c>
      <c r="M26" s="78"/>
      <c r="N26" s="78"/>
    </row>
    <row r="27" spans="1:17" s="10" customFormat="1" x14ac:dyDescent="0.4">
      <c r="A27" s="124" t="s">
        <v>504</v>
      </c>
      <c r="B27" s="12" t="s">
        <v>159</v>
      </c>
      <c r="C27" s="13"/>
      <c r="D27" s="78"/>
      <c r="E27" s="78"/>
      <c r="F27" s="78"/>
      <c r="G27" s="78"/>
      <c r="H27" s="78"/>
      <c r="I27" s="79">
        <f t="shared" si="0"/>
        <v>0</v>
      </c>
      <c r="J27" s="78" t="s">
        <v>287</v>
      </c>
      <c r="K27" s="79">
        <f t="shared" si="1"/>
        <v>0</v>
      </c>
      <c r="M27" s="78"/>
      <c r="N27" s="78"/>
    </row>
    <row r="28" spans="1:17" s="10" customFormat="1" x14ac:dyDescent="0.4">
      <c r="A28" s="100" t="s">
        <v>680</v>
      </c>
      <c r="B28" s="100" t="s">
        <v>681</v>
      </c>
      <c r="C28" s="13"/>
      <c r="D28" s="78"/>
      <c r="E28" s="78"/>
      <c r="F28" s="78"/>
      <c r="G28" s="78"/>
      <c r="H28" s="78"/>
      <c r="I28" s="79">
        <f t="shared" si="0"/>
        <v>0</v>
      </c>
      <c r="J28" s="78" t="s">
        <v>287</v>
      </c>
      <c r="K28" s="79">
        <f t="shared" si="1"/>
        <v>0</v>
      </c>
      <c r="M28" s="78"/>
      <c r="N28" s="78"/>
    </row>
    <row r="29" spans="1:17" s="10" customFormat="1" x14ac:dyDescent="0.4">
      <c r="A29" s="124" t="s">
        <v>505</v>
      </c>
      <c r="B29" s="12" t="s">
        <v>160</v>
      </c>
      <c r="C29" s="13"/>
      <c r="D29" s="78"/>
      <c r="E29" s="78"/>
      <c r="F29" s="78"/>
      <c r="G29" s="78"/>
      <c r="H29" s="78"/>
      <c r="I29" s="79">
        <f t="shared" si="0"/>
        <v>0</v>
      </c>
      <c r="J29" s="78" t="s">
        <v>287</v>
      </c>
      <c r="K29" s="79">
        <f t="shared" si="1"/>
        <v>0</v>
      </c>
      <c r="M29" s="78"/>
      <c r="N29" s="78"/>
    </row>
    <row r="30" spans="1:17" s="10" customFormat="1" x14ac:dyDescent="0.4">
      <c r="A30" s="124" t="s">
        <v>506</v>
      </c>
      <c r="B30" s="12" t="s">
        <v>161</v>
      </c>
      <c r="C30" s="13"/>
      <c r="D30" s="78"/>
      <c r="E30" s="78"/>
      <c r="F30" s="78"/>
      <c r="G30" s="78"/>
      <c r="H30" s="78"/>
      <c r="I30" s="79">
        <f t="shared" si="0"/>
        <v>0</v>
      </c>
      <c r="J30" s="78" t="s">
        <v>287</v>
      </c>
      <c r="K30" s="79">
        <f t="shared" si="1"/>
        <v>0</v>
      </c>
      <c r="M30" s="78"/>
      <c r="N30" s="78"/>
    </row>
    <row r="31" spans="1:17" s="10" customFormat="1" x14ac:dyDescent="0.4">
      <c r="A31" s="124" t="s">
        <v>507</v>
      </c>
      <c r="B31" s="12" t="s">
        <v>162</v>
      </c>
      <c r="C31" s="13"/>
      <c r="D31" s="78"/>
      <c r="E31" s="78"/>
      <c r="F31" s="78"/>
      <c r="G31" s="78"/>
      <c r="H31" s="78"/>
      <c r="I31" s="79">
        <f t="shared" si="0"/>
        <v>0</v>
      </c>
      <c r="J31" s="78" t="s">
        <v>287</v>
      </c>
      <c r="K31" s="79">
        <f t="shared" si="1"/>
        <v>0</v>
      </c>
      <c r="M31" s="78"/>
      <c r="N31" s="78"/>
    </row>
    <row r="32" spans="1:17" s="78" customFormat="1" x14ac:dyDescent="0.4">
      <c r="A32" s="124" t="s">
        <v>508</v>
      </c>
      <c r="B32" s="12" t="s">
        <v>163</v>
      </c>
      <c r="C32" s="13"/>
      <c r="I32" s="79">
        <f t="shared" si="0"/>
        <v>0</v>
      </c>
      <c r="J32" s="78" t="s">
        <v>287</v>
      </c>
      <c r="K32" s="79">
        <f t="shared" si="1"/>
        <v>0</v>
      </c>
      <c r="L32" s="10"/>
      <c r="M32" s="78">
        <f>SUM(K6:K32)</f>
        <v>0</v>
      </c>
      <c r="O32" s="10"/>
      <c r="P32" s="10"/>
      <c r="Q32" s="10"/>
    </row>
    <row r="33" spans="1:17" s="78" customFormat="1" x14ac:dyDescent="0.4">
      <c r="A33" s="124" t="s">
        <v>509</v>
      </c>
      <c r="B33" s="12" t="s">
        <v>164</v>
      </c>
      <c r="C33" s="82"/>
      <c r="I33" s="79">
        <f t="shared" si="0"/>
        <v>0</v>
      </c>
      <c r="J33" s="78" t="s">
        <v>288</v>
      </c>
      <c r="K33" s="79">
        <f t="shared" si="1"/>
        <v>0</v>
      </c>
      <c r="L33" s="10"/>
      <c r="O33" s="10"/>
    </row>
    <row r="34" spans="1:17" s="78" customFormat="1" x14ac:dyDescent="0.4">
      <c r="A34" s="124" t="s">
        <v>510</v>
      </c>
      <c r="B34" s="12" t="s">
        <v>165</v>
      </c>
      <c r="C34" s="82"/>
      <c r="I34" s="79">
        <f t="shared" si="0"/>
        <v>0</v>
      </c>
      <c r="J34" s="78" t="s">
        <v>288</v>
      </c>
      <c r="K34" s="79">
        <f t="shared" si="1"/>
        <v>0</v>
      </c>
    </row>
    <row r="35" spans="1:17" s="10" customFormat="1" x14ac:dyDescent="0.4">
      <c r="A35" s="124" t="s">
        <v>511</v>
      </c>
      <c r="B35" s="12" t="s">
        <v>166</v>
      </c>
      <c r="C35" s="82"/>
      <c r="D35" s="78"/>
      <c r="E35" s="78"/>
      <c r="F35" s="78"/>
      <c r="G35" s="78"/>
      <c r="H35" s="78"/>
      <c r="I35" s="79">
        <f t="shared" si="0"/>
        <v>0</v>
      </c>
      <c r="J35" s="78" t="s">
        <v>288</v>
      </c>
      <c r="K35" s="79">
        <f t="shared" si="1"/>
        <v>0</v>
      </c>
      <c r="M35" s="78"/>
      <c r="N35" s="78"/>
      <c r="P35" s="78"/>
      <c r="Q35" s="78"/>
    </row>
    <row r="36" spans="1:17" s="10" customFormat="1" x14ac:dyDescent="0.4">
      <c r="A36" s="68" t="s">
        <v>512</v>
      </c>
      <c r="B36" s="12" t="s">
        <v>167</v>
      </c>
      <c r="C36" s="82"/>
      <c r="D36" s="78"/>
      <c r="E36" s="78"/>
      <c r="F36" s="78"/>
      <c r="G36" s="78"/>
      <c r="H36" s="78"/>
      <c r="I36" s="79">
        <f t="shared" si="0"/>
        <v>0</v>
      </c>
      <c r="J36" s="78" t="s">
        <v>288</v>
      </c>
      <c r="K36" s="79">
        <f t="shared" si="1"/>
        <v>0</v>
      </c>
      <c r="M36" s="78"/>
      <c r="N36" s="78"/>
    </row>
    <row r="37" spans="1:17" s="10" customFormat="1" x14ac:dyDescent="0.4">
      <c r="A37" s="124" t="s">
        <v>513</v>
      </c>
      <c r="B37" s="12" t="s">
        <v>168</v>
      </c>
      <c r="C37" s="82"/>
      <c r="D37" s="78"/>
      <c r="E37" s="78"/>
      <c r="F37" s="78"/>
      <c r="G37" s="78"/>
      <c r="H37" s="78"/>
      <c r="I37" s="79">
        <f t="shared" si="0"/>
        <v>0</v>
      </c>
      <c r="J37" s="78" t="s">
        <v>288</v>
      </c>
      <c r="K37" s="79">
        <f t="shared" si="1"/>
        <v>0</v>
      </c>
      <c r="M37" s="78"/>
      <c r="N37" s="78"/>
    </row>
    <row r="38" spans="1:17" s="10" customFormat="1" x14ac:dyDescent="0.4">
      <c r="A38" s="124" t="s">
        <v>514</v>
      </c>
      <c r="B38" s="12" t="s">
        <v>169</v>
      </c>
      <c r="C38" s="82"/>
      <c r="D38" s="78"/>
      <c r="E38" s="78"/>
      <c r="F38" s="78"/>
      <c r="G38" s="78"/>
      <c r="H38" s="78"/>
      <c r="I38" s="79">
        <f t="shared" si="0"/>
        <v>0</v>
      </c>
      <c r="J38" s="78" t="s">
        <v>288</v>
      </c>
      <c r="K38" s="79">
        <f t="shared" si="1"/>
        <v>0</v>
      </c>
      <c r="M38" s="78"/>
      <c r="N38" s="78"/>
    </row>
    <row r="39" spans="1:17" s="10" customFormat="1" x14ac:dyDescent="0.4">
      <c r="A39" s="69" t="s">
        <v>611</v>
      </c>
      <c r="B39" s="12" t="s">
        <v>610</v>
      </c>
      <c r="C39" s="82"/>
      <c r="D39" s="78"/>
      <c r="E39" s="78"/>
      <c r="F39" s="78"/>
      <c r="G39" s="78"/>
      <c r="H39" s="78"/>
      <c r="I39" s="79">
        <f t="shared" si="0"/>
        <v>0</v>
      </c>
      <c r="J39" s="78" t="s">
        <v>288</v>
      </c>
      <c r="K39" s="79">
        <f t="shared" si="1"/>
        <v>0</v>
      </c>
      <c r="M39" s="78"/>
      <c r="N39" s="78"/>
    </row>
    <row r="40" spans="1:17" s="10" customFormat="1" x14ac:dyDescent="0.4">
      <c r="A40" s="69"/>
      <c r="B40" s="12" t="s">
        <v>170</v>
      </c>
      <c r="C40" s="82"/>
      <c r="D40" s="79"/>
      <c r="E40" s="79"/>
      <c r="F40" s="79"/>
      <c r="G40" s="79"/>
      <c r="H40" s="79"/>
      <c r="I40" s="79">
        <f t="shared" si="0"/>
        <v>0</v>
      </c>
      <c r="J40" s="79" t="s">
        <v>288</v>
      </c>
      <c r="K40" s="79">
        <f t="shared" si="1"/>
        <v>0</v>
      </c>
      <c r="M40" s="78"/>
      <c r="N40" s="78"/>
    </row>
    <row r="41" spans="1:17" s="10" customFormat="1" x14ac:dyDescent="0.4">
      <c r="A41" s="69"/>
      <c r="B41" s="12" t="s">
        <v>759</v>
      </c>
      <c r="C41" s="82"/>
      <c r="D41" s="79"/>
      <c r="E41" s="78"/>
      <c r="F41" s="78"/>
      <c r="G41" s="78"/>
      <c r="H41" s="79">
        <f>-D41</f>
        <v>0</v>
      </c>
      <c r="I41" s="79">
        <f t="shared" si="0"/>
        <v>0</v>
      </c>
      <c r="J41" s="78" t="s">
        <v>288</v>
      </c>
      <c r="K41" s="79">
        <f t="shared" si="1"/>
        <v>0</v>
      </c>
      <c r="L41" s="78"/>
      <c r="M41" s="78"/>
      <c r="N41" s="78"/>
    </row>
    <row r="42" spans="1:17" s="10" customFormat="1" x14ac:dyDescent="0.4">
      <c r="A42" s="124" t="s">
        <v>515</v>
      </c>
      <c r="B42" s="12" t="s">
        <v>171</v>
      </c>
      <c r="C42" s="82"/>
      <c r="D42" s="78"/>
      <c r="E42" s="78"/>
      <c r="F42" s="78"/>
      <c r="G42" s="78"/>
      <c r="H42" s="78"/>
      <c r="I42" s="79">
        <f t="shared" si="0"/>
        <v>0</v>
      </c>
      <c r="J42" s="78" t="s">
        <v>291</v>
      </c>
      <c r="K42" s="79">
        <f t="shared" si="1"/>
        <v>0</v>
      </c>
      <c r="L42" s="78"/>
      <c r="M42" s="78"/>
      <c r="N42" s="78"/>
    </row>
    <row r="43" spans="1:17" s="10" customFormat="1" x14ac:dyDescent="0.4">
      <c r="A43" s="124" t="s">
        <v>516</v>
      </c>
      <c r="B43" s="12" t="s">
        <v>172</v>
      </c>
      <c r="C43" s="82"/>
      <c r="D43" s="78"/>
      <c r="E43" s="78"/>
      <c r="F43" s="78"/>
      <c r="G43" s="78"/>
      <c r="H43" s="78"/>
      <c r="I43" s="79">
        <f t="shared" si="0"/>
        <v>0</v>
      </c>
      <c r="J43" s="78" t="s">
        <v>291</v>
      </c>
      <c r="K43" s="79">
        <f t="shared" si="1"/>
        <v>0</v>
      </c>
      <c r="M43" s="78"/>
      <c r="N43" s="78"/>
    </row>
    <row r="44" spans="1:17" s="10" customFormat="1" x14ac:dyDescent="0.4">
      <c r="A44" s="100" t="s">
        <v>655</v>
      </c>
      <c r="B44" s="100" t="s">
        <v>654</v>
      </c>
      <c r="C44" s="82"/>
      <c r="D44" s="78"/>
      <c r="E44" s="78"/>
      <c r="F44" s="78"/>
      <c r="G44" s="78"/>
      <c r="H44" s="78"/>
      <c r="I44" s="79">
        <f t="shared" ref="I44" si="2">SUM(C44:H44)</f>
        <v>0</v>
      </c>
      <c r="J44" s="78" t="s">
        <v>291</v>
      </c>
      <c r="K44" s="79">
        <f t="shared" si="1"/>
        <v>0</v>
      </c>
      <c r="M44" s="78"/>
      <c r="N44" s="78"/>
    </row>
    <row r="45" spans="1:17" s="10" customFormat="1" x14ac:dyDescent="0.4">
      <c r="A45" s="124" t="s">
        <v>517</v>
      </c>
      <c r="B45" s="12" t="s">
        <v>173</v>
      </c>
      <c r="C45" s="82"/>
      <c r="D45" s="78"/>
      <c r="E45" s="78"/>
      <c r="F45" s="78"/>
      <c r="G45" s="78"/>
      <c r="H45" s="78"/>
      <c r="I45" s="79">
        <f t="shared" si="0"/>
        <v>0</v>
      </c>
      <c r="J45" s="78" t="s">
        <v>289</v>
      </c>
      <c r="K45" s="79">
        <f t="shared" si="1"/>
        <v>0</v>
      </c>
      <c r="M45" s="78"/>
      <c r="N45" s="78"/>
    </row>
    <row r="46" spans="1:17" s="10" customFormat="1" x14ac:dyDescent="0.4">
      <c r="A46" s="124" t="s">
        <v>518</v>
      </c>
      <c r="B46" s="12" t="s">
        <v>174</v>
      </c>
      <c r="C46" s="82"/>
      <c r="D46" s="78"/>
      <c r="E46" s="78"/>
      <c r="F46" s="78"/>
      <c r="G46" s="78"/>
      <c r="H46" s="78"/>
      <c r="I46" s="79">
        <f t="shared" si="0"/>
        <v>0</v>
      </c>
      <c r="J46" s="78" t="s">
        <v>292</v>
      </c>
      <c r="K46" s="79">
        <f t="shared" si="1"/>
        <v>0</v>
      </c>
      <c r="M46" s="78"/>
      <c r="N46" s="78"/>
    </row>
    <row r="47" spans="1:17" s="10" customFormat="1" x14ac:dyDescent="0.4">
      <c r="A47" s="124" t="s">
        <v>519</v>
      </c>
      <c r="B47" s="12" t="s">
        <v>175</v>
      </c>
      <c r="C47" s="82"/>
      <c r="D47" s="78"/>
      <c r="E47" s="78"/>
      <c r="F47" s="78"/>
      <c r="G47" s="78"/>
      <c r="H47" s="78"/>
      <c r="I47" s="79">
        <f t="shared" si="0"/>
        <v>0</v>
      </c>
      <c r="J47" s="78" t="s">
        <v>288</v>
      </c>
      <c r="K47" s="79">
        <f t="shared" si="1"/>
        <v>0</v>
      </c>
      <c r="M47" s="78"/>
      <c r="N47" s="78"/>
    </row>
    <row r="48" spans="1:17" s="10" customFormat="1" x14ac:dyDescent="0.4">
      <c r="A48" s="124" t="s">
        <v>520</v>
      </c>
      <c r="B48" s="12" t="s">
        <v>176</v>
      </c>
      <c r="C48" s="82"/>
      <c r="D48" s="78"/>
      <c r="E48" s="78"/>
      <c r="F48" s="78"/>
      <c r="G48" s="78"/>
      <c r="H48" s="78"/>
      <c r="I48" s="79">
        <f t="shared" si="0"/>
        <v>0</v>
      </c>
      <c r="J48" s="78" t="s">
        <v>288</v>
      </c>
      <c r="K48" s="79">
        <f t="shared" si="1"/>
        <v>0</v>
      </c>
      <c r="M48" s="78"/>
      <c r="N48" s="78"/>
    </row>
    <row r="49" spans="1:14" s="10" customFormat="1" x14ac:dyDescent="0.4">
      <c r="A49" s="124" t="s">
        <v>521</v>
      </c>
      <c r="B49" s="12" t="s">
        <v>177</v>
      </c>
      <c r="C49" s="82"/>
      <c r="D49" s="78"/>
      <c r="E49" s="78"/>
      <c r="F49" s="78"/>
      <c r="G49" s="78"/>
      <c r="H49" s="78"/>
      <c r="I49" s="79">
        <f t="shared" si="0"/>
        <v>0</v>
      </c>
      <c r="J49" s="78" t="s">
        <v>288</v>
      </c>
      <c r="K49" s="79">
        <f t="shared" si="1"/>
        <v>0</v>
      </c>
      <c r="M49" s="78"/>
      <c r="N49" s="78"/>
    </row>
    <row r="50" spans="1:14" s="10" customFormat="1" x14ac:dyDescent="0.4">
      <c r="A50" s="124" t="s">
        <v>522</v>
      </c>
      <c r="B50" s="12" t="s">
        <v>178</v>
      </c>
      <c r="C50" s="82"/>
      <c r="D50" s="78"/>
      <c r="E50" s="78"/>
      <c r="F50" s="78"/>
      <c r="G50" s="78"/>
      <c r="H50" s="78"/>
      <c r="I50" s="79">
        <f t="shared" si="0"/>
        <v>0</v>
      </c>
      <c r="J50" s="78" t="s">
        <v>292</v>
      </c>
      <c r="K50" s="79">
        <f t="shared" si="1"/>
        <v>0</v>
      </c>
      <c r="M50" s="78"/>
      <c r="N50" s="78"/>
    </row>
    <row r="51" spans="1:14" s="10" customFormat="1" x14ac:dyDescent="0.4">
      <c r="A51" s="124" t="s">
        <v>523</v>
      </c>
      <c r="B51" s="12" t="s">
        <v>179</v>
      </c>
      <c r="C51" s="82"/>
      <c r="D51" s="78"/>
      <c r="E51" s="78"/>
      <c r="F51" s="78"/>
      <c r="G51" s="78"/>
      <c r="H51" s="78"/>
      <c r="I51" s="79">
        <f t="shared" si="0"/>
        <v>0</v>
      </c>
      <c r="J51" s="78" t="s">
        <v>292</v>
      </c>
      <c r="K51" s="79">
        <f t="shared" si="1"/>
        <v>0</v>
      </c>
      <c r="M51" s="78"/>
      <c r="N51" s="78"/>
    </row>
    <row r="52" spans="1:14" s="10" customFormat="1" x14ac:dyDescent="0.4">
      <c r="A52" s="124" t="s">
        <v>524</v>
      </c>
      <c r="B52" s="12" t="s">
        <v>180</v>
      </c>
      <c r="C52" s="82"/>
      <c r="D52" s="78"/>
      <c r="E52" s="78"/>
      <c r="F52" s="78"/>
      <c r="G52" s="78"/>
      <c r="H52" s="78"/>
      <c r="I52" s="79">
        <f t="shared" si="0"/>
        <v>0</v>
      </c>
      <c r="J52" s="78" t="s">
        <v>292</v>
      </c>
      <c r="K52" s="79">
        <f t="shared" si="1"/>
        <v>0</v>
      </c>
      <c r="M52" s="78"/>
      <c r="N52" s="78"/>
    </row>
    <row r="53" spans="1:14" s="10" customFormat="1" x14ac:dyDescent="0.4">
      <c r="A53" s="124" t="s">
        <v>525</v>
      </c>
      <c r="B53" s="12" t="s">
        <v>254</v>
      </c>
      <c r="C53" s="82"/>
      <c r="D53" s="78"/>
      <c r="E53" s="78"/>
      <c r="F53" s="78"/>
      <c r="G53" s="78"/>
      <c r="H53" s="78"/>
      <c r="I53" s="79">
        <f t="shared" si="0"/>
        <v>0</v>
      </c>
      <c r="J53" s="78" t="s">
        <v>292</v>
      </c>
      <c r="K53" s="79">
        <f t="shared" si="1"/>
        <v>0</v>
      </c>
      <c r="M53" s="78"/>
      <c r="N53" s="78"/>
    </row>
    <row r="54" spans="1:14" s="10" customFormat="1" x14ac:dyDescent="0.4">
      <c r="A54" s="88" t="s">
        <v>783</v>
      </c>
      <c r="B54" s="100" t="s">
        <v>784</v>
      </c>
      <c r="C54" s="82"/>
      <c r="D54" s="78"/>
      <c r="E54" s="78"/>
      <c r="F54" s="78"/>
      <c r="G54" s="78"/>
      <c r="H54" s="78"/>
      <c r="I54" s="79">
        <f>SUM(C54:H54)</f>
        <v>0</v>
      </c>
      <c r="J54" s="78" t="s">
        <v>292</v>
      </c>
      <c r="K54" s="79">
        <f t="shared" si="1"/>
        <v>0</v>
      </c>
      <c r="M54" s="78"/>
      <c r="N54" s="78"/>
    </row>
    <row r="55" spans="1:14" s="10" customFormat="1" x14ac:dyDescent="0.4">
      <c r="A55" s="100" t="s">
        <v>526</v>
      </c>
      <c r="B55" s="100" t="s">
        <v>255</v>
      </c>
      <c r="C55" s="82"/>
      <c r="D55" s="78"/>
      <c r="E55" s="78"/>
      <c r="F55" s="78"/>
      <c r="G55" s="78"/>
      <c r="H55" s="78"/>
      <c r="I55" s="79">
        <f>SUM(C55:H55)</f>
        <v>0</v>
      </c>
      <c r="J55" s="78" t="s">
        <v>292</v>
      </c>
      <c r="K55" s="79">
        <f t="shared" si="1"/>
        <v>0</v>
      </c>
      <c r="M55" s="78"/>
      <c r="N55" s="78"/>
    </row>
    <row r="56" spans="1:14" s="10" customFormat="1" x14ac:dyDescent="0.4">
      <c r="A56" s="124" t="s">
        <v>527</v>
      </c>
      <c r="B56" s="12" t="s">
        <v>181</v>
      </c>
      <c r="C56" s="82"/>
      <c r="D56" s="78"/>
      <c r="E56" s="78"/>
      <c r="F56" s="78"/>
      <c r="G56" s="78"/>
      <c r="H56" s="78"/>
      <c r="I56" s="79">
        <f t="shared" si="0"/>
        <v>0</v>
      </c>
      <c r="J56" s="78" t="s">
        <v>292</v>
      </c>
      <c r="K56" s="79">
        <f t="shared" si="1"/>
        <v>0</v>
      </c>
      <c r="M56" s="78"/>
      <c r="N56" s="78"/>
    </row>
    <row r="57" spans="1:14" s="10" customFormat="1" x14ac:dyDescent="0.4">
      <c r="A57" s="124" t="s">
        <v>528</v>
      </c>
      <c r="B57" s="12" t="s">
        <v>182</v>
      </c>
      <c r="C57" s="82"/>
      <c r="D57" s="78"/>
      <c r="E57" s="78"/>
      <c r="F57" s="78"/>
      <c r="G57" s="78"/>
      <c r="H57" s="78"/>
      <c r="I57" s="79">
        <f t="shared" si="0"/>
        <v>0</v>
      </c>
      <c r="J57" s="78" t="s">
        <v>292</v>
      </c>
      <c r="K57" s="79">
        <f t="shared" si="1"/>
        <v>0</v>
      </c>
      <c r="M57" s="78"/>
      <c r="N57" s="78"/>
    </row>
    <row r="58" spans="1:14" s="10" customFormat="1" x14ac:dyDescent="0.4">
      <c r="A58" s="124" t="s">
        <v>529</v>
      </c>
      <c r="B58" s="12" t="s">
        <v>183</v>
      </c>
      <c r="C58" s="82"/>
      <c r="D58" s="78"/>
      <c r="E58" s="78"/>
      <c r="F58" s="78"/>
      <c r="G58" s="78"/>
      <c r="H58" s="78"/>
      <c r="I58" s="79">
        <f t="shared" si="0"/>
        <v>0</v>
      </c>
      <c r="J58" s="78" t="s">
        <v>292</v>
      </c>
      <c r="K58" s="79">
        <f t="shared" si="1"/>
        <v>0</v>
      </c>
      <c r="M58" s="78"/>
      <c r="N58" s="78"/>
    </row>
    <row r="59" spans="1:14" s="10" customFormat="1" x14ac:dyDescent="0.4">
      <c r="A59" s="124" t="s">
        <v>530</v>
      </c>
      <c r="B59" s="12" t="s">
        <v>256</v>
      </c>
      <c r="C59" s="82"/>
      <c r="D59" s="78"/>
      <c r="E59" s="78"/>
      <c r="F59" s="78"/>
      <c r="G59" s="78"/>
      <c r="H59" s="78"/>
      <c r="I59" s="79">
        <f t="shared" si="0"/>
        <v>0</v>
      </c>
      <c r="J59" s="78" t="s">
        <v>292</v>
      </c>
      <c r="K59" s="79">
        <f t="shared" si="1"/>
        <v>0</v>
      </c>
      <c r="M59" s="78"/>
      <c r="N59" s="78"/>
    </row>
    <row r="60" spans="1:14" s="10" customFormat="1" x14ac:dyDescent="0.4">
      <c r="A60" s="124" t="s">
        <v>531</v>
      </c>
      <c r="B60" s="12" t="s">
        <v>184</v>
      </c>
      <c r="C60" s="82"/>
      <c r="D60" s="78"/>
      <c r="E60" s="78"/>
      <c r="F60" s="78"/>
      <c r="G60" s="78"/>
      <c r="H60" s="78"/>
      <c r="I60" s="79">
        <f t="shared" si="0"/>
        <v>0</v>
      </c>
      <c r="J60" s="78" t="s">
        <v>292</v>
      </c>
      <c r="K60" s="79">
        <f t="shared" si="1"/>
        <v>0</v>
      </c>
      <c r="M60" s="78"/>
      <c r="N60" s="78"/>
    </row>
    <row r="61" spans="1:14" s="10" customFormat="1" x14ac:dyDescent="0.4">
      <c r="A61" s="124" t="s">
        <v>532</v>
      </c>
      <c r="B61" s="12" t="s">
        <v>185</v>
      </c>
      <c r="C61" s="82"/>
      <c r="D61" s="78"/>
      <c r="E61" s="78"/>
      <c r="F61" s="78"/>
      <c r="G61" s="78"/>
      <c r="H61" s="78"/>
      <c r="I61" s="79">
        <f t="shared" si="0"/>
        <v>0</v>
      </c>
      <c r="J61" s="78" t="s">
        <v>289</v>
      </c>
      <c r="K61" s="79">
        <f t="shared" si="1"/>
        <v>0</v>
      </c>
      <c r="M61" s="78"/>
      <c r="N61" s="78"/>
    </row>
    <row r="62" spans="1:14" s="10" customFormat="1" x14ac:dyDescent="0.4">
      <c r="A62" s="124" t="s">
        <v>533</v>
      </c>
      <c r="B62" s="12" t="s">
        <v>186</v>
      </c>
      <c r="C62" s="82"/>
      <c r="D62" s="78"/>
      <c r="E62" s="78"/>
      <c r="F62" s="78"/>
      <c r="G62" s="78"/>
      <c r="H62" s="78"/>
      <c r="I62" s="79">
        <f t="shared" si="0"/>
        <v>0</v>
      </c>
      <c r="J62" s="78" t="s">
        <v>292</v>
      </c>
      <c r="K62" s="79">
        <f t="shared" si="1"/>
        <v>0</v>
      </c>
      <c r="M62" s="78"/>
      <c r="N62" s="78"/>
    </row>
    <row r="63" spans="1:14" s="10" customFormat="1" x14ac:dyDescent="0.4">
      <c r="A63" s="124" t="s">
        <v>534</v>
      </c>
      <c r="B63" s="12" t="s">
        <v>187</v>
      </c>
      <c r="C63" s="82"/>
      <c r="D63" s="78"/>
      <c r="E63" s="78"/>
      <c r="F63" s="78"/>
      <c r="G63" s="78"/>
      <c r="H63" s="78"/>
      <c r="I63" s="79">
        <f t="shared" si="0"/>
        <v>0</v>
      </c>
      <c r="J63" s="78" t="s">
        <v>292</v>
      </c>
      <c r="K63" s="79">
        <f t="shared" si="1"/>
        <v>0</v>
      </c>
      <c r="M63" s="78"/>
      <c r="N63" s="78"/>
    </row>
    <row r="64" spans="1:14" s="10" customFormat="1" x14ac:dyDescent="0.4">
      <c r="A64" s="124" t="s">
        <v>535</v>
      </c>
      <c r="B64" s="12" t="s">
        <v>188</v>
      </c>
      <c r="C64" s="82"/>
      <c r="D64" s="78"/>
      <c r="E64" s="78"/>
      <c r="F64" s="78"/>
      <c r="G64" s="78"/>
      <c r="H64" s="78"/>
      <c r="I64" s="79">
        <f t="shared" si="0"/>
        <v>0</v>
      </c>
      <c r="J64" s="78" t="s">
        <v>292</v>
      </c>
      <c r="K64" s="79">
        <f t="shared" si="1"/>
        <v>0</v>
      </c>
      <c r="M64" s="78"/>
      <c r="N64" s="78"/>
    </row>
    <row r="65" spans="1:14" s="10" customFormat="1" x14ac:dyDescent="0.4">
      <c r="A65" s="124" t="s">
        <v>536</v>
      </c>
      <c r="B65" s="12" t="s">
        <v>189</v>
      </c>
      <c r="C65" s="82"/>
      <c r="D65" s="78"/>
      <c r="E65" s="78"/>
      <c r="F65" s="78"/>
      <c r="G65" s="78"/>
      <c r="H65" s="78"/>
      <c r="I65" s="79">
        <f t="shared" si="0"/>
        <v>0</v>
      </c>
      <c r="J65" s="78" t="s">
        <v>292</v>
      </c>
      <c r="K65" s="79">
        <f t="shared" si="1"/>
        <v>0</v>
      </c>
      <c r="M65" s="78"/>
      <c r="N65" s="78"/>
    </row>
    <row r="66" spans="1:14" s="10" customFormat="1" x14ac:dyDescent="0.4">
      <c r="A66" s="124" t="s">
        <v>537</v>
      </c>
      <c r="B66" s="12" t="s">
        <v>190</v>
      </c>
      <c r="C66" s="82"/>
      <c r="D66" s="78"/>
      <c r="E66" s="78"/>
      <c r="F66" s="78"/>
      <c r="G66" s="78"/>
      <c r="H66" s="78"/>
      <c r="I66" s="79">
        <f t="shared" si="0"/>
        <v>0</v>
      </c>
      <c r="J66" s="78" t="s">
        <v>292</v>
      </c>
      <c r="K66" s="79">
        <f t="shared" si="1"/>
        <v>0</v>
      </c>
      <c r="M66" s="78"/>
      <c r="N66" s="78"/>
    </row>
    <row r="67" spans="1:14" s="10" customFormat="1" x14ac:dyDescent="0.4">
      <c r="A67" s="100" t="s">
        <v>785</v>
      </c>
      <c r="B67" s="100" t="s">
        <v>616</v>
      </c>
      <c r="C67" s="82"/>
      <c r="D67" s="78"/>
      <c r="E67" s="78"/>
      <c r="F67" s="78"/>
      <c r="G67" s="78"/>
      <c r="H67" s="78"/>
      <c r="I67" s="79">
        <f t="shared" ref="I67" si="3">SUM(C67:H67)</f>
        <v>0</v>
      </c>
      <c r="J67" s="78" t="s">
        <v>292</v>
      </c>
      <c r="K67" s="79">
        <f t="shared" si="1"/>
        <v>0</v>
      </c>
      <c r="M67" s="78"/>
      <c r="N67" s="78"/>
    </row>
    <row r="68" spans="1:14" s="10" customFormat="1" x14ac:dyDescent="0.4">
      <c r="A68" s="124" t="s">
        <v>538</v>
      </c>
      <c r="B68" s="12" t="s">
        <v>191</v>
      </c>
      <c r="C68" s="82"/>
      <c r="D68" s="78"/>
      <c r="E68" s="78"/>
      <c r="F68" s="78"/>
      <c r="G68" s="78"/>
      <c r="H68" s="78"/>
      <c r="I68" s="79">
        <f t="shared" si="0"/>
        <v>0</v>
      </c>
      <c r="J68" s="78" t="s">
        <v>292</v>
      </c>
      <c r="K68" s="79">
        <f t="shared" si="1"/>
        <v>0</v>
      </c>
      <c r="M68" s="78"/>
      <c r="N68" s="78"/>
    </row>
    <row r="69" spans="1:14" s="10" customFormat="1" x14ac:dyDescent="0.4">
      <c r="A69" s="124" t="s">
        <v>539</v>
      </c>
      <c r="B69" s="12" t="s">
        <v>192</v>
      </c>
      <c r="C69" s="82"/>
      <c r="D69" s="78"/>
      <c r="E69" s="78"/>
      <c r="F69" s="78"/>
      <c r="G69" s="78"/>
      <c r="H69" s="78"/>
      <c r="I69" s="79">
        <f t="shared" si="0"/>
        <v>0</v>
      </c>
      <c r="J69" s="78" t="s">
        <v>292</v>
      </c>
      <c r="K69" s="79">
        <f t="shared" si="1"/>
        <v>0</v>
      </c>
      <c r="M69" s="78"/>
      <c r="N69" s="78"/>
    </row>
    <row r="70" spans="1:14" s="10" customFormat="1" x14ac:dyDescent="0.4">
      <c r="A70" s="124" t="s">
        <v>540</v>
      </c>
      <c r="B70" s="12" t="s">
        <v>193</v>
      </c>
      <c r="C70" s="82"/>
      <c r="D70" s="78"/>
      <c r="E70" s="78"/>
      <c r="F70" s="78"/>
      <c r="G70" s="78"/>
      <c r="H70" s="78"/>
      <c r="I70" s="79">
        <f t="shared" si="0"/>
        <v>0</v>
      </c>
      <c r="J70" s="78" t="s">
        <v>292</v>
      </c>
      <c r="K70" s="79">
        <f t="shared" si="1"/>
        <v>0</v>
      </c>
      <c r="M70" s="78"/>
      <c r="N70" s="78"/>
    </row>
    <row r="71" spans="1:14" s="10" customFormat="1" x14ac:dyDescent="0.4">
      <c r="A71" s="124" t="s">
        <v>541</v>
      </c>
      <c r="B71" s="12" t="s">
        <v>194</v>
      </c>
      <c r="C71" s="82"/>
      <c r="D71" s="78"/>
      <c r="E71" s="78"/>
      <c r="F71" s="78"/>
      <c r="G71" s="78"/>
      <c r="H71" s="78"/>
      <c r="I71" s="79">
        <f t="shared" si="0"/>
        <v>0</v>
      </c>
      <c r="J71" s="78" t="s">
        <v>292</v>
      </c>
      <c r="K71" s="79">
        <f t="shared" si="1"/>
        <v>0</v>
      </c>
      <c r="M71" s="78"/>
      <c r="N71" s="78"/>
    </row>
    <row r="72" spans="1:14" s="10" customFormat="1" x14ac:dyDescent="0.4">
      <c r="A72" s="124" t="s">
        <v>542</v>
      </c>
      <c r="B72" s="12" t="s">
        <v>195</v>
      </c>
      <c r="C72" s="82"/>
      <c r="D72" s="78"/>
      <c r="E72" s="78"/>
      <c r="F72" s="78"/>
      <c r="G72" s="78"/>
      <c r="H72" s="78"/>
      <c r="I72" s="79">
        <f t="shared" si="0"/>
        <v>0</v>
      </c>
      <c r="J72" s="78" t="s">
        <v>292</v>
      </c>
      <c r="K72" s="79">
        <f t="shared" si="1"/>
        <v>0</v>
      </c>
      <c r="M72" s="78"/>
      <c r="N72" s="78"/>
    </row>
    <row r="73" spans="1:14" s="10" customFormat="1" x14ac:dyDescent="0.4">
      <c r="A73" s="124" t="s">
        <v>543</v>
      </c>
      <c r="B73" s="12" t="s">
        <v>196</v>
      </c>
      <c r="C73" s="82"/>
      <c r="D73" s="78"/>
      <c r="E73" s="78"/>
      <c r="F73" s="78"/>
      <c r="G73" s="78"/>
      <c r="H73" s="78"/>
      <c r="I73" s="79">
        <f t="shared" si="0"/>
        <v>0</v>
      </c>
      <c r="J73" s="78" t="s">
        <v>292</v>
      </c>
      <c r="K73" s="79">
        <f t="shared" si="1"/>
        <v>0</v>
      </c>
      <c r="M73" s="78"/>
      <c r="N73" s="78"/>
    </row>
    <row r="74" spans="1:14" s="10" customFormat="1" x14ac:dyDescent="0.4">
      <c r="A74" s="124" t="s">
        <v>893</v>
      </c>
      <c r="B74" s="12" t="s">
        <v>894</v>
      </c>
      <c r="C74" s="82"/>
      <c r="D74" s="78"/>
      <c r="E74" s="78"/>
      <c r="F74" s="78"/>
      <c r="G74" s="78"/>
      <c r="H74" s="78"/>
      <c r="I74" s="79">
        <f t="shared" ref="I74:I137" si="4">SUM(C74:H74)</f>
        <v>0</v>
      </c>
      <c r="J74" s="78" t="s">
        <v>292</v>
      </c>
      <c r="K74" s="79">
        <f t="shared" ref="K74:K137" si="5">I74*1</f>
        <v>0</v>
      </c>
      <c r="M74" s="78"/>
      <c r="N74" s="78"/>
    </row>
    <row r="75" spans="1:14" s="10" customFormat="1" x14ac:dyDescent="0.4">
      <c r="A75" s="124" t="s">
        <v>544</v>
      </c>
      <c r="B75" s="12" t="s">
        <v>197</v>
      </c>
      <c r="C75" s="82"/>
      <c r="D75" s="78"/>
      <c r="E75" s="78"/>
      <c r="F75" s="78"/>
      <c r="G75" s="78"/>
      <c r="H75" s="78"/>
      <c r="I75" s="79">
        <f t="shared" si="4"/>
        <v>0</v>
      </c>
      <c r="J75" s="78" t="s">
        <v>290</v>
      </c>
      <c r="K75" s="79">
        <f t="shared" si="5"/>
        <v>0</v>
      </c>
      <c r="M75" s="78"/>
      <c r="N75" s="78"/>
    </row>
    <row r="76" spans="1:14" s="10" customFormat="1" x14ac:dyDescent="0.4">
      <c r="A76" s="124" t="s">
        <v>545</v>
      </c>
      <c r="B76" s="12" t="s">
        <v>198</v>
      </c>
      <c r="C76" s="82"/>
      <c r="D76" s="78"/>
      <c r="E76" s="78"/>
      <c r="F76" s="78"/>
      <c r="G76" s="78"/>
      <c r="H76" s="78"/>
      <c r="I76" s="79">
        <f t="shared" si="4"/>
        <v>0</v>
      </c>
      <c r="J76" s="78" t="s">
        <v>292</v>
      </c>
      <c r="K76" s="79">
        <f t="shared" si="5"/>
        <v>0</v>
      </c>
      <c r="M76" s="78"/>
      <c r="N76" s="78"/>
    </row>
    <row r="77" spans="1:14" s="10" customFormat="1" x14ac:dyDescent="0.4">
      <c r="A77" s="124" t="s">
        <v>546</v>
      </c>
      <c r="B77" s="12" t="s">
        <v>199</v>
      </c>
      <c r="C77" s="82"/>
      <c r="D77" s="78"/>
      <c r="E77" s="78"/>
      <c r="F77" s="78"/>
      <c r="G77" s="78"/>
      <c r="H77" s="78"/>
      <c r="I77" s="79">
        <f t="shared" si="4"/>
        <v>0</v>
      </c>
      <c r="J77" s="78" t="s">
        <v>292</v>
      </c>
      <c r="K77" s="79">
        <f t="shared" si="5"/>
        <v>0</v>
      </c>
      <c r="M77" s="78"/>
      <c r="N77" s="78"/>
    </row>
    <row r="78" spans="1:14" s="10" customFormat="1" x14ac:dyDescent="0.4">
      <c r="A78" s="124" t="s">
        <v>547</v>
      </c>
      <c r="B78" s="12" t="s">
        <v>200</v>
      </c>
      <c r="C78" s="82"/>
      <c r="D78" s="78"/>
      <c r="E78" s="78"/>
      <c r="F78" s="78"/>
      <c r="G78" s="78"/>
      <c r="H78" s="78"/>
      <c r="I78" s="79">
        <f t="shared" si="4"/>
        <v>0</v>
      </c>
      <c r="J78" s="78" t="s">
        <v>292</v>
      </c>
      <c r="K78" s="79">
        <f t="shared" si="5"/>
        <v>0</v>
      </c>
      <c r="M78" s="78"/>
      <c r="N78" s="78"/>
    </row>
    <row r="79" spans="1:14" s="10" customFormat="1" x14ac:dyDescent="0.4">
      <c r="A79" s="100" t="s">
        <v>874</v>
      </c>
      <c r="B79" s="100" t="s">
        <v>875</v>
      </c>
      <c r="C79" s="82"/>
      <c r="D79" s="78"/>
      <c r="E79" s="78"/>
      <c r="F79" s="78"/>
      <c r="G79" s="78"/>
      <c r="H79" s="78"/>
      <c r="I79" s="79">
        <f t="shared" si="4"/>
        <v>0</v>
      </c>
      <c r="J79" s="78" t="s">
        <v>292</v>
      </c>
      <c r="K79" s="79">
        <f t="shared" si="5"/>
        <v>0</v>
      </c>
      <c r="M79" s="78"/>
      <c r="N79" s="78"/>
    </row>
    <row r="80" spans="1:14" s="10" customFormat="1" x14ac:dyDescent="0.4">
      <c r="A80" s="100" t="s">
        <v>548</v>
      </c>
      <c r="B80" s="100" t="s">
        <v>201</v>
      </c>
      <c r="C80" s="82"/>
      <c r="D80" s="78"/>
      <c r="E80" s="78"/>
      <c r="F80" s="78"/>
      <c r="G80" s="78"/>
      <c r="H80" s="78"/>
      <c r="I80" s="79">
        <f t="shared" si="4"/>
        <v>0</v>
      </c>
      <c r="J80" s="78" t="s">
        <v>292</v>
      </c>
      <c r="K80" s="79">
        <f t="shared" si="5"/>
        <v>0</v>
      </c>
      <c r="M80" s="78"/>
      <c r="N80" s="78"/>
    </row>
    <row r="81" spans="1:14" s="10" customFormat="1" x14ac:dyDescent="0.4">
      <c r="A81" s="124" t="s">
        <v>549</v>
      </c>
      <c r="B81" s="12" t="s">
        <v>202</v>
      </c>
      <c r="C81" s="82"/>
      <c r="D81" s="78"/>
      <c r="E81" s="78"/>
      <c r="F81" s="78"/>
      <c r="G81" s="78"/>
      <c r="H81" s="78"/>
      <c r="I81" s="79">
        <f t="shared" si="4"/>
        <v>0</v>
      </c>
      <c r="J81" s="78" t="s">
        <v>292</v>
      </c>
      <c r="K81" s="79">
        <f t="shared" si="5"/>
        <v>0</v>
      </c>
      <c r="M81" s="78"/>
      <c r="N81" s="78"/>
    </row>
    <row r="82" spans="1:14" s="10" customFormat="1" x14ac:dyDescent="0.4">
      <c r="A82" s="124" t="s">
        <v>550</v>
      </c>
      <c r="B82" s="12" t="s">
        <v>203</v>
      </c>
      <c r="C82" s="82"/>
      <c r="D82" s="78"/>
      <c r="E82" s="78"/>
      <c r="F82" s="78"/>
      <c r="G82" s="78"/>
      <c r="H82" s="78"/>
      <c r="I82" s="79">
        <f t="shared" si="4"/>
        <v>0</v>
      </c>
      <c r="J82" s="78" t="s">
        <v>292</v>
      </c>
      <c r="K82" s="79">
        <f t="shared" si="5"/>
        <v>0</v>
      </c>
      <c r="M82" s="78"/>
      <c r="N82" s="78"/>
    </row>
    <row r="83" spans="1:14" s="10" customFormat="1" x14ac:dyDescent="0.4">
      <c r="A83" s="124" t="s">
        <v>551</v>
      </c>
      <c r="B83" s="12" t="s">
        <v>204</v>
      </c>
      <c r="C83" s="82"/>
      <c r="D83" s="78"/>
      <c r="E83" s="78"/>
      <c r="F83" s="78"/>
      <c r="G83" s="78"/>
      <c r="H83" s="78"/>
      <c r="I83" s="79">
        <f t="shared" si="4"/>
        <v>0</v>
      </c>
      <c r="J83" s="78" t="s">
        <v>292</v>
      </c>
      <c r="K83" s="79">
        <f t="shared" si="5"/>
        <v>0</v>
      </c>
      <c r="M83" s="78"/>
      <c r="N83" s="78"/>
    </row>
    <row r="84" spans="1:14" s="10" customFormat="1" x14ac:dyDescent="0.4">
      <c r="A84" s="124" t="s">
        <v>552</v>
      </c>
      <c r="B84" s="12" t="s">
        <v>205</v>
      </c>
      <c r="C84" s="82"/>
      <c r="D84" s="78"/>
      <c r="E84" s="78"/>
      <c r="F84" s="78"/>
      <c r="G84" s="78"/>
      <c r="H84" s="78"/>
      <c r="I84" s="79">
        <f t="shared" si="4"/>
        <v>0</v>
      </c>
      <c r="J84" s="78" t="s">
        <v>292</v>
      </c>
      <c r="K84" s="79">
        <f t="shared" si="5"/>
        <v>0</v>
      </c>
      <c r="M84" s="78"/>
      <c r="N84" s="78"/>
    </row>
    <row r="85" spans="1:14" s="10" customFormat="1" x14ac:dyDescent="0.4">
      <c r="A85" s="124" t="s">
        <v>553</v>
      </c>
      <c r="B85" s="12" t="s">
        <v>206</v>
      </c>
      <c r="C85" s="82"/>
      <c r="D85" s="78"/>
      <c r="E85" s="78"/>
      <c r="F85" s="78"/>
      <c r="G85" s="78"/>
      <c r="H85" s="78"/>
      <c r="I85" s="79">
        <f t="shared" si="4"/>
        <v>0</v>
      </c>
      <c r="J85" s="78" t="s">
        <v>292</v>
      </c>
      <c r="K85" s="79">
        <f t="shared" si="5"/>
        <v>0</v>
      </c>
      <c r="M85" s="78"/>
      <c r="N85" s="78"/>
    </row>
    <row r="86" spans="1:14" s="10" customFormat="1" x14ac:dyDescent="0.4">
      <c r="A86" s="100" t="s">
        <v>799</v>
      </c>
      <c r="B86" s="100" t="s">
        <v>800</v>
      </c>
      <c r="C86" s="82"/>
      <c r="D86" s="78"/>
      <c r="E86" s="78"/>
      <c r="F86" s="78"/>
      <c r="G86" s="78"/>
      <c r="H86" s="78"/>
      <c r="I86" s="79">
        <f t="shared" si="4"/>
        <v>0</v>
      </c>
      <c r="J86" s="78" t="s">
        <v>292</v>
      </c>
      <c r="K86" s="79">
        <f t="shared" si="5"/>
        <v>0</v>
      </c>
      <c r="M86" s="78"/>
      <c r="N86" s="78"/>
    </row>
    <row r="87" spans="1:14" s="10" customFormat="1" x14ac:dyDescent="0.4">
      <c r="A87" s="124" t="s">
        <v>554</v>
      </c>
      <c r="B87" s="12" t="s">
        <v>207</v>
      </c>
      <c r="C87" s="82"/>
      <c r="D87" s="78"/>
      <c r="E87" s="78"/>
      <c r="F87" s="78"/>
      <c r="G87" s="78"/>
      <c r="H87" s="78"/>
      <c r="I87" s="79">
        <f t="shared" si="4"/>
        <v>0</v>
      </c>
      <c r="J87" s="78" t="s">
        <v>299</v>
      </c>
      <c r="K87" s="79">
        <f t="shared" si="5"/>
        <v>0</v>
      </c>
      <c r="M87" s="78"/>
      <c r="N87" s="78"/>
    </row>
    <row r="88" spans="1:14" s="10" customFormat="1" x14ac:dyDescent="0.4">
      <c r="A88" s="124" t="s">
        <v>555</v>
      </c>
      <c r="B88" s="12" t="s">
        <v>208</v>
      </c>
      <c r="C88" s="82"/>
      <c r="D88" s="78"/>
      <c r="E88" s="78"/>
      <c r="F88" s="78"/>
      <c r="G88" s="78"/>
      <c r="H88" s="78"/>
      <c r="I88" s="79">
        <f t="shared" si="4"/>
        <v>0</v>
      </c>
      <c r="J88" s="78" t="s">
        <v>292</v>
      </c>
      <c r="K88" s="79">
        <f t="shared" si="5"/>
        <v>0</v>
      </c>
      <c r="M88" s="78"/>
      <c r="N88" s="78"/>
    </row>
    <row r="89" spans="1:14" s="10" customFormat="1" x14ac:dyDescent="0.4">
      <c r="A89" s="124" t="s">
        <v>556</v>
      </c>
      <c r="B89" s="12" t="s">
        <v>209</v>
      </c>
      <c r="C89" s="82"/>
      <c r="D89" s="78"/>
      <c r="E89" s="78"/>
      <c r="F89" s="78"/>
      <c r="G89" s="78"/>
      <c r="H89" s="78"/>
      <c r="I89" s="79">
        <f t="shared" si="4"/>
        <v>0</v>
      </c>
      <c r="J89" s="78" t="s">
        <v>292</v>
      </c>
      <c r="K89" s="79">
        <f t="shared" si="5"/>
        <v>0</v>
      </c>
      <c r="M89" s="78"/>
      <c r="N89" s="78"/>
    </row>
    <row r="90" spans="1:14" s="10" customFormat="1" x14ac:dyDescent="0.4">
      <c r="A90" s="124" t="s">
        <v>557</v>
      </c>
      <c r="B90" s="12" t="s">
        <v>210</v>
      </c>
      <c r="C90" s="82"/>
      <c r="D90" s="78"/>
      <c r="E90" s="78"/>
      <c r="F90" s="78"/>
      <c r="G90" s="78"/>
      <c r="H90" s="78"/>
      <c r="I90" s="79">
        <f t="shared" si="4"/>
        <v>0</v>
      </c>
      <c r="J90" s="78" t="s">
        <v>292</v>
      </c>
      <c r="K90" s="79">
        <f t="shared" si="5"/>
        <v>0</v>
      </c>
      <c r="M90" s="78"/>
      <c r="N90" s="78"/>
    </row>
    <row r="91" spans="1:14" s="10" customFormat="1" x14ac:dyDescent="0.4">
      <c r="A91" s="124" t="s">
        <v>558</v>
      </c>
      <c r="B91" s="12" t="s">
        <v>211</v>
      </c>
      <c r="C91" s="82"/>
      <c r="D91" s="78"/>
      <c r="E91" s="78"/>
      <c r="F91" s="78"/>
      <c r="G91" s="78"/>
      <c r="H91" s="78"/>
      <c r="I91" s="79">
        <f t="shared" si="4"/>
        <v>0</v>
      </c>
      <c r="J91" s="78" t="s">
        <v>292</v>
      </c>
      <c r="K91" s="79">
        <f t="shared" si="5"/>
        <v>0</v>
      </c>
      <c r="M91" s="78"/>
      <c r="N91" s="78"/>
    </row>
    <row r="92" spans="1:14" s="10" customFormat="1" x14ac:dyDescent="0.4">
      <c r="A92" s="124" t="s">
        <v>559</v>
      </c>
      <c r="B92" s="12" t="s">
        <v>212</v>
      </c>
      <c r="C92" s="82"/>
      <c r="D92" s="78"/>
      <c r="E92" s="78"/>
      <c r="F92" s="78"/>
      <c r="G92" s="78"/>
      <c r="H92" s="78"/>
      <c r="I92" s="79">
        <f t="shared" si="4"/>
        <v>0</v>
      </c>
      <c r="J92" s="78" t="s">
        <v>292</v>
      </c>
      <c r="K92" s="79">
        <f t="shared" si="5"/>
        <v>0</v>
      </c>
      <c r="M92" s="78"/>
      <c r="N92" s="78"/>
    </row>
    <row r="93" spans="1:14" s="10" customFormat="1" x14ac:dyDescent="0.4">
      <c r="A93" s="124" t="s">
        <v>560</v>
      </c>
      <c r="B93" s="12" t="s">
        <v>213</v>
      </c>
      <c r="C93" s="82"/>
      <c r="D93" s="78"/>
      <c r="E93" s="78"/>
      <c r="F93" s="78"/>
      <c r="G93" s="78"/>
      <c r="H93" s="78"/>
      <c r="I93" s="79">
        <f t="shared" si="4"/>
        <v>0</v>
      </c>
      <c r="J93" s="78" t="s">
        <v>292</v>
      </c>
      <c r="K93" s="79">
        <f t="shared" si="5"/>
        <v>0</v>
      </c>
      <c r="M93" s="78"/>
      <c r="N93" s="78"/>
    </row>
    <row r="94" spans="1:14" s="10" customFormat="1" x14ac:dyDescent="0.4">
      <c r="A94" s="100" t="s">
        <v>561</v>
      </c>
      <c r="B94" s="100" t="s">
        <v>214</v>
      </c>
      <c r="C94" s="82"/>
      <c r="D94" s="78"/>
      <c r="E94" s="78"/>
      <c r="F94" s="78"/>
      <c r="G94" s="78"/>
      <c r="H94" s="78"/>
      <c r="I94" s="79">
        <f t="shared" si="4"/>
        <v>0</v>
      </c>
      <c r="J94" s="78" t="s">
        <v>292</v>
      </c>
      <c r="K94" s="79">
        <f t="shared" si="5"/>
        <v>0</v>
      </c>
      <c r="M94" s="78"/>
      <c r="N94" s="78"/>
    </row>
    <row r="95" spans="1:14" s="10" customFormat="1" x14ac:dyDescent="0.4">
      <c r="A95" s="100" t="s">
        <v>641</v>
      </c>
      <c r="B95" s="100" t="s">
        <v>642</v>
      </c>
      <c r="C95" s="82"/>
      <c r="D95" s="78"/>
      <c r="E95" s="78"/>
      <c r="F95" s="78"/>
      <c r="G95" s="78"/>
      <c r="H95" s="78"/>
      <c r="I95" s="79">
        <f t="shared" si="4"/>
        <v>0</v>
      </c>
      <c r="J95" s="78" t="s">
        <v>292</v>
      </c>
      <c r="K95" s="79">
        <f t="shared" si="5"/>
        <v>0</v>
      </c>
      <c r="M95" s="78"/>
      <c r="N95" s="78"/>
    </row>
    <row r="96" spans="1:14" s="10" customFormat="1" x14ac:dyDescent="0.4">
      <c r="A96" s="124" t="s">
        <v>562</v>
      </c>
      <c r="B96" s="12" t="s">
        <v>257</v>
      </c>
      <c r="C96" s="82"/>
      <c r="D96" s="78"/>
      <c r="E96" s="78"/>
      <c r="F96" s="78"/>
      <c r="G96" s="78"/>
      <c r="H96" s="78"/>
      <c r="I96" s="79">
        <f t="shared" si="4"/>
        <v>0</v>
      </c>
      <c r="J96" s="78" t="s">
        <v>292</v>
      </c>
      <c r="K96" s="79">
        <f t="shared" si="5"/>
        <v>0</v>
      </c>
      <c r="M96" s="78"/>
      <c r="N96" s="78"/>
    </row>
    <row r="97" spans="1:17" s="10" customFormat="1" x14ac:dyDescent="0.4">
      <c r="A97" s="68" t="s">
        <v>563</v>
      </c>
      <c r="B97" s="12" t="s">
        <v>215</v>
      </c>
      <c r="C97" s="82"/>
      <c r="D97" s="78"/>
      <c r="E97" s="78"/>
      <c r="F97" s="78"/>
      <c r="G97" s="78"/>
      <c r="H97" s="78"/>
      <c r="I97" s="79">
        <f t="shared" si="4"/>
        <v>0</v>
      </c>
      <c r="J97" s="78" t="s">
        <v>292</v>
      </c>
      <c r="K97" s="79">
        <f t="shared" si="5"/>
        <v>0</v>
      </c>
      <c r="M97" s="78"/>
      <c r="N97" s="78"/>
    </row>
    <row r="98" spans="1:17" s="10" customFormat="1" x14ac:dyDescent="0.4">
      <c r="A98" s="71" t="s">
        <v>624</v>
      </c>
      <c r="B98" s="71" t="s">
        <v>625</v>
      </c>
      <c r="C98" s="82"/>
      <c r="D98" s="78"/>
      <c r="E98" s="78"/>
      <c r="F98" s="78"/>
      <c r="G98" s="78"/>
      <c r="H98" s="78"/>
      <c r="I98" s="79">
        <f t="shared" si="4"/>
        <v>0</v>
      </c>
      <c r="J98" s="78" t="s">
        <v>292</v>
      </c>
      <c r="K98" s="79">
        <f t="shared" si="5"/>
        <v>0</v>
      </c>
      <c r="M98" s="78"/>
      <c r="N98" s="78"/>
    </row>
    <row r="99" spans="1:17" s="10" customFormat="1" x14ac:dyDescent="0.4">
      <c r="A99" s="124" t="s">
        <v>564</v>
      </c>
      <c r="B99" s="12" t="s">
        <v>216</v>
      </c>
      <c r="C99" s="82"/>
      <c r="D99" s="78"/>
      <c r="E99" s="78"/>
      <c r="F99" s="78"/>
      <c r="G99" s="78"/>
      <c r="H99" s="78"/>
      <c r="I99" s="79">
        <f t="shared" si="4"/>
        <v>0</v>
      </c>
      <c r="J99" s="78" t="s">
        <v>292</v>
      </c>
      <c r="K99" s="79">
        <f t="shared" si="5"/>
        <v>0</v>
      </c>
      <c r="M99" s="78"/>
      <c r="N99" s="78"/>
    </row>
    <row r="100" spans="1:17" s="10" customFormat="1" x14ac:dyDescent="0.4">
      <c r="A100" s="124" t="s">
        <v>565</v>
      </c>
      <c r="B100" s="12" t="s">
        <v>217</v>
      </c>
      <c r="C100" s="82"/>
      <c r="D100" s="78"/>
      <c r="E100" s="78"/>
      <c r="F100" s="78"/>
      <c r="G100" s="78"/>
      <c r="H100" s="78"/>
      <c r="I100" s="79">
        <f t="shared" si="4"/>
        <v>0</v>
      </c>
      <c r="J100" s="78" t="s">
        <v>292</v>
      </c>
      <c r="K100" s="79">
        <f t="shared" si="5"/>
        <v>0</v>
      </c>
      <c r="M100" s="78"/>
      <c r="N100" s="78"/>
    </row>
    <row r="101" spans="1:17" s="10" customFormat="1" x14ac:dyDescent="0.4">
      <c r="A101" s="124" t="s">
        <v>566</v>
      </c>
      <c r="B101" s="12" t="s">
        <v>218</v>
      </c>
      <c r="C101" s="82"/>
      <c r="D101" s="78"/>
      <c r="E101" s="78"/>
      <c r="F101" s="78"/>
      <c r="G101" s="78"/>
      <c r="H101" s="78"/>
      <c r="I101" s="79">
        <f t="shared" si="4"/>
        <v>0</v>
      </c>
      <c r="J101" s="78" t="s">
        <v>292</v>
      </c>
      <c r="K101" s="79">
        <f t="shared" si="5"/>
        <v>0</v>
      </c>
      <c r="M101" s="78"/>
      <c r="N101" s="78"/>
    </row>
    <row r="102" spans="1:17" s="10" customFormat="1" x14ac:dyDescent="0.4">
      <c r="A102" s="124" t="s">
        <v>567</v>
      </c>
      <c r="B102" s="12" t="s">
        <v>219</v>
      </c>
      <c r="C102" s="82"/>
      <c r="D102" s="78"/>
      <c r="E102" s="78"/>
      <c r="F102" s="78"/>
      <c r="G102" s="78"/>
      <c r="H102" s="78"/>
      <c r="I102" s="79">
        <f t="shared" si="4"/>
        <v>0</v>
      </c>
      <c r="J102" s="78" t="s">
        <v>292</v>
      </c>
      <c r="K102" s="79">
        <f t="shared" si="5"/>
        <v>0</v>
      </c>
      <c r="M102" s="78"/>
      <c r="N102" s="78"/>
    </row>
    <row r="103" spans="1:17" s="10" customFormat="1" x14ac:dyDescent="0.4">
      <c r="A103" s="124" t="s">
        <v>568</v>
      </c>
      <c r="B103" s="12" t="s">
        <v>220</v>
      </c>
      <c r="C103" s="82"/>
      <c r="D103" s="78"/>
      <c r="E103" s="78"/>
      <c r="F103" s="78"/>
      <c r="G103" s="78"/>
      <c r="H103" s="78"/>
      <c r="I103" s="79">
        <f t="shared" si="4"/>
        <v>0</v>
      </c>
      <c r="J103" s="78" t="s">
        <v>292</v>
      </c>
      <c r="K103" s="79">
        <f t="shared" si="5"/>
        <v>0</v>
      </c>
      <c r="M103" s="78"/>
      <c r="N103" s="78"/>
    </row>
    <row r="104" spans="1:17" s="10" customFormat="1" x14ac:dyDescent="0.4">
      <c r="A104" s="124" t="s">
        <v>569</v>
      </c>
      <c r="B104" s="12" t="s">
        <v>221</v>
      </c>
      <c r="C104" s="82"/>
      <c r="D104" s="78"/>
      <c r="E104" s="78"/>
      <c r="F104" s="78"/>
      <c r="G104" s="78"/>
      <c r="H104" s="78"/>
      <c r="I104" s="79">
        <f t="shared" si="4"/>
        <v>0</v>
      </c>
      <c r="J104" s="78" t="s">
        <v>292</v>
      </c>
      <c r="K104" s="79">
        <f t="shared" si="5"/>
        <v>0</v>
      </c>
      <c r="M104" s="78"/>
      <c r="N104" s="78"/>
    </row>
    <row r="105" spans="1:17" s="10" customFormat="1" x14ac:dyDescent="0.4">
      <c r="A105" s="124" t="s">
        <v>570</v>
      </c>
      <c r="B105" s="12" t="s">
        <v>222</v>
      </c>
      <c r="C105" s="82"/>
      <c r="D105" s="78"/>
      <c r="E105" s="78"/>
      <c r="F105" s="78"/>
      <c r="G105" s="78"/>
      <c r="H105" s="78"/>
      <c r="I105" s="79">
        <f t="shared" si="4"/>
        <v>0</v>
      </c>
      <c r="J105" s="78" t="s">
        <v>292</v>
      </c>
      <c r="K105" s="79">
        <f t="shared" si="5"/>
        <v>0</v>
      </c>
      <c r="M105" s="78"/>
      <c r="N105" s="78"/>
    </row>
    <row r="106" spans="1:17" s="10" customFormat="1" x14ac:dyDescent="0.4">
      <c r="A106" s="124" t="s">
        <v>571</v>
      </c>
      <c r="B106" s="12" t="s">
        <v>223</v>
      </c>
      <c r="C106" s="82"/>
      <c r="D106" s="78"/>
      <c r="E106" s="78"/>
      <c r="F106" s="78"/>
      <c r="G106" s="78"/>
      <c r="H106" s="78"/>
      <c r="I106" s="79">
        <f t="shared" si="4"/>
        <v>0</v>
      </c>
      <c r="J106" s="78" t="s">
        <v>292</v>
      </c>
      <c r="K106" s="79">
        <f t="shared" si="5"/>
        <v>0</v>
      </c>
      <c r="M106" s="78"/>
      <c r="N106" s="78"/>
      <c r="P106" s="78"/>
      <c r="Q106" s="78"/>
    </row>
    <row r="107" spans="1:17" s="10" customFormat="1" x14ac:dyDescent="0.4">
      <c r="A107" s="124" t="s">
        <v>572</v>
      </c>
      <c r="B107" s="12" t="s">
        <v>224</v>
      </c>
      <c r="C107" s="82"/>
      <c r="D107" s="78"/>
      <c r="E107" s="78"/>
      <c r="F107" s="78"/>
      <c r="G107" s="78"/>
      <c r="H107" s="78"/>
      <c r="I107" s="79">
        <f t="shared" si="4"/>
        <v>0</v>
      </c>
      <c r="J107" s="78" t="s">
        <v>292</v>
      </c>
      <c r="K107" s="79">
        <f t="shared" si="5"/>
        <v>0</v>
      </c>
      <c r="M107" s="78"/>
      <c r="N107" s="78"/>
      <c r="P107" s="78"/>
      <c r="Q107" s="78"/>
    </row>
    <row r="108" spans="1:17" s="78" customFormat="1" x14ac:dyDescent="0.4">
      <c r="A108" s="124" t="s">
        <v>573</v>
      </c>
      <c r="B108" s="12" t="s">
        <v>225</v>
      </c>
      <c r="C108" s="82"/>
      <c r="I108" s="79">
        <f t="shared" si="4"/>
        <v>0</v>
      </c>
      <c r="J108" s="78" t="s">
        <v>292</v>
      </c>
      <c r="K108" s="79">
        <f t="shared" si="5"/>
        <v>0</v>
      </c>
      <c r="L108" s="10"/>
      <c r="O108" s="10"/>
      <c r="P108" s="10"/>
      <c r="Q108" s="10"/>
    </row>
    <row r="109" spans="1:17" s="78" customFormat="1" x14ac:dyDescent="0.4">
      <c r="A109" s="124" t="s">
        <v>574</v>
      </c>
      <c r="B109" s="12" t="s">
        <v>226</v>
      </c>
      <c r="C109" s="82"/>
      <c r="I109" s="79">
        <f t="shared" si="4"/>
        <v>0</v>
      </c>
      <c r="J109" s="78" t="s">
        <v>292</v>
      </c>
      <c r="K109" s="79">
        <f t="shared" si="5"/>
        <v>0</v>
      </c>
      <c r="L109" s="10"/>
      <c r="O109" s="10"/>
    </row>
    <row r="110" spans="1:17" s="10" customFormat="1" x14ac:dyDescent="0.4">
      <c r="A110" s="124" t="s">
        <v>575</v>
      </c>
      <c r="B110" s="12" t="s">
        <v>227</v>
      </c>
      <c r="C110" s="82"/>
      <c r="D110" s="78"/>
      <c r="E110" s="78"/>
      <c r="F110" s="78"/>
      <c r="G110" s="78"/>
      <c r="H110" s="78"/>
      <c r="I110" s="79">
        <f t="shared" si="4"/>
        <v>0</v>
      </c>
      <c r="J110" s="78" t="s">
        <v>292</v>
      </c>
      <c r="K110" s="79">
        <f t="shared" si="5"/>
        <v>0</v>
      </c>
      <c r="M110" s="78"/>
      <c r="N110" s="78"/>
    </row>
    <row r="111" spans="1:17" s="78" customFormat="1" x14ac:dyDescent="0.4">
      <c r="A111" s="124" t="s">
        <v>576</v>
      </c>
      <c r="B111" s="12" t="s">
        <v>228</v>
      </c>
      <c r="C111" s="82"/>
      <c r="I111" s="79">
        <f t="shared" si="4"/>
        <v>0</v>
      </c>
      <c r="J111" s="78" t="s">
        <v>291</v>
      </c>
      <c r="K111" s="79">
        <f t="shared" si="5"/>
        <v>0</v>
      </c>
      <c r="L111" s="10"/>
      <c r="O111" s="10"/>
      <c r="P111" s="10"/>
      <c r="Q111" s="10"/>
    </row>
    <row r="112" spans="1:17" s="10" customFormat="1" x14ac:dyDescent="0.4">
      <c r="A112" s="124" t="s">
        <v>577</v>
      </c>
      <c r="B112" s="12" t="s">
        <v>229</v>
      </c>
      <c r="C112" s="82"/>
      <c r="D112" s="78"/>
      <c r="E112" s="78"/>
      <c r="F112" s="78"/>
      <c r="G112" s="78"/>
      <c r="H112" s="78"/>
      <c r="I112" s="79">
        <f t="shared" si="4"/>
        <v>0</v>
      </c>
      <c r="J112" s="78" t="s">
        <v>292</v>
      </c>
      <c r="K112" s="79">
        <f t="shared" si="5"/>
        <v>0</v>
      </c>
      <c r="M112" s="78"/>
      <c r="N112" s="78"/>
    </row>
    <row r="113" spans="1:17" s="10" customFormat="1" x14ac:dyDescent="0.4">
      <c r="A113" s="124" t="s">
        <v>578</v>
      </c>
      <c r="B113" s="12" t="s">
        <v>230</v>
      </c>
      <c r="C113" s="82"/>
      <c r="D113" s="78"/>
      <c r="E113" s="78"/>
      <c r="F113" s="78"/>
      <c r="G113" s="78"/>
      <c r="H113" s="78"/>
      <c r="I113" s="79">
        <f t="shared" si="4"/>
        <v>0</v>
      </c>
      <c r="J113" s="78" t="s">
        <v>292</v>
      </c>
      <c r="K113" s="79">
        <f t="shared" si="5"/>
        <v>0</v>
      </c>
      <c r="M113" s="78"/>
      <c r="N113" s="78"/>
    </row>
    <row r="114" spans="1:17" s="10" customFormat="1" x14ac:dyDescent="0.4">
      <c r="A114" s="124" t="s">
        <v>579</v>
      </c>
      <c r="B114" s="12" t="s">
        <v>231</v>
      </c>
      <c r="C114" s="82"/>
      <c r="D114" s="78"/>
      <c r="E114" s="78"/>
      <c r="F114" s="78"/>
      <c r="G114" s="78"/>
      <c r="H114" s="78"/>
      <c r="I114" s="79">
        <f t="shared" si="4"/>
        <v>0</v>
      </c>
      <c r="J114" s="78" t="s">
        <v>288</v>
      </c>
      <c r="K114" s="79">
        <f t="shared" si="5"/>
        <v>0</v>
      </c>
      <c r="M114" s="78"/>
      <c r="N114" s="78"/>
    </row>
    <row r="115" spans="1:17" s="10" customFormat="1" x14ac:dyDescent="0.4">
      <c r="A115" s="124" t="s">
        <v>580</v>
      </c>
      <c r="B115" s="12" t="s">
        <v>232</v>
      </c>
      <c r="C115" s="82"/>
      <c r="D115" s="78"/>
      <c r="E115" s="78"/>
      <c r="F115" s="78"/>
      <c r="G115" s="78"/>
      <c r="H115" s="78"/>
      <c r="I115" s="79">
        <f t="shared" si="4"/>
        <v>0</v>
      </c>
      <c r="J115" s="78" t="s">
        <v>292</v>
      </c>
      <c r="K115" s="79">
        <f t="shared" si="5"/>
        <v>0</v>
      </c>
      <c r="M115" s="78"/>
      <c r="N115" s="78"/>
    </row>
    <row r="116" spans="1:17" s="10" customFormat="1" x14ac:dyDescent="0.4">
      <c r="A116" s="124" t="s">
        <v>581</v>
      </c>
      <c r="B116" s="12" t="s">
        <v>233</v>
      </c>
      <c r="C116" s="82"/>
      <c r="D116" s="78"/>
      <c r="E116" s="78"/>
      <c r="F116" s="78"/>
      <c r="G116" s="78"/>
      <c r="H116" s="78"/>
      <c r="I116" s="79">
        <f t="shared" si="4"/>
        <v>0</v>
      </c>
      <c r="J116" s="78" t="s">
        <v>292</v>
      </c>
      <c r="K116" s="79">
        <f t="shared" si="5"/>
        <v>0</v>
      </c>
      <c r="M116" s="78"/>
      <c r="N116" s="78"/>
    </row>
    <row r="117" spans="1:17" s="10" customFormat="1" x14ac:dyDescent="0.4">
      <c r="A117" s="124" t="s">
        <v>582</v>
      </c>
      <c r="B117" s="12" t="s">
        <v>234</v>
      </c>
      <c r="C117" s="82"/>
      <c r="D117" s="78"/>
      <c r="E117" s="78"/>
      <c r="F117" s="78"/>
      <c r="G117" s="78"/>
      <c r="H117" s="78"/>
      <c r="I117" s="79">
        <f t="shared" si="4"/>
        <v>0</v>
      </c>
      <c r="J117" s="78" t="s">
        <v>288</v>
      </c>
      <c r="K117" s="79">
        <f t="shared" si="5"/>
        <v>0</v>
      </c>
      <c r="M117" s="78"/>
      <c r="N117" s="78"/>
    </row>
    <row r="118" spans="1:17" s="10" customFormat="1" x14ac:dyDescent="0.4">
      <c r="A118" s="100" t="s">
        <v>869</v>
      </c>
      <c r="B118" s="100" t="s">
        <v>870</v>
      </c>
      <c r="C118" s="82"/>
      <c r="D118" s="78"/>
      <c r="E118" s="78"/>
      <c r="F118" s="78"/>
      <c r="G118" s="78"/>
      <c r="H118" s="78"/>
      <c r="I118" s="79">
        <f t="shared" si="4"/>
        <v>0</v>
      </c>
      <c r="J118" s="78" t="s">
        <v>292</v>
      </c>
      <c r="K118" s="79">
        <f t="shared" si="5"/>
        <v>0</v>
      </c>
      <c r="M118" s="78"/>
      <c r="N118" s="78"/>
    </row>
    <row r="119" spans="1:17" s="10" customFormat="1" x14ac:dyDescent="0.4">
      <c r="A119" s="124" t="s">
        <v>583</v>
      </c>
      <c r="B119" s="12" t="s">
        <v>235</v>
      </c>
      <c r="C119" s="82"/>
      <c r="D119" s="78"/>
      <c r="E119" s="78"/>
      <c r="F119" s="78"/>
      <c r="G119" s="78"/>
      <c r="H119" s="78"/>
      <c r="I119" s="79">
        <f t="shared" si="4"/>
        <v>0</v>
      </c>
      <c r="J119" s="78" t="s">
        <v>292</v>
      </c>
      <c r="K119" s="79">
        <f t="shared" si="5"/>
        <v>0</v>
      </c>
      <c r="M119" s="78"/>
      <c r="N119" s="78"/>
    </row>
    <row r="120" spans="1:17" s="10" customFormat="1" x14ac:dyDescent="0.4">
      <c r="A120" s="100" t="s">
        <v>664</v>
      </c>
      <c r="B120" s="100" t="s">
        <v>665</v>
      </c>
      <c r="C120" s="82"/>
      <c r="D120" s="78"/>
      <c r="E120" s="78"/>
      <c r="F120" s="78"/>
      <c r="G120" s="78"/>
      <c r="H120" s="78"/>
      <c r="I120" s="79">
        <f t="shared" si="4"/>
        <v>0</v>
      </c>
      <c r="J120" s="78" t="s">
        <v>292</v>
      </c>
      <c r="K120" s="79">
        <f t="shared" si="5"/>
        <v>0</v>
      </c>
      <c r="M120" s="78"/>
      <c r="N120" s="78"/>
    </row>
    <row r="121" spans="1:17" s="10" customFormat="1" x14ac:dyDescent="0.4">
      <c r="A121" s="124" t="s">
        <v>584</v>
      </c>
      <c r="B121" s="12" t="s">
        <v>236</v>
      </c>
      <c r="C121" s="82"/>
      <c r="D121" s="78"/>
      <c r="E121" s="78"/>
      <c r="F121" s="78"/>
      <c r="G121" s="78"/>
      <c r="H121" s="78"/>
      <c r="I121" s="79">
        <f t="shared" si="4"/>
        <v>0</v>
      </c>
      <c r="J121" s="78" t="s">
        <v>292</v>
      </c>
      <c r="K121" s="79">
        <f t="shared" si="5"/>
        <v>0</v>
      </c>
      <c r="M121" s="78"/>
      <c r="N121" s="78"/>
    </row>
    <row r="122" spans="1:17" s="10" customFormat="1" x14ac:dyDescent="0.4">
      <c r="A122" s="124" t="s">
        <v>585</v>
      </c>
      <c r="B122" s="12" t="s">
        <v>237</v>
      </c>
      <c r="C122" s="82"/>
      <c r="D122" s="78"/>
      <c r="E122" s="78"/>
      <c r="F122" s="78"/>
      <c r="G122" s="78"/>
      <c r="H122" s="78"/>
      <c r="I122" s="79">
        <f t="shared" si="4"/>
        <v>0</v>
      </c>
      <c r="J122" s="78" t="s">
        <v>292</v>
      </c>
      <c r="K122" s="79">
        <f t="shared" si="5"/>
        <v>0</v>
      </c>
      <c r="M122" s="78"/>
      <c r="N122" s="78"/>
    </row>
    <row r="123" spans="1:17" s="10" customFormat="1" x14ac:dyDescent="0.4">
      <c r="A123" s="124" t="s">
        <v>626</v>
      </c>
      <c r="B123" s="12" t="s">
        <v>627</v>
      </c>
      <c r="C123" s="82"/>
      <c r="D123" s="78"/>
      <c r="E123" s="78"/>
      <c r="F123" s="78"/>
      <c r="G123" s="78"/>
      <c r="H123" s="78"/>
      <c r="I123" s="79">
        <f t="shared" si="4"/>
        <v>0</v>
      </c>
      <c r="J123" s="78" t="s">
        <v>292</v>
      </c>
      <c r="K123" s="79">
        <f t="shared" si="5"/>
        <v>0</v>
      </c>
      <c r="M123" s="78"/>
      <c r="N123" s="78"/>
    </row>
    <row r="124" spans="1:17" s="10" customFormat="1" x14ac:dyDescent="0.4">
      <c r="A124" s="124" t="s">
        <v>586</v>
      </c>
      <c r="B124" s="12" t="s">
        <v>238</v>
      </c>
      <c r="C124" s="82"/>
      <c r="D124" s="78"/>
      <c r="E124" s="78"/>
      <c r="F124" s="78"/>
      <c r="G124" s="78"/>
      <c r="H124" s="78"/>
      <c r="I124" s="79">
        <f t="shared" si="4"/>
        <v>0</v>
      </c>
      <c r="J124" s="78" t="s">
        <v>291</v>
      </c>
      <c r="K124" s="79">
        <f t="shared" si="5"/>
        <v>0</v>
      </c>
      <c r="M124" s="78"/>
      <c r="N124" s="78"/>
    </row>
    <row r="125" spans="1:17" s="10" customFormat="1" x14ac:dyDescent="0.4">
      <c r="A125" s="124" t="s">
        <v>587</v>
      </c>
      <c r="B125" s="12" t="s">
        <v>239</v>
      </c>
      <c r="C125" s="82"/>
      <c r="D125" s="78"/>
      <c r="E125" s="78"/>
      <c r="F125" s="78"/>
      <c r="G125" s="78"/>
      <c r="H125" s="78"/>
      <c r="I125" s="79">
        <f t="shared" si="4"/>
        <v>0</v>
      </c>
      <c r="J125" s="78" t="s">
        <v>292</v>
      </c>
      <c r="K125" s="79">
        <f t="shared" si="5"/>
        <v>0</v>
      </c>
      <c r="L125" s="78"/>
      <c r="M125" s="78"/>
      <c r="N125" s="78"/>
    </row>
    <row r="126" spans="1:17" s="10" customFormat="1" x14ac:dyDescent="0.4">
      <c r="A126" s="124" t="s">
        <v>588</v>
      </c>
      <c r="B126" s="12" t="s">
        <v>240</v>
      </c>
      <c r="C126" s="82"/>
      <c r="D126" s="78"/>
      <c r="E126" s="78"/>
      <c r="F126" s="78"/>
      <c r="G126" s="78"/>
      <c r="H126" s="78"/>
      <c r="I126" s="79">
        <f t="shared" si="4"/>
        <v>0</v>
      </c>
      <c r="J126" s="78" t="s">
        <v>292</v>
      </c>
      <c r="K126" s="79">
        <f t="shared" si="5"/>
        <v>0</v>
      </c>
      <c r="L126" s="78"/>
      <c r="M126" s="78"/>
      <c r="N126" s="78"/>
    </row>
    <row r="127" spans="1:17" s="10" customFormat="1" x14ac:dyDescent="0.4">
      <c r="A127" s="124" t="s">
        <v>589</v>
      </c>
      <c r="B127" s="12" t="s">
        <v>241</v>
      </c>
      <c r="C127" s="82"/>
      <c r="D127" s="78"/>
      <c r="E127" s="78"/>
      <c r="F127" s="78"/>
      <c r="G127" s="78"/>
      <c r="H127" s="78"/>
      <c r="I127" s="79">
        <f t="shared" si="4"/>
        <v>0</v>
      </c>
      <c r="J127" s="78" t="s">
        <v>288</v>
      </c>
      <c r="K127" s="79">
        <f t="shared" si="5"/>
        <v>0</v>
      </c>
      <c r="L127" s="78"/>
      <c r="M127" s="78"/>
      <c r="N127" s="78"/>
      <c r="P127" s="21"/>
      <c r="Q127" s="21"/>
    </row>
    <row r="128" spans="1:17" s="10" customFormat="1" x14ac:dyDescent="0.4">
      <c r="A128" s="124" t="s">
        <v>590</v>
      </c>
      <c r="B128" s="12" t="s">
        <v>242</v>
      </c>
      <c r="C128" s="82"/>
      <c r="D128" s="78"/>
      <c r="E128" s="78"/>
      <c r="F128" s="78"/>
      <c r="G128" s="78"/>
      <c r="H128" s="78"/>
      <c r="I128" s="79">
        <f t="shared" si="4"/>
        <v>0</v>
      </c>
      <c r="J128" s="78" t="s">
        <v>292</v>
      </c>
      <c r="K128" s="79">
        <f t="shared" si="5"/>
        <v>0</v>
      </c>
      <c r="L128" s="78"/>
      <c r="M128" s="78"/>
      <c r="N128" s="78"/>
      <c r="P128" s="21"/>
      <c r="Q128" s="21"/>
    </row>
    <row r="129" spans="1:14" x14ac:dyDescent="0.4">
      <c r="A129" s="124" t="s">
        <v>591</v>
      </c>
      <c r="B129" s="12" t="s">
        <v>243</v>
      </c>
      <c r="C129" s="82"/>
      <c r="D129" s="78"/>
      <c r="I129" s="79">
        <f t="shared" si="4"/>
        <v>0</v>
      </c>
      <c r="J129" s="78" t="s">
        <v>288</v>
      </c>
      <c r="K129" s="79">
        <f t="shared" si="5"/>
        <v>0</v>
      </c>
      <c r="L129" s="78"/>
      <c r="M129" s="78"/>
      <c r="N129" s="78"/>
    </row>
    <row r="130" spans="1:14" x14ac:dyDescent="0.4">
      <c r="A130" s="124" t="s">
        <v>592</v>
      </c>
      <c r="B130" s="12" t="s">
        <v>244</v>
      </c>
      <c r="C130" s="82"/>
      <c r="D130" s="78"/>
      <c r="I130" s="79">
        <f t="shared" si="4"/>
        <v>0</v>
      </c>
      <c r="J130" s="78" t="s">
        <v>292</v>
      </c>
      <c r="K130" s="79">
        <f t="shared" si="5"/>
        <v>0</v>
      </c>
      <c r="L130" s="78"/>
      <c r="M130" s="78"/>
      <c r="N130" s="78"/>
    </row>
    <row r="131" spans="1:14" x14ac:dyDescent="0.4">
      <c r="A131" s="100" t="s">
        <v>866</v>
      </c>
      <c r="B131" s="100" t="s">
        <v>867</v>
      </c>
      <c r="C131" s="82"/>
      <c r="D131" s="78"/>
      <c r="I131" s="79">
        <f t="shared" si="4"/>
        <v>0</v>
      </c>
      <c r="J131" s="78" t="s">
        <v>292</v>
      </c>
      <c r="K131" s="79">
        <f t="shared" si="5"/>
        <v>0</v>
      </c>
      <c r="L131" s="10"/>
      <c r="M131" s="78"/>
      <c r="N131" s="78"/>
    </row>
    <row r="132" spans="1:14" x14ac:dyDescent="0.4">
      <c r="A132" s="124" t="s">
        <v>593</v>
      </c>
      <c r="B132" s="12" t="s">
        <v>245</v>
      </c>
      <c r="C132" s="82"/>
      <c r="D132" s="78"/>
      <c r="I132" s="79">
        <f t="shared" si="4"/>
        <v>0</v>
      </c>
      <c r="J132" s="78" t="s">
        <v>292</v>
      </c>
      <c r="K132" s="79">
        <f t="shared" si="5"/>
        <v>0</v>
      </c>
      <c r="L132" s="10"/>
      <c r="M132" s="78"/>
      <c r="N132" s="78"/>
    </row>
    <row r="133" spans="1:14" x14ac:dyDescent="0.4">
      <c r="A133" s="124" t="s">
        <v>594</v>
      </c>
      <c r="B133" s="12" t="s">
        <v>246</v>
      </c>
      <c r="C133" s="82"/>
      <c r="D133" s="78"/>
      <c r="I133" s="79">
        <f t="shared" si="4"/>
        <v>0</v>
      </c>
      <c r="J133" s="78" t="s">
        <v>292</v>
      </c>
      <c r="K133" s="79">
        <f t="shared" si="5"/>
        <v>0</v>
      </c>
      <c r="L133" s="10"/>
      <c r="M133" s="78"/>
      <c r="N133" s="78"/>
    </row>
    <row r="134" spans="1:14" x14ac:dyDescent="0.4">
      <c r="A134" s="100" t="s">
        <v>666</v>
      </c>
      <c r="B134" s="100" t="s">
        <v>667</v>
      </c>
      <c r="C134" s="82"/>
      <c r="D134" s="78"/>
      <c r="I134" s="79">
        <f t="shared" si="4"/>
        <v>0</v>
      </c>
      <c r="J134" s="78" t="s">
        <v>292</v>
      </c>
      <c r="K134" s="79">
        <f t="shared" si="5"/>
        <v>0</v>
      </c>
      <c r="L134" s="10"/>
      <c r="M134" s="78"/>
      <c r="N134" s="78"/>
    </row>
    <row r="135" spans="1:14" x14ac:dyDescent="0.4">
      <c r="A135" s="68" t="s">
        <v>595</v>
      </c>
      <c r="B135" s="12" t="s">
        <v>247</v>
      </c>
      <c r="C135" s="82"/>
      <c r="D135" s="78"/>
      <c r="F135" s="78">
        <f>-F141</f>
        <v>0</v>
      </c>
      <c r="G135" s="78">
        <v>0</v>
      </c>
      <c r="I135" s="79">
        <f t="shared" si="4"/>
        <v>0</v>
      </c>
      <c r="J135" s="78" t="s">
        <v>292</v>
      </c>
      <c r="K135" s="79">
        <f t="shared" si="5"/>
        <v>0</v>
      </c>
      <c r="L135" s="10"/>
      <c r="M135" s="78"/>
      <c r="N135" s="78"/>
    </row>
    <row r="136" spans="1:14" x14ac:dyDescent="0.4">
      <c r="A136" s="124" t="s">
        <v>596</v>
      </c>
      <c r="B136" s="12" t="s">
        <v>248</v>
      </c>
      <c r="C136" s="82"/>
      <c r="D136" s="78"/>
      <c r="F136" s="78" t="s">
        <v>261</v>
      </c>
      <c r="G136" s="78">
        <f>-C136</f>
        <v>0</v>
      </c>
      <c r="I136" s="79">
        <f t="shared" si="4"/>
        <v>0</v>
      </c>
      <c r="J136" s="78" t="s">
        <v>292</v>
      </c>
      <c r="K136" s="79">
        <f t="shared" si="5"/>
        <v>0</v>
      </c>
      <c r="L136" s="10"/>
      <c r="M136" s="78"/>
      <c r="N136" s="78"/>
    </row>
    <row r="137" spans="1:14" x14ac:dyDescent="0.4">
      <c r="A137" s="124" t="s">
        <v>597</v>
      </c>
      <c r="B137" s="12" t="s">
        <v>249</v>
      </c>
      <c r="C137" s="82"/>
      <c r="D137" s="78"/>
      <c r="F137" s="78" t="s">
        <v>261</v>
      </c>
      <c r="G137" s="78">
        <f>-C137</f>
        <v>0</v>
      </c>
      <c r="I137" s="79">
        <f t="shared" si="4"/>
        <v>0</v>
      </c>
      <c r="J137" s="78" t="s">
        <v>292</v>
      </c>
      <c r="K137" s="79">
        <f t="shared" si="5"/>
        <v>0</v>
      </c>
      <c r="L137" s="10"/>
      <c r="M137" s="78"/>
      <c r="N137" s="78"/>
    </row>
    <row r="138" spans="1:14" x14ac:dyDescent="0.4">
      <c r="A138" s="69" t="s">
        <v>754</v>
      </c>
      <c r="B138" s="12" t="s">
        <v>782</v>
      </c>
      <c r="C138" s="82"/>
      <c r="D138" s="78"/>
      <c r="F138" s="78" t="s">
        <v>261</v>
      </c>
      <c r="G138" s="78">
        <f>-E138-D138</f>
        <v>0</v>
      </c>
      <c r="I138" s="79">
        <f t="shared" ref="I138:I140" si="6">SUM(C138:H138)</f>
        <v>0</v>
      </c>
      <c r="J138" s="78" t="s">
        <v>292</v>
      </c>
      <c r="K138" s="79">
        <f t="shared" ref="K138:K148" si="7">I138*1</f>
        <v>0</v>
      </c>
      <c r="L138" s="10"/>
      <c r="M138" s="78"/>
      <c r="N138" s="78"/>
    </row>
    <row r="139" spans="1:14" x14ac:dyDescent="0.4">
      <c r="A139" s="69"/>
      <c r="B139" s="12" t="s">
        <v>755</v>
      </c>
      <c r="C139" s="82"/>
      <c r="D139" s="78"/>
      <c r="F139" s="78" t="s">
        <v>261</v>
      </c>
      <c r="G139" s="78">
        <f>-E139-D139</f>
        <v>0</v>
      </c>
      <c r="I139" s="79">
        <f t="shared" si="6"/>
        <v>0</v>
      </c>
      <c r="J139" s="78" t="s">
        <v>292</v>
      </c>
      <c r="K139" s="79">
        <f t="shared" si="7"/>
        <v>0</v>
      </c>
      <c r="L139" s="10"/>
      <c r="M139" s="78"/>
      <c r="N139" s="78"/>
    </row>
    <row r="140" spans="1:14" x14ac:dyDescent="0.4">
      <c r="A140" s="69"/>
      <c r="B140" s="12" t="s">
        <v>756</v>
      </c>
      <c r="C140" s="82"/>
      <c r="D140" s="78"/>
      <c r="F140" s="78" t="s">
        <v>261</v>
      </c>
      <c r="G140" s="78">
        <f>-E140-D140</f>
        <v>0</v>
      </c>
      <c r="I140" s="79">
        <f t="shared" si="6"/>
        <v>0</v>
      </c>
      <c r="J140" s="78" t="s">
        <v>292</v>
      </c>
      <c r="K140" s="79">
        <f t="shared" si="7"/>
        <v>0</v>
      </c>
      <c r="L140" s="10"/>
      <c r="M140" s="78"/>
      <c r="N140" s="78"/>
    </row>
    <row r="141" spans="1:14" x14ac:dyDescent="0.4">
      <c r="A141" s="124" t="s">
        <v>761</v>
      </c>
      <c r="B141" s="12" t="s">
        <v>760</v>
      </c>
      <c r="C141" s="82"/>
      <c r="D141" s="78"/>
      <c r="F141" s="78">
        <f>-E141-D141-C141</f>
        <v>0</v>
      </c>
      <c r="I141" s="79">
        <f t="shared" ref="I141:I148" si="8">SUM(C141:H141)</f>
        <v>0</v>
      </c>
      <c r="J141" s="78" t="s">
        <v>292</v>
      </c>
      <c r="K141" s="79">
        <f t="shared" si="7"/>
        <v>0</v>
      </c>
      <c r="L141" s="10"/>
      <c r="M141" s="78"/>
      <c r="N141" s="78"/>
    </row>
    <row r="142" spans="1:14" x14ac:dyDescent="0.4">
      <c r="A142" s="124" t="s">
        <v>598</v>
      </c>
      <c r="B142" s="12" t="s">
        <v>250</v>
      </c>
      <c r="C142" s="82"/>
      <c r="D142" s="78"/>
      <c r="I142" s="79">
        <f t="shared" si="8"/>
        <v>0</v>
      </c>
      <c r="J142" s="78" t="s">
        <v>292</v>
      </c>
      <c r="K142" s="79">
        <f t="shared" si="7"/>
        <v>0</v>
      </c>
      <c r="L142" s="10"/>
      <c r="M142" s="78"/>
      <c r="N142" s="78"/>
    </row>
    <row r="143" spans="1:14" x14ac:dyDescent="0.4">
      <c r="A143" s="69"/>
      <c r="B143" s="12" t="s">
        <v>260</v>
      </c>
      <c r="C143" s="82"/>
      <c r="D143" s="78"/>
      <c r="I143" s="79">
        <f t="shared" si="8"/>
        <v>0</v>
      </c>
      <c r="J143" s="78" t="s">
        <v>292</v>
      </c>
      <c r="K143" s="79">
        <f t="shared" si="7"/>
        <v>0</v>
      </c>
      <c r="L143" s="10"/>
      <c r="M143" s="78"/>
      <c r="N143" s="78"/>
    </row>
    <row r="144" spans="1:14" x14ac:dyDescent="0.4">
      <c r="A144" s="124" t="s">
        <v>599</v>
      </c>
      <c r="B144" s="12" t="s">
        <v>251</v>
      </c>
      <c r="C144" s="82"/>
      <c r="D144" s="78"/>
      <c r="I144" s="79">
        <f t="shared" si="8"/>
        <v>0</v>
      </c>
      <c r="J144" s="78" t="s">
        <v>292</v>
      </c>
      <c r="K144" s="79">
        <f t="shared" si="7"/>
        <v>0</v>
      </c>
      <c r="L144" s="10"/>
      <c r="M144" s="78"/>
      <c r="N144" s="78"/>
    </row>
    <row r="145" spans="1:14" x14ac:dyDescent="0.4">
      <c r="A145" s="124" t="s">
        <v>600</v>
      </c>
      <c r="B145" s="12" t="s">
        <v>252</v>
      </c>
      <c r="C145" s="82"/>
      <c r="D145" s="78"/>
      <c r="I145" s="79">
        <f t="shared" si="8"/>
        <v>0</v>
      </c>
      <c r="J145" s="78" t="s">
        <v>292</v>
      </c>
      <c r="K145" s="79">
        <f t="shared" si="7"/>
        <v>0</v>
      </c>
      <c r="L145" s="10"/>
      <c r="M145" s="78"/>
      <c r="N145" s="78"/>
    </row>
    <row r="146" spans="1:14" x14ac:dyDescent="0.4">
      <c r="A146" s="124" t="s">
        <v>601</v>
      </c>
      <c r="B146" s="12" t="s">
        <v>253</v>
      </c>
      <c r="C146" s="82"/>
      <c r="D146" s="78"/>
      <c r="I146" s="79">
        <f t="shared" si="8"/>
        <v>0</v>
      </c>
      <c r="J146" s="78" t="s">
        <v>292</v>
      </c>
      <c r="K146" s="79">
        <f t="shared" si="7"/>
        <v>0</v>
      </c>
      <c r="L146" s="10"/>
      <c r="M146" s="76"/>
      <c r="N146" s="78"/>
    </row>
    <row r="147" spans="1:14" x14ac:dyDescent="0.4">
      <c r="A147" s="124" t="s">
        <v>602</v>
      </c>
      <c r="B147" s="12" t="s">
        <v>258</v>
      </c>
      <c r="C147" s="82"/>
      <c r="D147" s="78"/>
      <c r="I147" s="79">
        <f t="shared" si="8"/>
        <v>0</v>
      </c>
      <c r="J147" s="78" t="s">
        <v>862</v>
      </c>
      <c r="K147" s="79">
        <f t="shared" si="7"/>
        <v>0</v>
      </c>
      <c r="L147" s="10"/>
      <c r="M147" s="76"/>
      <c r="N147" s="78"/>
    </row>
    <row r="148" spans="1:14" x14ac:dyDescent="0.4">
      <c r="A148" s="124" t="s">
        <v>615</v>
      </c>
      <c r="B148" s="12" t="s">
        <v>616</v>
      </c>
      <c r="C148" s="72"/>
      <c r="D148" s="78"/>
      <c r="I148" s="79">
        <f t="shared" si="8"/>
        <v>0</v>
      </c>
      <c r="J148" s="78" t="s">
        <v>292</v>
      </c>
      <c r="K148" s="79">
        <f t="shared" si="7"/>
        <v>0</v>
      </c>
      <c r="L148" s="10"/>
      <c r="M148" s="76"/>
      <c r="N148" s="78"/>
    </row>
    <row r="149" spans="1:14" x14ac:dyDescent="0.4">
      <c r="C149" s="109">
        <f t="shared" ref="C149:H149" si="9">SUM(C6:C148)</f>
        <v>0</v>
      </c>
      <c r="D149" s="109">
        <f t="shared" si="9"/>
        <v>0</v>
      </c>
      <c r="E149" s="110">
        <f t="shared" si="9"/>
        <v>0</v>
      </c>
      <c r="F149" s="109">
        <f t="shared" si="9"/>
        <v>0</v>
      </c>
      <c r="G149" s="109">
        <f t="shared" si="9"/>
        <v>0</v>
      </c>
      <c r="H149" s="109">
        <f t="shared" si="9"/>
        <v>0</v>
      </c>
      <c r="I149" s="109">
        <f>SUM(I6:I148)</f>
        <v>0</v>
      </c>
      <c r="J149" s="111"/>
      <c r="K149" s="109">
        <f>SUM(K6:K148)</f>
        <v>0</v>
      </c>
      <c r="M149" s="76"/>
      <c r="N149" s="78"/>
    </row>
    <row r="150" spans="1:14" x14ac:dyDescent="0.4">
      <c r="C150" s="112"/>
      <c r="D150" s="113"/>
      <c r="M150" s="76"/>
      <c r="N150" s="78"/>
    </row>
    <row r="151" spans="1:14" x14ac:dyDescent="0.4">
      <c r="D151" s="113"/>
      <c r="K151" s="79">
        <f>K149-K75-K87-K61-K45</f>
        <v>0</v>
      </c>
      <c r="M151" s="76"/>
      <c r="N151" s="78"/>
    </row>
    <row r="152" spans="1:14" x14ac:dyDescent="0.4">
      <c r="C152" s="112"/>
      <c r="D152" s="113"/>
      <c r="M152" s="76"/>
      <c r="N152" s="78"/>
    </row>
    <row r="153" spans="1:14" x14ac:dyDescent="0.4">
      <c r="C153" s="112"/>
      <c r="D153" s="113" t="s">
        <v>261</v>
      </c>
      <c r="M153" s="76"/>
      <c r="N153" s="78"/>
    </row>
    <row r="154" spans="1:14" x14ac:dyDescent="0.4">
      <c r="C154" s="112"/>
      <c r="D154" s="113" t="s">
        <v>261</v>
      </c>
      <c r="M154" s="76"/>
      <c r="N154" s="76"/>
    </row>
    <row r="155" spans="1:14" x14ac:dyDescent="0.4">
      <c r="C155" s="112"/>
      <c r="D155" s="113"/>
    </row>
    <row r="156" spans="1:14" x14ac:dyDescent="0.4">
      <c r="C156" s="112"/>
      <c r="D156" s="113"/>
    </row>
    <row r="157" spans="1:14" x14ac:dyDescent="0.4">
      <c r="C157" s="112"/>
      <c r="D157" s="113"/>
    </row>
    <row r="158" spans="1:14" x14ac:dyDescent="0.4">
      <c r="C158" s="112"/>
      <c r="D158" s="113"/>
    </row>
    <row r="159" spans="1:14" x14ac:dyDescent="0.4">
      <c r="C159" s="112"/>
      <c r="D159" s="113"/>
      <c r="F159" s="10"/>
      <c r="G159" s="10"/>
      <c r="H159" s="10"/>
    </row>
    <row r="164" spans="5:5" x14ac:dyDescent="0.4">
      <c r="E164" s="78">
        <f>C149+103646</f>
        <v>103646</v>
      </c>
    </row>
  </sheetData>
  <mergeCells count="3">
    <mergeCell ref="A1:B1"/>
    <mergeCell ref="A2:B2"/>
    <mergeCell ref="A3:B3"/>
  </mergeCells>
  <pageMargins left="0.7" right="0.7" top="0.75" bottom="0.75" header="0.3" footer="0.3"/>
  <pageSetup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9</vt:i4>
      </vt:variant>
    </vt:vector>
  </HeadingPairs>
  <TitlesOfParts>
    <vt:vector size="41" baseType="lpstr">
      <vt:lpstr>NEF Calculations</vt:lpstr>
      <vt:lpstr>Overview</vt:lpstr>
      <vt:lpstr> P&amp;L-03.21</vt:lpstr>
      <vt:lpstr>P&amp;L-9 mos</vt:lpstr>
      <vt:lpstr>BS-Detail 03.21</vt:lpstr>
      <vt:lpstr>BS-Detail 9.30.18</vt:lpstr>
      <vt:lpstr>CF WB 03.21</vt:lpstr>
      <vt:lpstr>CF WB 9.2018</vt:lpstr>
      <vt:lpstr>P&amp;L-Detail 12.18</vt:lpstr>
      <vt:lpstr>BS-Detail 12.18</vt:lpstr>
      <vt:lpstr>P&amp;L-Detail 11.18</vt:lpstr>
      <vt:lpstr>BS-Detail 11.18</vt:lpstr>
      <vt:lpstr>P&amp;L-Detail 10.18 </vt:lpstr>
      <vt:lpstr>BS-Detail 10.18</vt:lpstr>
      <vt:lpstr>P&amp;L-Detail 9.18</vt:lpstr>
      <vt:lpstr>BS-Detail 9.18</vt:lpstr>
      <vt:lpstr>P&amp;L-Detail 8.18</vt:lpstr>
      <vt:lpstr>BS-Detail 8.18</vt:lpstr>
      <vt:lpstr>P&amp;L - Detail 7.18</vt:lpstr>
      <vt:lpstr>BS - Detail 7.18</vt:lpstr>
      <vt:lpstr>P&amp;L - Detail 6.18</vt:lpstr>
      <vt:lpstr>BS - Detail 6.18</vt:lpstr>
      <vt:lpstr>P&amp;L - Detail.5.18</vt:lpstr>
      <vt:lpstr>BS - Detail.5.18</vt:lpstr>
      <vt:lpstr>P&amp;L - Detail.4.18</vt:lpstr>
      <vt:lpstr>BS - Detail.4.18</vt:lpstr>
      <vt:lpstr>P&amp;L - Detail.03.18</vt:lpstr>
      <vt:lpstr>BS - Detail.03.18</vt:lpstr>
      <vt:lpstr>P&amp;L - Detail.02.18</vt:lpstr>
      <vt:lpstr>BS - Detail.02.18</vt:lpstr>
      <vt:lpstr>P&amp;L - Detail.01.18</vt:lpstr>
      <vt:lpstr>BS - Detail.01.18</vt:lpstr>
      <vt:lpstr>' P&amp;L-03.21'!Print_Area</vt:lpstr>
      <vt:lpstr>'BS - Detail.02.18'!Print_Area</vt:lpstr>
      <vt:lpstr>'BS - Detail.03.18'!Print_Area</vt:lpstr>
      <vt:lpstr>'P&amp;L - Detail 6.18'!Print_Area</vt:lpstr>
      <vt:lpstr>'P&amp;L - Detail.02.18'!Print_Area</vt:lpstr>
      <vt:lpstr>'P&amp;L - Detail.03.18'!Print_Area</vt:lpstr>
      <vt:lpstr>'P&amp;L - Detail.4.18'!Print_Area</vt:lpstr>
      <vt:lpstr>'P&amp;L - Detail.5.18'!Print_Area</vt:lpstr>
      <vt:lpstr>'P&amp;L-9 mos'!Print_Area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Higgins</dc:creator>
  <cp:lastModifiedBy>Marty Tullio</cp:lastModifiedBy>
  <cp:lastPrinted>2020-04-27T17:40:48Z</cp:lastPrinted>
  <dcterms:created xsi:type="dcterms:W3CDTF">2015-08-26T16:48:36Z</dcterms:created>
  <dcterms:modified xsi:type="dcterms:W3CDTF">2021-05-13T18:19:42Z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