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5"/>
  <workbookPr defaultThemeVersion="166925"/>
  <mc:AlternateContent xmlns:mc="http://schemas.openxmlformats.org/markup-compatibility/2006">
    <mc:Choice Requires="x15">
      <x15ac:absPath xmlns:x15ac="http://schemas.microsoft.com/office/spreadsheetml/2010/11/ac" url="\\tbfs01\VDAHomeFolder\rburt\Documents\Financials\Financials 2021\June 2021\"/>
    </mc:Choice>
  </mc:AlternateContent>
  <xr:revisionPtr revIDLastSave="0" documentId="13_ncr:1_{4A40762D-7DFC-4823-8901-B696911F2C86}" xr6:coauthVersionLast="36" xr6:coauthVersionMax="36" xr10:uidLastSave="{00000000-0000-0000-0000-000000000000}"/>
  <bookViews>
    <workbookView xWindow="0" yWindow="0" windowWidth="28800" windowHeight="12225" xr2:uid="{BB413C31-9CA7-4DFD-8B54-1492C7370633}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  <sheet name="Sheet6" sheetId="6" r:id="rId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4" i="5" l="1"/>
  <c r="D34" i="5"/>
  <c r="C33" i="5"/>
  <c r="B33" i="5"/>
  <c r="C25" i="2" l="1"/>
  <c r="C18" i="2"/>
  <c r="C21" i="2" s="1"/>
  <c r="C12" i="2"/>
  <c r="C11" i="2"/>
  <c r="C14" i="2" s="1"/>
  <c r="G41" i="1"/>
  <c r="C41" i="1"/>
  <c r="C50" i="4" l="1"/>
  <c r="C48" i="4"/>
  <c r="C26" i="4"/>
  <c r="C20" i="4"/>
  <c r="C59" i="2"/>
  <c r="G40" i="1"/>
  <c r="G36" i="1"/>
  <c r="C36" i="1"/>
  <c r="C44" i="4" l="1"/>
  <c r="C40" i="4"/>
  <c r="C38" i="4"/>
  <c r="C36" i="4"/>
  <c r="C34" i="4"/>
  <c r="C32" i="4"/>
  <c r="C10" i="6"/>
  <c r="C12" i="6"/>
  <c r="C15" i="6"/>
  <c r="C14" i="6"/>
  <c r="C13" i="6"/>
  <c r="C17" i="6"/>
  <c r="H45" i="5"/>
  <c r="I47" i="5"/>
  <c r="J45" i="5"/>
  <c r="I45" i="5"/>
  <c r="C32" i="5"/>
  <c r="C36" i="5"/>
  <c r="C17" i="5"/>
  <c r="B32" i="5"/>
  <c r="B14" i="5"/>
  <c r="C50" i="1"/>
  <c r="E50" i="1" s="1"/>
  <c r="B17" i="5"/>
  <c r="G50" i="1"/>
  <c r="C51" i="1"/>
  <c r="C33" i="3"/>
  <c r="C24" i="3"/>
  <c r="C23" i="3"/>
  <c r="C13" i="3"/>
  <c r="G64" i="1"/>
  <c r="G58" i="1"/>
  <c r="G57" i="1"/>
  <c r="G60" i="1" s="1"/>
  <c r="I51" i="1"/>
  <c r="C64" i="1"/>
  <c r="C57" i="1"/>
  <c r="E57" i="1" s="1"/>
  <c r="G20" i="1"/>
  <c r="G19" i="1"/>
  <c r="G15" i="1"/>
  <c r="G14" i="1"/>
  <c r="G10" i="1"/>
  <c r="C15" i="1"/>
  <c r="C20" i="1"/>
  <c r="C19" i="1"/>
  <c r="C14" i="1"/>
  <c r="C10" i="1"/>
  <c r="E17" i="6"/>
  <c r="E21" i="6" s="1"/>
  <c r="F15" i="6"/>
  <c r="E15" i="6"/>
  <c r="F14" i="6"/>
  <c r="F13" i="6"/>
  <c r="F12" i="6"/>
  <c r="H36" i="5"/>
  <c r="I36" i="5" s="1"/>
  <c r="J36" i="5" s="1"/>
  <c r="G36" i="5"/>
  <c r="I33" i="5"/>
  <c r="J33" i="5" s="1"/>
  <c r="I32" i="5"/>
  <c r="J32" i="5" s="1"/>
  <c r="G27" i="5"/>
  <c r="H20" i="5"/>
  <c r="G18" i="5"/>
  <c r="G20" i="5" s="1"/>
  <c r="G29" i="5" s="1"/>
  <c r="J17" i="5"/>
  <c r="I17" i="5"/>
  <c r="J16" i="5"/>
  <c r="J14" i="5"/>
  <c r="I14" i="5"/>
  <c r="B36" i="5"/>
  <c r="B43" i="5" s="1"/>
  <c r="E32" i="5"/>
  <c r="D32" i="5"/>
  <c r="B27" i="5"/>
  <c r="C20" i="5"/>
  <c r="D18" i="5"/>
  <c r="E18" i="5" s="1"/>
  <c r="B20" i="5"/>
  <c r="E17" i="5"/>
  <c r="D17" i="5"/>
  <c r="E16" i="5"/>
  <c r="D14" i="5"/>
  <c r="E14" i="5" s="1"/>
  <c r="C14" i="4"/>
  <c r="D46" i="3"/>
  <c r="D51" i="3" s="1"/>
  <c r="D13" i="3"/>
  <c r="D15" i="3"/>
  <c r="D19" i="3"/>
  <c r="D21" i="3"/>
  <c r="D26" i="3"/>
  <c r="D31" i="3"/>
  <c r="D33" i="3"/>
  <c r="D35" i="3"/>
  <c r="C46" i="3"/>
  <c r="C51" i="3" s="1"/>
  <c r="C35" i="3"/>
  <c r="C26" i="3"/>
  <c r="C31" i="3" s="1"/>
  <c r="C15" i="3"/>
  <c r="C21" i="3" s="1"/>
  <c r="D35" i="2"/>
  <c r="D39" i="2"/>
  <c r="D44" i="2"/>
  <c r="D46" i="2"/>
  <c r="D54" i="2" s="1"/>
  <c r="D57" i="2" s="1"/>
  <c r="H60" i="1"/>
  <c r="H50" i="1"/>
  <c r="H49" i="1"/>
  <c r="H53" i="1" s="1"/>
  <c r="D64" i="1"/>
  <c r="D60" i="1"/>
  <c r="D51" i="1"/>
  <c r="D53" i="1" s="1"/>
  <c r="H21" i="1"/>
  <c r="H16" i="1"/>
  <c r="H12" i="1"/>
  <c r="H23" i="1" s="1"/>
  <c r="H31" i="1" s="1"/>
  <c r="H34" i="1" s="1"/>
  <c r="D21" i="1"/>
  <c r="D20" i="1"/>
  <c r="D19" i="1"/>
  <c r="D14" i="1"/>
  <c r="D16" i="1" s="1"/>
  <c r="D10" i="1"/>
  <c r="D12" i="1" s="1"/>
  <c r="D23" i="1" s="1"/>
  <c r="D31" i="1" s="1"/>
  <c r="D34" i="1" s="1"/>
  <c r="I64" i="1"/>
  <c r="E64" i="1"/>
  <c r="I58" i="1"/>
  <c r="E58" i="1"/>
  <c r="I55" i="1"/>
  <c r="E55" i="1"/>
  <c r="I50" i="1"/>
  <c r="E49" i="1"/>
  <c r="I40" i="1"/>
  <c r="E40" i="1"/>
  <c r="I36" i="1"/>
  <c r="E36" i="1"/>
  <c r="I32" i="1"/>
  <c r="I29" i="1"/>
  <c r="E29" i="1"/>
  <c r="G21" i="1"/>
  <c r="I21" i="1" s="1"/>
  <c r="I20" i="1"/>
  <c r="E20" i="1"/>
  <c r="I19" i="1"/>
  <c r="E19" i="1"/>
  <c r="I18" i="1"/>
  <c r="E18" i="1"/>
  <c r="G16" i="1"/>
  <c r="C16" i="1"/>
  <c r="I15" i="1"/>
  <c r="E15" i="1"/>
  <c r="I14" i="1"/>
  <c r="G12" i="1"/>
  <c r="I12" i="1" s="1"/>
  <c r="I11" i="1"/>
  <c r="E11" i="1"/>
  <c r="I10" i="1"/>
  <c r="C12" i="1"/>
  <c r="D36" i="5" l="1"/>
  <c r="E36" i="5" s="1"/>
  <c r="E45" i="5" s="1"/>
  <c r="C42" i="4"/>
  <c r="C21" i="6"/>
  <c r="D15" i="6"/>
  <c r="D14" i="6"/>
  <c r="D13" i="6"/>
  <c r="D12" i="6"/>
  <c r="D10" i="6"/>
  <c r="D33" i="5"/>
  <c r="E33" i="5" s="1"/>
  <c r="C53" i="1"/>
  <c r="E53" i="1" s="1"/>
  <c r="C60" i="1"/>
  <c r="E60" i="1" s="1"/>
  <c r="G23" i="1"/>
  <c r="G31" i="1" s="1"/>
  <c r="F10" i="6"/>
  <c r="F17" i="6" s="1"/>
  <c r="I20" i="5"/>
  <c r="I18" i="5"/>
  <c r="J18" i="5" s="1"/>
  <c r="B29" i="5"/>
  <c r="D20" i="5"/>
  <c r="D45" i="5" s="1"/>
  <c r="C45" i="5"/>
  <c r="D47" i="5" s="1"/>
  <c r="C11" i="4"/>
  <c r="C16" i="4" s="1"/>
  <c r="I49" i="1"/>
  <c r="E51" i="1"/>
  <c r="I23" i="1"/>
  <c r="E14" i="1"/>
  <c r="E12" i="1"/>
  <c r="C21" i="1"/>
  <c r="E21" i="1" s="1"/>
  <c r="G53" i="1"/>
  <c r="I53" i="1" s="1"/>
  <c r="I16" i="1"/>
  <c r="E10" i="1"/>
  <c r="C22" i="4" l="1"/>
  <c r="C18" i="4"/>
  <c r="D17" i="6"/>
  <c r="C23" i="1"/>
  <c r="I60" i="1"/>
  <c r="I57" i="1"/>
  <c r="C31" i="1"/>
  <c r="E23" i="1"/>
  <c r="E16" i="1"/>
  <c r="I31" i="1"/>
  <c r="G34" i="1"/>
  <c r="I34" i="1" s="1"/>
  <c r="C34" i="1" l="1"/>
  <c r="E34" i="1" s="1"/>
  <c r="E31" i="1"/>
</calcChain>
</file>

<file path=xl/sharedStrings.xml><?xml version="1.0" encoding="utf-8"?>
<sst xmlns="http://schemas.openxmlformats.org/spreadsheetml/2006/main" count="336" uniqueCount="182">
  <si>
    <t>TRINITY BANK N.A.</t>
  </si>
  <si>
    <t>(Unaudited)</t>
  </si>
  <si>
    <t>(Dollars in thousands, except per share data)</t>
  </si>
  <si>
    <t xml:space="preserve"> </t>
  </si>
  <si>
    <t>Quarter Ended</t>
  </si>
  <si>
    <t>Six Months Ending</t>
  </si>
  <si>
    <t>June 30</t>
  </si>
  <si>
    <t xml:space="preserve">     %</t>
  </si>
  <si>
    <t xml:space="preserve">    EARNINGS SUMMARY</t>
  </si>
  <si>
    <t>Change</t>
  </si>
  <si>
    <t xml:space="preserve">    Interest income</t>
  </si>
  <si>
    <t xml:space="preserve">    Interest expense</t>
  </si>
  <si>
    <t xml:space="preserve">    Net Interest Income</t>
  </si>
  <si>
    <t>A</t>
  </si>
  <si>
    <t xml:space="preserve">    Service charges on deposits</t>
  </si>
  <si>
    <t>B</t>
  </si>
  <si>
    <t xml:space="preserve">    Other income</t>
  </si>
  <si>
    <t xml:space="preserve">    Total Non Interest Income</t>
  </si>
  <si>
    <t xml:space="preserve">    Salaries and benefits expense            </t>
  </si>
  <si>
    <t xml:space="preserve">    Occupancy and equipment expense          </t>
  </si>
  <si>
    <t xml:space="preserve">    Other expense                            </t>
  </si>
  <si>
    <t xml:space="preserve">    Total Non Interest Expense</t>
  </si>
  <si>
    <t xml:space="preserve">    Pretax pre-provision income</t>
  </si>
  <si>
    <t xml:space="preserve">    Gain on sale of securities</t>
  </si>
  <si>
    <t>N/M</t>
  </si>
  <si>
    <t xml:space="preserve">    Gain on sale of foreclosed assets</t>
  </si>
  <si>
    <t xml:space="preserve">    Gain on sale of assets</t>
  </si>
  <si>
    <t xml:space="preserve">    Provision for Loan Losses</t>
  </si>
  <si>
    <t xml:space="preserve">    Earnings before income taxes              </t>
  </si>
  <si>
    <t xml:space="preserve">    Provision for income taxes               </t>
  </si>
  <si>
    <t xml:space="preserve">    Net Earnings                              </t>
  </si>
  <si>
    <t xml:space="preserve">    Basic earnings per share                  </t>
  </si>
  <si>
    <t>C</t>
  </si>
  <si>
    <t xml:space="preserve">    Basic weighted average shares</t>
  </si>
  <si>
    <t xml:space="preserve">     outstanding                              </t>
  </si>
  <si>
    <t xml:space="preserve">    Diluted earnings per share - estimate</t>
  </si>
  <si>
    <t>D</t>
  </si>
  <si>
    <t xml:space="preserve">    Diluted weighted average shares outstanding</t>
  </si>
  <si>
    <t>Average for Quarter</t>
  </si>
  <si>
    <t>Average for Six Months</t>
  </si>
  <si>
    <t xml:space="preserve">    BALANCE SHEET SUMMARY                    </t>
  </si>
  <si>
    <t>E</t>
  </si>
  <si>
    <t xml:space="preserve">    Total loans                            </t>
  </si>
  <si>
    <t>F</t>
  </si>
  <si>
    <t xml:space="preserve">    Total short term investments</t>
  </si>
  <si>
    <t>G</t>
  </si>
  <si>
    <t xml:space="preserve">    Total investment securities             </t>
  </si>
  <si>
    <t xml:space="preserve">    Earning assets                          </t>
  </si>
  <si>
    <t xml:space="preserve">    Total assets                             </t>
  </si>
  <si>
    <t xml:space="preserve">    Noninterest bearing deposits            </t>
  </si>
  <si>
    <t xml:space="preserve">    Interest bearing deposits               </t>
  </si>
  <si>
    <t xml:space="preserve">    Total deposits                          </t>
  </si>
  <si>
    <t xml:space="preserve">    Fed Funds Purchased and Repurchase Agreements</t>
  </si>
  <si>
    <t xml:space="preserve">    Shareholders' equity                      </t>
  </si>
  <si>
    <t>Average for Quarter Ending</t>
  </si>
  <si>
    <t xml:space="preserve"> March 31,</t>
  </si>
  <si>
    <t>Dec 31,</t>
  </si>
  <si>
    <t>Sept. 30,</t>
  </si>
  <si>
    <t>June 30,</t>
  </si>
  <si>
    <t xml:space="preserve">    BALANCE SHEET SUMMARY     </t>
  </si>
  <si>
    <t xml:space="preserve">    Total loans              </t>
  </si>
  <si>
    <t xml:space="preserve">    Total investment securities</t>
  </si>
  <si>
    <t xml:space="preserve">    Earning assets            </t>
  </si>
  <si>
    <t xml:space="preserve">    Total assets             </t>
  </si>
  <si>
    <t xml:space="preserve">    Noninterest bearing deposits</t>
  </si>
  <si>
    <t xml:space="preserve">    Interest bearing deposits</t>
  </si>
  <si>
    <t xml:space="preserve">    Total deposits           </t>
  </si>
  <si>
    <t xml:space="preserve">    Shareholders' equity       </t>
  </si>
  <si>
    <t xml:space="preserve">    HISTORICAL EARNINGS SUMMARY</t>
  </si>
  <si>
    <t xml:space="preserve">    Gain on sale of other assets</t>
  </si>
  <si>
    <t xml:space="preserve">    Diluted earnings per share                </t>
  </si>
  <si>
    <t>Ending Balance</t>
  </si>
  <si>
    <t xml:space="preserve">    HISTORICAL BALANCE SHEET  </t>
  </si>
  <si>
    <t xml:space="preserve">    Total loans             </t>
  </si>
  <si>
    <t xml:space="preserve">    Total earning assets    </t>
  </si>
  <si>
    <t xml:space="preserve">    Allowance for loan losses</t>
  </si>
  <si>
    <t xml:space="preserve">    Premises and equipment   </t>
  </si>
  <si>
    <t xml:space="preserve">    Other Assets</t>
  </si>
  <si>
    <t xml:space="preserve">    Total assets            </t>
  </si>
  <si>
    <t xml:space="preserve">    Total deposits          </t>
  </si>
  <si>
    <t xml:space="preserve">    Other Liabilities</t>
  </si>
  <si>
    <t xml:space="preserve">    Total liabilities        </t>
  </si>
  <si>
    <t xml:space="preserve">    Shareholders' Equity Actual</t>
  </si>
  <si>
    <t xml:space="preserve">    Unrealized Gain - AFS</t>
  </si>
  <si>
    <t xml:space="preserve">    Total Equity</t>
  </si>
  <si>
    <t>Quarter Ending</t>
  </si>
  <si>
    <t xml:space="preserve">    NONPERFORMING ASSETS     </t>
  </si>
  <si>
    <t xml:space="preserve">    Nonaccrual loans           </t>
  </si>
  <si>
    <t xml:space="preserve">    Restructured loans           </t>
  </si>
  <si>
    <t xml:space="preserve">    Other real estate &amp; foreclosed assets</t>
  </si>
  <si>
    <t xml:space="preserve">    Accruing loans past due 90 days or more</t>
  </si>
  <si>
    <t xml:space="preserve">    Total nonperforming assets</t>
  </si>
  <si>
    <t xml:space="preserve">    Accruing loans past due 30-89 days</t>
  </si>
  <si>
    <t xml:space="preserve">    Total nonperforming assets as a percentage</t>
  </si>
  <si>
    <t xml:space="preserve">     of loans and foreclosed assets</t>
  </si>
  <si>
    <t xml:space="preserve">    ALLOWANCE FOR          </t>
  </si>
  <si>
    <t xml:space="preserve">     LOAN LOSSES          </t>
  </si>
  <si>
    <t xml:space="preserve">    Balance at beginning of period</t>
  </si>
  <si>
    <t xml:space="preserve">    Loans charged off             </t>
  </si>
  <si>
    <t xml:space="preserve">    Loan recoveries              </t>
  </si>
  <si>
    <t xml:space="preserve">      Net (charge-offs) recoveries</t>
  </si>
  <si>
    <t xml:space="preserve">    Provision for loan losses    </t>
  </si>
  <si>
    <t xml:space="preserve">    Balance at end of period</t>
  </si>
  <si>
    <t xml:space="preserve">     as a percentage of total loans</t>
  </si>
  <si>
    <t xml:space="preserve">    Allowance for loan losses net of PPP Loans</t>
  </si>
  <si>
    <t xml:space="preserve">     as a percentage of nonperforming assets</t>
  </si>
  <si>
    <t xml:space="preserve">    Net charge-offs (recoveries) as a </t>
  </si>
  <si>
    <t xml:space="preserve">     percentage of average loans</t>
  </si>
  <si>
    <t xml:space="preserve">    Provision for loan losses</t>
  </si>
  <si>
    <t xml:space="preserve">     as a percentage of average loans</t>
  </si>
  <si>
    <t xml:space="preserve">    SELECTED RATIOS </t>
  </si>
  <si>
    <t xml:space="preserve">    Return on average assets (annualized)</t>
  </si>
  <si>
    <t xml:space="preserve">    Return on average equity (annualized)</t>
  </si>
  <si>
    <t xml:space="preserve">    Return on average equity (excluding unrealized gain on investments)</t>
  </si>
  <si>
    <t xml:space="preserve">    Average shareholders' equity to average assets</t>
  </si>
  <si>
    <t xml:space="preserve">    Yield on earning assets (tax equivalent)</t>
  </si>
  <si>
    <t xml:space="preserve">    Effective Cost of Funds</t>
  </si>
  <si>
    <t xml:space="preserve">    Net interest margin (tax equivalent)</t>
  </si>
  <si>
    <t xml:space="preserve">    Efficiency ratio (tax equivalent)</t>
  </si>
  <si>
    <t xml:space="preserve">    End of period book value per common share</t>
  </si>
  <si>
    <t xml:space="preserve">    End of period book value (excluding unrealized gain on investments)</t>
  </si>
  <si>
    <t xml:space="preserve">    End of period common shares outstanding (in 000's)</t>
  </si>
  <si>
    <t>June 30,2020</t>
  </si>
  <si>
    <t>Tax</t>
  </si>
  <si>
    <t>Average</t>
  </si>
  <si>
    <t>Equivalent</t>
  </si>
  <si>
    <t xml:space="preserve">    YIELD ANALYSIS        </t>
  </si>
  <si>
    <t>Balance</t>
  </si>
  <si>
    <t xml:space="preserve">Interest </t>
  </si>
  <si>
    <t>Yield</t>
  </si>
  <si>
    <t xml:space="preserve">    Interest Earning Assets:</t>
  </si>
  <si>
    <t xml:space="preserve">    Short term investment</t>
  </si>
  <si>
    <t xml:space="preserve">    FRB Stock</t>
  </si>
  <si>
    <t xml:space="preserve">    Taxable securities</t>
  </si>
  <si>
    <t xml:space="preserve">    Tax Free securities</t>
  </si>
  <si>
    <t xml:space="preserve">    Loans                  </t>
  </si>
  <si>
    <t xml:space="preserve">    Total Interest Earning Assets</t>
  </si>
  <si>
    <t xml:space="preserve">    Noninterest Earning Assets:</t>
  </si>
  <si>
    <t xml:space="preserve">    Cash and due from banks  </t>
  </si>
  <si>
    <t xml:space="preserve">    Other assets            </t>
  </si>
  <si>
    <t xml:space="preserve">    Total Noninterest Earning Assets</t>
  </si>
  <si>
    <t xml:space="preserve">    Total Assets     </t>
  </si>
  <si>
    <t xml:space="preserve">    Interest Bearing Liabilities:</t>
  </si>
  <si>
    <t xml:space="preserve">    Transaction and Money Market accounts</t>
  </si>
  <si>
    <t xml:space="preserve">    Certificates and other time deposits</t>
  </si>
  <si>
    <t xml:space="preserve">    Other borrowings        </t>
  </si>
  <si>
    <t xml:space="preserve">    Total Interest Bearing Liabilities</t>
  </si>
  <si>
    <t xml:space="preserve">    Noninterest Bearing Liabilities:</t>
  </si>
  <si>
    <t xml:space="preserve">    Demand deposits        </t>
  </si>
  <si>
    <t xml:space="preserve">    Other liabilities         </t>
  </si>
  <si>
    <t xml:space="preserve">    Shareholders' Equity      </t>
  </si>
  <si>
    <t xml:space="preserve">    Total Liabilities and Shareholders Equity</t>
  </si>
  <si>
    <t xml:space="preserve">    Net Interest Income and Spread</t>
  </si>
  <si>
    <t xml:space="preserve">    </t>
  </si>
  <si>
    <t xml:space="preserve">    Net Interest Margin</t>
  </si>
  <si>
    <t>June 30,2021</t>
  </si>
  <si>
    <t>%</t>
  </si>
  <si>
    <t xml:space="preserve">    LOAN PORTFOLIO</t>
  </si>
  <si>
    <t xml:space="preserve">    Commercial and industrial       </t>
  </si>
  <si>
    <t xml:space="preserve">    Real estate:</t>
  </si>
  <si>
    <t xml:space="preserve">      Commercial                     </t>
  </si>
  <si>
    <t xml:space="preserve">      Residential                      </t>
  </si>
  <si>
    <t xml:space="preserve">      Construction and development   </t>
  </si>
  <si>
    <t xml:space="preserve">    Consumer                           </t>
  </si>
  <si>
    <t xml:space="preserve">    Total loans (gross)              </t>
  </si>
  <si>
    <t xml:space="preserve">    Unearned discounts                   </t>
  </si>
  <si>
    <t xml:space="preserve">    Total loans (net)               </t>
  </si>
  <si>
    <t xml:space="preserve">    REGULATORY CAPITAL DATA           </t>
  </si>
  <si>
    <t xml:space="preserve">    Tier 1 Capital                  </t>
  </si>
  <si>
    <t xml:space="preserve">    Total Capital (Tier 1 + Tier 2) </t>
  </si>
  <si>
    <t xml:space="preserve">    Total Risk-Adjusted Assets      </t>
  </si>
  <si>
    <t xml:space="preserve">    Tier 1 Risk-Based Capital Ratio                        </t>
  </si>
  <si>
    <t xml:space="preserve">    Total Risk-Based Capital Ratio               </t>
  </si>
  <si>
    <t xml:space="preserve">    Tier 1 Leverage Ratio </t>
  </si>
  <si>
    <t xml:space="preserve">    OTHER DATA                       </t>
  </si>
  <si>
    <t xml:space="preserve">    Full Time Equivalent</t>
  </si>
  <si>
    <t xml:space="preserve">     Employees (FTE's)                </t>
  </si>
  <si>
    <t xml:space="preserve">    Stock Price Range</t>
  </si>
  <si>
    <t xml:space="preserve">     (For the Three Months Ended):</t>
  </si>
  <si>
    <t xml:space="preserve">      High                           </t>
  </si>
  <si>
    <t xml:space="preserve">      Low                            </t>
  </si>
  <si>
    <t xml:space="preserve">      Close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</si>
</sst>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5" formatCode="&quot;$&quot;#,##0_);\(&quot;$&quot;#,##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%"/>
    <numFmt numFmtId="165" formatCode="_(* #,##0_);_(* \(#,##0\);_(* &quot;-&quot;??_);_(@_)"/>
    <numFmt numFmtId="166" formatCode="&quot;$&quot;#,##0"/>
    <numFmt numFmtId="167" formatCode="&quot;$&quot;#,##0.00"/>
    <numFmt numFmtId="168" formatCode="_(&quot;$&quot;* #,##0_);_(&quot;$&quot;* \(#,##0\);_(&quot;$&quot;* &quot;-&quot;??_);_(@_)"/>
  </numFmts>
  <fonts count="1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2"/>
      <color indexed="10"/>
      <name val="Arial"/>
      <family val="2"/>
    </font>
    <font>
      <sz val="12"/>
      <color indexed="8"/>
      <name val="Arial Unicode MS"/>
      <family val="2"/>
    </font>
    <font>
      <sz val="10"/>
      <name val="Arial"/>
      <family val="2"/>
    </font>
    <font>
      <sz val="10"/>
      <color indexed="10"/>
      <name val="Arial"/>
      <family val="2"/>
    </font>
    <font>
      <b/>
      <sz val="12"/>
      <color indexed="8"/>
      <name val="Arial Unicode MS"/>
      <family val="2"/>
    </font>
    <font>
      <sz val="10"/>
      <color indexed="8"/>
      <name val="Arial Unicode MS"/>
      <family val="2"/>
    </font>
    <font>
      <b/>
      <sz val="12"/>
      <color indexed="10"/>
      <name val="Arial"/>
      <family val="2"/>
    </font>
    <font>
      <b/>
      <sz val="10"/>
      <color indexed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6">
    <xf numFmtId="0" fontId="0" fillId="0" borderId="0" xfId="0"/>
    <xf numFmtId="0" fontId="0" fillId="0" borderId="0" xfId="0" applyFill="1"/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3" fillId="0" borderId="0" xfId="0" applyFont="1" applyFill="1"/>
    <xf numFmtId="0" fontId="4" fillId="0" borderId="0" xfId="0" applyFont="1" applyFill="1"/>
    <xf numFmtId="0" fontId="4" fillId="0" borderId="0" xfId="0" applyFont="1" applyFill="1" applyAlignment="1"/>
    <xf numFmtId="0" fontId="4" fillId="0" borderId="0" xfId="0" applyFont="1" applyFill="1" applyAlignment="1">
      <alignment horizontal="center"/>
    </xf>
    <xf numFmtId="49" fontId="4" fillId="0" borderId="0" xfId="0" applyNumberFormat="1" applyFont="1" applyFill="1" applyAlignment="1"/>
    <xf numFmtId="0" fontId="4" fillId="0" borderId="0" xfId="0" applyFont="1" applyFill="1" applyAlignment="1">
      <alignment horizontal="right"/>
    </xf>
    <xf numFmtId="5" fontId="2" fillId="0" borderId="0" xfId="0" applyNumberFormat="1" applyFont="1" applyFill="1"/>
    <xf numFmtId="164" fontId="2" fillId="0" borderId="0" xfId="0" applyNumberFormat="1" applyFont="1" applyFill="1"/>
    <xf numFmtId="37" fontId="2" fillId="0" borderId="0" xfId="0" applyNumberFormat="1" applyFont="1" applyFill="1"/>
    <xf numFmtId="37" fontId="4" fillId="0" borderId="0" xfId="0" applyNumberFormat="1" applyFont="1" applyFill="1"/>
    <xf numFmtId="164" fontId="4" fillId="0" borderId="0" xfId="0" applyNumberFormat="1" applyFont="1" applyFill="1"/>
    <xf numFmtId="164" fontId="2" fillId="0" borderId="0" xfId="0" applyNumberFormat="1" applyFont="1" applyFill="1" applyAlignment="1">
      <alignment horizontal="right"/>
    </xf>
    <xf numFmtId="5" fontId="4" fillId="0" borderId="0" xfId="0" applyNumberFormat="1" applyFont="1" applyFill="1"/>
    <xf numFmtId="37" fontId="5" fillId="0" borderId="0" xfId="0" applyNumberFormat="1" applyFont="1" applyFill="1"/>
    <xf numFmtId="39" fontId="2" fillId="0" borderId="0" xfId="0" applyNumberFormat="1" applyFont="1" applyFill="1"/>
    <xf numFmtId="0" fontId="6" fillId="0" borderId="0" xfId="0" applyFont="1" applyFill="1"/>
    <xf numFmtId="0" fontId="2" fillId="0" borderId="0" xfId="0" applyFont="1" applyFill="1" applyAlignment="1">
      <alignment horizontal="right"/>
    </xf>
    <xf numFmtId="0" fontId="7" fillId="0" borderId="0" xfId="0" applyFont="1" applyFill="1"/>
    <xf numFmtId="49" fontId="4" fillId="0" borderId="0" xfId="0" applyNumberFormat="1" applyFont="1" applyFill="1" applyAlignment="1">
      <alignment horizontal="center"/>
    </xf>
    <xf numFmtId="16" fontId="4" fillId="0" borderId="0" xfId="0" applyNumberFormat="1" applyFont="1" applyFill="1" applyAlignment="1">
      <alignment horizontal="right"/>
    </xf>
    <xf numFmtId="0" fontId="4" fillId="0" borderId="1" xfId="0" applyFont="1" applyFill="1" applyBorder="1"/>
    <xf numFmtId="165" fontId="2" fillId="0" borderId="0" xfId="1" applyNumberFormat="1" applyFont="1" applyFill="1"/>
    <xf numFmtId="44" fontId="2" fillId="0" borderId="0" xfId="2" applyFont="1" applyFill="1"/>
    <xf numFmtId="0" fontId="8" fillId="0" borderId="0" xfId="0" applyFont="1" applyFill="1"/>
    <xf numFmtId="0" fontId="9" fillId="0" borderId="0" xfId="0" applyFont="1" applyFill="1"/>
    <xf numFmtId="0" fontId="5" fillId="0" borderId="0" xfId="0" applyFont="1" applyFill="1" applyAlignment="1">
      <alignment horizontal="center"/>
    </xf>
    <xf numFmtId="37" fontId="5" fillId="0" borderId="0" xfId="0" applyNumberFormat="1" applyFont="1" applyFill="1" applyAlignment="1">
      <alignment horizontal="center"/>
    </xf>
    <xf numFmtId="166" fontId="2" fillId="0" borderId="0" xfId="0" applyNumberFormat="1" applyFont="1" applyFill="1"/>
    <xf numFmtId="166" fontId="4" fillId="0" borderId="0" xfId="0" applyNumberFormat="1" applyFont="1" applyFill="1"/>
    <xf numFmtId="10" fontId="2" fillId="0" borderId="0" xfId="0" applyNumberFormat="1" applyFont="1" applyFill="1"/>
    <xf numFmtId="10" fontId="5" fillId="0" borderId="0" xfId="0" applyNumberFormat="1" applyFont="1" applyFill="1"/>
    <xf numFmtId="10" fontId="2" fillId="0" borderId="0" xfId="0" applyNumberFormat="1" applyFont="1" applyFill="1" applyAlignment="1">
      <alignment horizontal="right"/>
    </xf>
    <xf numFmtId="9" fontId="2" fillId="0" borderId="0" xfId="0" applyNumberFormat="1" applyFont="1" applyFill="1" applyAlignment="1">
      <alignment horizontal="right"/>
    </xf>
    <xf numFmtId="0" fontId="5" fillId="0" borderId="0" xfId="0" applyFont="1" applyFill="1"/>
    <xf numFmtId="164" fontId="2" fillId="0" borderId="0" xfId="3" applyNumberFormat="1" applyFont="1" applyFill="1"/>
    <xf numFmtId="2" fontId="2" fillId="0" borderId="0" xfId="0" applyNumberFormat="1" applyFont="1" applyFill="1"/>
    <xf numFmtId="167" fontId="5" fillId="0" borderId="0" xfId="0" applyNumberFormat="1" applyFont="1" applyFill="1"/>
    <xf numFmtId="167" fontId="2" fillId="0" borderId="0" xfId="2" applyNumberFormat="1" applyFont="1" applyFill="1"/>
    <xf numFmtId="3" fontId="2" fillId="0" borderId="0" xfId="0" applyNumberFormat="1" applyFont="1" applyFill="1"/>
    <xf numFmtId="0" fontId="10" fillId="0" borderId="0" xfId="0" applyFont="1" applyFill="1"/>
    <xf numFmtId="167" fontId="8" fillId="0" borderId="0" xfId="2" applyNumberFormat="1" applyFont="1" applyFill="1"/>
    <xf numFmtId="49" fontId="2" fillId="0" borderId="0" xfId="0" applyNumberFormat="1" applyFont="1" applyFill="1" applyAlignment="1">
      <alignment horizontal="center"/>
    </xf>
    <xf numFmtId="49" fontId="2" fillId="0" borderId="0" xfId="0" applyNumberFormat="1" applyFont="1" applyFill="1" applyAlignment="1">
      <alignment horizontal="right"/>
    </xf>
    <xf numFmtId="49" fontId="2" fillId="0" borderId="0" xfId="0" applyNumberFormat="1" applyFont="1" applyFill="1" applyAlignment="1"/>
    <xf numFmtId="0" fontId="2" fillId="0" borderId="0" xfId="0" applyFont="1" applyFill="1" applyAlignment="1"/>
    <xf numFmtId="168" fontId="2" fillId="0" borderId="0" xfId="2" applyNumberFormat="1" applyFont="1" applyFill="1"/>
    <xf numFmtId="37" fontId="8" fillId="0" borderId="0" xfId="0" applyNumberFormat="1" applyFont="1" applyFill="1"/>
    <xf numFmtId="10" fontId="4" fillId="0" borderId="0" xfId="0" applyNumberFormat="1" applyFont="1" applyFill="1"/>
    <xf numFmtId="10" fontId="11" fillId="0" borderId="0" xfId="0" applyNumberFormat="1" applyFont="1" applyFill="1"/>
    <xf numFmtId="0" fontId="12" fillId="0" borderId="0" xfId="0" applyFont="1" applyFill="1"/>
    <xf numFmtId="37" fontId="11" fillId="0" borderId="0" xfId="0" applyNumberFormat="1" applyFont="1" applyFill="1"/>
    <xf numFmtId="0" fontId="11" fillId="0" borderId="0" xfId="0" applyFont="1" applyFill="1"/>
    <xf numFmtId="3" fontId="5" fillId="0" borderId="0" xfId="0" applyNumberFormat="1" applyFont="1" applyFill="1"/>
    <xf numFmtId="49" fontId="4" fillId="0" borderId="0" xfId="0" applyNumberFormat="1" applyFont="1" applyFill="1" applyAlignment="1">
      <alignment horizontal="right"/>
    </xf>
    <xf numFmtId="166" fontId="2" fillId="0" borderId="0" xfId="2" applyNumberFormat="1" applyFont="1" applyFill="1"/>
    <xf numFmtId="166" fontId="4" fillId="0" borderId="0" xfId="2" applyNumberFormat="1" applyFont="1" applyFill="1"/>
    <xf numFmtId="167" fontId="2" fillId="0" borderId="0" xfId="0" applyNumberFormat="1" applyFont="1" applyFill="1" applyAlignment="1">
      <alignment horizontal="right"/>
    </xf>
    <xf numFmtId="167" fontId="5" fillId="0" borderId="0" xfId="0" applyNumberFormat="1" applyFont="1" applyFill="1" applyAlignment="1">
      <alignment horizontal="right"/>
    </xf>
    <xf numFmtId="10" fontId="2" fillId="0" borderId="0" xfId="3" applyNumberFormat="1" applyFont="1" applyFill="1" applyAlignment="1">
      <alignment horizontal="right"/>
    </xf>
    <xf numFmtId="0" fontId="4" fillId="0" borderId="0" xfId="0" applyFont="1" applyFill="1" applyAlignment="1">
      <alignment horizontal="center"/>
    </xf>
    <xf numFmtId="49" fontId="4" fillId="0" borderId="0" xfId="0" applyNumberFormat="1" applyFont="1" applyFill="1" applyAlignment="1">
      <alignment horizontal="center"/>
    </xf>
    <xf numFmtId="0" fontId="2" fillId="0" borderId="0" xfId="0" applyFont="1" applyFill="1" applyAlignment="1">
      <alignment horizontal="center"/>
    </xf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D322F3-955E-4262-A914-60B68D1A353E}">
  <sheetPr>
    <pageSetUpPr fitToPage="1"/>
  </sheetPr>
  <dimension ref="A1:I68"/>
  <sheetViews>
    <sheetView tabSelected="1" topLeftCell="B1" workbookViewId="0">
      <selection activeCell="B1" sqref="B1:I1"/>
    </sheetView>
  </sheetViews>
  <sheetFormatPr defaultColWidth="9.140625" defaultRowHeight="15.75"/>
  <cols>
    <col min="1" max="1" width="9.140625" style="1" hidden="1" customWidth="1"/>
    <col min="2" max="2" width="61.7109375" style="3" bestFit="1" customWidth="1"/>
    <col min="3" max="3" width="13.7109375" style="1" customWidth="1"/>
    <col min="4" max="4" width="15.5703125" style="1" customWidth="1"/>
    <col min="5" max="5" width="11.7109375" style="1" customWidth="1"/>
    <col min="6" max="6" width="2.85546875" style="1" customWidth="1"/>
    <col min="7" max="7" width="15" style="1" customWidth="1"/>
    <col min="8" max="8" width="17.140625" style="1" customWidth="1"/>
    <col min="9" max="9" width="11.7109375" style="1" customWidth="1"/>
    <col min="10" max="16384" width="9.140625" style="1"/>
  </cols>
  <sheetData>
    <row r="1" spans="1:9">
      <c r="B1" s="65" t="s">
        <v>0</v>
      </c>
      <c r="C1" s="65"/>
      <c r="D1" s="65"/>
      <c r="E1" s="65"/>
      <c r="F1" s="65"/>
      <c r="G1" s="65"/>
      <c r="H1" s="65"/>
      <c r="I1" s="65"/>
    </row>
    <row r="2" spans="1:9">
      <c r="B2" s="65" t="s">
        <v>1</v>
      </c>
      <c r="C2" s="65"/>
      <c r="D2" s="65"/>
      <c r="E2" s="65"/>
      <c r="F2" s="65"/>
      <c r="G2" s="65"/>
      <c r="H2" s="65"/>
      <c r="I2" s="65"/>
    </row>
    <row r="3" spans="1:9">
      <c r="B3" s="65" t="s">
        <v>2</v>
      </c>
      <c r="C3" s="65"/>
      <c r="D3" s="65"/>
      <c r="E3" s="65"/>
      <c r="F3" s="65"/>
      <c r="G3" s="65"/>
      <c r="H3" s="65"/>
      <c r="I3" s="65"/>
    </row>
    <row r="4" spans="1:9">
      <c r="B4" s="2"/>
      <c r="C4" s="2"/>
      <c r="D4" s="2"/>
      <c r="E4" s="2"/>
    </row>
    <row r="5" spans="1:9">
      <c r="C5" s="3"/>
      <c r="D5" s="3"/>
      <c r="E5" s="3"/>
    </row>
    <row r="6" spans="1:9" s="4" customFormat="1">
      <c r="B6" s="5" t="s">
        <v>3</v>
      </c>
      <c r="C6" s="63" t="s">
        <v>4</v>
      </c>
      <c r="D6" s="63"/>
      <c r="E6" s="63"/>
      <c r="F6" s="6"/>
      <c r="G6" s="63" t="s">
        <v>5</v>
      </c>
      <c r="H6" s="63"/>
      <c r="I6" s="63"/>
    </row>
    <row r="7" spans="1:9" s="4" customFormat="1">
      <c r="B7" s="5"/>
      <c r="C7" s="64" t="s">
        <v>6</v>
      </c>
      <c r="D7" s="64"/>
      <c r="E7" s="7" t="s">
        <v>7</v>
      </c>
      <c r="F7" s="8"/>
      <c r="G7" s="64" t="s">
        <v>6</v>
      </c>
      <c r="H7" s="64"/>
      <c r="I7" s="7" t="s">
        <v>7</v>
      </c>
    </row>
    <row r="8" spans="1:9" s="4" customFormat="1">
      <c r="B8" s="5" t="s">
        <v>8</v>
      </c>
      <c r="C8" s="5">
        <v>2021</v>
      </c>
      <c r="D8" s="5">
        <v>2020</v>
      </c>
      <c r="E8" s="9" t="s">
        <v>9</v>
      </c>
      <c r="F8" s="5"/>
      <c r="G8" s="5">
        <v>2021</v>
      </c>
      <c r="H8" s="5">
        <v>2020</v>
      </c>
      <c r="I8" s="9" t="s">
        <v>9</v>
      </c>
    </row>
    <row r="9" spans="1:9">
      <c r="C9" s="3"/>
      <c r="D9" s="3"/>
      <c r="E9" s="3"/>
      <c r="F9" s="3"/>
      <c r="G9" s="3"/>
      <c r="H9" s="3"/>
      <c r="I9" s="3"/>
    </row>
    <row r="10" spans="1:9">
      <c r="B10" s="3" t="s">
        <v>10</v>
      </c>
      <c r="C10" s="10">
        <f>3184+622</f>
        <v>3806</v>
      </c>
      <c r="D10" s="10">
        <f>2459+583</f>
        <v>3042</v>
      </c>
      <c r="E10" s="11">
        <f>+(C10-D10)/D10</f>
        <v>0.25115055884286652</v>
      </c>
      <c r="F10" s="12"/>
      <c r="G10" s="10">
        <f>6219+1243</f>
        <v>7462</v>
      </c>
      <c r="H10" s="10">
        <v>5964</v>
      </c>
      <c r="I10" s="11">
        <f>+(G10-H10)/H10</f>
        <v>0.25117370892018781</v>
      </c>
    </row>
    <row r="11" spans="1:9">
      <c r="B11" s="3" t="s">
        <v>11</v>
      </c>
      <c r="C11" s="12">
        <v>144</v>
      </c>
      <c r="D11" s="12">
        <v>188</v>
      </c>
      <c r="E11" s="11">
        <f>+(C11-D11)/D11</f>
        <v>-0.23404255319148937</v>
      </c>
      <c r="F11" s="12"/>
      <c r="G11" s="12">
        <v>276</v>
      </c>
      <c r="H11" s="12">
        <v>569</v>
      </c>
      <c r="I11" s="11">
        <f>+(G11-H11)/H11</f>
        <v>-0.51493848857644986</v>
      </c>
    </row>
    <row r="12" spans="1:9" s="4" customFormat="1">
      <c r="B12" s="5" t="s">
        <v>12</v>
      </c>
      <c r="C12" s="13">
        <f>+C10-C11</f>
        <v>3662</v>
      </c>
      <c r="D12" s="13">
        <f>+D10-D11</f>
        <v>2854</v>
      </c>
      <c r="E12" s="14">
        <f>+(C12-D12)/D12</f>
        <v>0.2831114225648213</v>
      </c>
      <c r="F12" s="13"/>
      <c r="G12" s="13">
        <f>+G10-G11</f>
        <v>7186</v>
      </c>
      <c r="H12" s="13">
        <f>+H10-H11</f>
        <v>5395</v>
      </c>
      <c r="I12" s="14">
        <f>+(G12-H12)/H12</f>
        <v>0.33197405004633918</v>
      </c>
    </row>
    <row r="13" spans="1:9">
      <c r="C13" s="12"/>
      <c r="D13" s="12"/>
      <c r="E13" s="11"/>
      <c r="F13" s="12"/>
      <c r="G13" s="12"/>
      <c r="H13" s="12"/>
      <c r="I13" s="11"/>
    </row>
    <row r="14" spans="1:9">
      <c r="A14" s="1" t="s">
        <v>13</v>
      </c>
      <c r="B14" s="3" t="s">
        <v>14</v>
      </c>
      <c r="C14" s="12">
        <f>14+37+7</f>
        <v>58</v>
      </c>
      <c r="D14" s="12">
        <f>13+21+5</f>
        <v>39</v>
      </c>
      <c r="E14" s="11">
        <f>+(C14-D14)/D14</f>
        <v>0.48717948717948717</v>
      </c>
      <c r="F14" s="12"/>
      <c r="G14" s="12">
        <f>30+71+14</f>
        <v>115</v>
      </c>
      <c r="H14" s="12">
        <v>89</v>
      </c>
      <c r="I14" s="11">
        <f>+(G14-H14)/H14</f>
        <v>0.29213483146067415</v>
      </c>
    </row>
    <row r="15" spans="1:9">
      <c r="A15" s="1" t="s">
        <v>15</v>
      </c>
      <c r="B15" s="3" t="s">
        <v>16</v>
      </c>
      <c r="C15" s="12">
        <f>162-C14</f>
        <v>104</v>
      </c>
      <c r="D15" s="12">
        <v>79</v>
      </c>
      <c r="E15" s="11">
        <f>+(C15-D15)/D15</f>
        <v>0.31645569620253167</v>
      </c>
      <c r="F15" s="12"/>
      <c r="G15" s="12">
        <f>310-G14</f>
        <v>195</v>
      </c>
      <c r="H15" s="12">
        <v>159</v>
      </c>
      <c r="I15" s="11">
        <f>+(G15-H15)/H15</f>
        <v>0.22641509433962265</v>
      </c>
    </row>
    <row r="16" spans="1:9" s="4" customFormat="1">
      <c r="B16" s="5" t="s">
        <v>17</v>
      </c>
      <c r="C16" s="13">
        <f>SUM(C14:C15)</f>
        <v>162</v>
      </c>
      <c r="D16" s="13">
        <f>SUM(D14:D15)</f>
        <v>118</v>
      </c>
      <c r="E16" s="14">
        <f>+(C16-D16)/D16</f>
        <v>0.3728813559322034</v>
      </c>
      <c r="F16" s="13"/>
      <c r="G16" s="13">
        <f>SUM(G14:G15)</f>
        <v>310</v>
      </c>
      <c r="H16" s="13">
        <f>SUM(H14:H15)</f>
        <v>248</v>
      </c>
      <c r="I16" s="14">
        <f>+(G16-H16)/H16</f>
        <v>0.25</v>
      </c>
    </row>
    <row r="17" spans="2:9">
      <c r="C17" s="12"/>
      <c r="D17" s="12"/>
      <c r="E17" s="11"/>
      <c r="F17" s="12"/>
      <c r="G17" s="12"/>
      <c r="H17" s="12"/>
      <c r="I17" s="11"/>
    </row>
    <row r="18" spans="2:9">
      <c r="B18" s="3" t="s">
        <v>18</v>
      </c>
      <c r="C18" s="12">
        <v>1080</v>
      </c>
      <c r="D18" s="12">
        <v>1037</v>
      </c>
      <c r="E18" s="11">
        <f>+(C18-D18)/D18</f>
        <v>4.1465766634522665E-2</v>
      </c>
      <c r="F18" s="12"/>
      <c r="G18" s="12">
        <v>2039</v>
      </c>
      <c r="H18" s="12">
        <v>1892</v>
      </c>
      <c r="I18" s="11">
        <f>+(G18-H18)/H18</f>
        <v>7.7695560253699794E-2</v>
      </c>
    </row>
    <row r="19" spans="2:9">
      <c r="B19" s="3" t="s">
        <v>19</v>
      </c>
      <c r="C19" s="12">
        <f>49+65</f>
        <v>114</v>
      </c>
      <c r="D19" s="12">
        <f>81+59-27</f>
        <v>113</v>
      </c>
      <c r="E19" s="11">
        <f>+(C19-D19)/D19</f>
        <v>8.8495575221238937E-3</v>
      </c>
      <c r="F19" s="12"/>
      <c r="G19" s="12">
        <f>104+134</f>
        <v>238</v>
      </c>
      <c r="H19" s="12">
        <v>228</v>
      </c>
      <c r="I19" s="11">
        <f>+(G19-H19)/H19</f>
        <v>4.3859649122807015E-2</v>
      </c>
    </row>
    <row r="20" spans="2:9">
      <c r="B20" s="3" t="s">
        <v>20</v>
      </c>
      <c r="C20" s="12">
        <f>13+108+31+15+788-550</f>
        <v>405</v>
      </c>
      <c r="D20" s="12">
        <f>27+23+93+53+6+335-125</f>
        <v>412</v>
      </c>
      <c r="E20" s="11">
        <f>+(C20-D20)/D20</f>
        <v>-1.6990291262135922E-2</v>
      </c>
      <c r="F20" s="12"/>
      <c r="G20" s="12">
        <f>99+216+64+21+1611-1100-1</f>
        <v>910</v>
      </c>
      <c r="H20" s="12">
        <v>814</v>
      </c>
      <c r="I20" s="11">
        <f>+(G20-H20)/H20</f>
        <v>0.11793611793611794</v>
      </c>
    </row>
    <row r="21" spans="2:9" s="4" customFormat="1">
      <c r="B21" s="5" t="s">
        <v>21</v>
      </c>
      <c r="C21" s="13">
        <f>SUM(C18:C20)</f>
        <v>1599</v>
      </c>
      <c r="D21" s="13">
        <f>SUM(D18:D20)</f>
        <v>1562</v>
      </c>
      <c r="E21" s="14">
        <f>+(C21-D21)/D21</f>
        <v>2.3687580025608196E-2</v>
      </c>
      <c r="F21" s="13"/>
      <c r="G21" s="13">
        <f>SUM(G18:G20)</f>
        <v>3187</v>
      </c>
      <c r="H21" s="13">
        <f>SUM(H18:H20)</f>
        <v>2934</v>
      </c>
      <c r="I21" s="14">
        <f>+(G21-H21)/H21</f>
        <v>8.6230402181322427E-2</v>
      </c>
    </row>
    <row r="22" spans="2:9">
      <c r="C22" s="12"/>
      <c r="D22" s="12"/>
      <c r="E22" s="11"/>
      <c r="F22" s="12"/>
      <c r="G22" s="12"/>
      <c r="H22" s="12"/>
      <c r="I22" s="11"/>
    </row>
    <row r="23" spans="2:9" s="4" customFormat="1">
      <c r="B23" s="5" t="s">
        <v>22</v>
      </c>
      <c r="C23" s="13">
        <f>+C12+C16-C21</f>
        <v>2225</v>
      </c>
      <c r="D23" s="13">
        <f>+D12+D16-D21</f>
        <v>1410</v>
      </c>
      <c r="E23" s="14">
        <f>+(C23-D23)/D23</f>
        <v>0.57801418439716312</v>
      </c>
      <c r="F23" s="13"/>
      <c r="G23" s="13">
        <f>+G12+G16-G21</f>
        <v>4309</v>
      </c>
      <c r="H23" s="13">
        <f>+H12+H16-H21</f>
        <v>2709</v>
      </c>
      <c r="I23" s="14">
        <f>+(G23-H23)/H23</f>
        <v>0.59062384643779997</v>
      </c>
    </row>
    <row r="24" spans="2:9" s="4" customFormat="1">
      <c r="B24" s="5"/>
      <c r="C24" s="13"/>
      <c r="D24" s="13"/>
      <c r="E24" s="14"/>
      <c r="F24" s="13"/>
      <c r="G24" s="13"/>
      <c r="H24" s="13"/>
      <c r="I24" s="14"/>
    </row>
    <row r="25" spans="2:9">
      <c r="B25" s="3" t="s">
        <v>23</v>
      </c>
      <c r="C25" s="12">
        <v>0</v>
      </c>
      <c r="D25" s="12">
        <v>0</v>
      </c>
      <c r="E25" s="15" t="s">
        <v>24</v>
      </c>
      <c r="F25" s="12"/>
      <c r="G25" s="12">
        <v>0</v>
      </c>
      <c r="H25" s="12">
        <v>0</v>
      </c>
      <c r="I25" s="15" t="s">
        <v>24</v>
      </c>
    </row>
    <row r="26" spans="2:9">
      <c r="B26" s="3" t="s">
        <v>25</v>
      </c>
      <c r="C26" s="12">
        <v>0</v>
      </c>
      <c r="D26" s="12">
        <v>0</v>
      </c>
      <c r="E26" s="15" t="s">
        <v>24</v>
      </c>
      <c r="F26" s="12"/>
      <c r="G26" s="12">
        <v>0</v>
      </c>
      <c r="H26" s="12">
        <v>0</v>
      </c>
      <c r="I26" s="15" t="s">
        <v>24</v>
      </c>
    </row>
    <row r="27" spans="2:9">
      <c r="B27" s="3" t="s">
        <v>26</v>
      </c>
      <c r="C27" s="12">
        <v>0</v>
      </c>
      <c r="D27" s="12">
        <v>0</v>
      </c>
      <c r="E27" s="15" t="s">
        <v>24</v>
      </c>
      <c r="F27" s="12"/>
      <c r="G27" s="12">
        <v>0</v>
      </c>
      <c r="H27" s="12">
        <v>0</v>
      </c>
      <c r="I27" s="15" t="s">
        <v>24</v>
      </c>
    </row>
    <row r="28" spans="2:9">
      <c r="C28" s="12"/>
      <c r="D28" s="12"/>
      <c r="E28" s="11"/>
      <c r="F28" s="12"/>
      <c r="G28" s="12"/>
      <c r="H28" s="12"/>
      <c r="I28" s="11"/>
    </row>
    <row r="29" spans="2:9" s="4" customFormat="1">
      <c r="B29" s="5" t="s">
        <v>27</v>
      </c>
      <c r="C29" s="13">
        <v>550</v>
      </c>
      <c r="D29" s="13">
        <v>125</v>
      </c>
      <c r="E29" s="14">
        <f>+(C29-D29)/D29</f>
        <v>3.4</v>
      </c>
      <c r="F29" s="13"/>
      <c r="G29" s="13">
        <v>1100</v>
      </c>
      <c r="H29" s="13">
        <v>125</v>
      </c>
      <c r="I29" s="14">
        <f>+(G29-H29)/H29</f>
        <v>7.8</v>
      </c>
    </row>
    <row r="30" spans="2:9">
      <c r="C30" s="12"/>
      <c r="D30" s="12"/>
      <c r="E30" s="11"/>
      <c r="F30" s="12"/>
      <c r="G30" s="12"/>
      <c r="H30" s="12"/>
      <c r="I30" s="11"/>
    </row>
    <row r="31" spans="2:9">
      <c r="B31" s="3" t="s">
        <v>28</v>
      </c>
      <c r="C31" s="12">
        <f>+C23+C25+C26-C29+C27</f>
        <v>1675</v>
      </c>
      <c r="D31" s="12">
        <f>+D23+D25+D26-D29+D27</f>
        <v>1285</v>
      </c>
      <c r="E31" s="14">
        <f>+(C31-D31)/D31</f>
        <v>0.30350194552529181</v>
      </c>
      <c r="F31" s="12"/>
      <c r="G31" s="12">
        <f>+G23+G25+G26-G29+G27</f>
        <v>3209</v>
      </c>
      <c r="H31" s="12">
        <f>+H23+H25+H26-H29+H27</f>
        <v>2584</v>
      </c>
      <c r="I31" s="14">
        <f>+(G31-H31)/H31</f>
        <v>0.24187306501547987</v>
      </c>
    </row>
    <row r="32" spans="2:9">
      <c r="B32" s="3" t="s">
        <v>29</v>
      </c>
      <c r="C32" s="12">
        <v>249</v>
      </c>
      <c r="D32" s="12">
        <v>155</v>
      </c>
      <c r="E32" s="15" t="s">
        <v>24</v>
      </c>
      <c r="F32" s="12"/>
      <c r="G32" s="12">
        <v>455</v>
      </c>
      <c r="H32" s="12">
        <v>330</v>
      </c>
      <c r="I32" s="14">
        <f>+(G32-H32)/H32</f>
        <v>0.37878787878787878</v>
      </c>
    </row>
    <row r="33" spans="1:9">
      <c r="C33" s="12"/>
      <c r="D33" s="12"/>
      <c r="E33" s="15"/>
      <c r="F33" s="12"/>
      <c r="G33" s="12"/>
      <c r="H33" s="12"/>
      <c r="I33" s="15"/>
    </row>
    <row r="34" spans="1:9" s="4" customFormat="1">
      <c r="B34" s="5" t="s">
        <v>30</v>
      </c>
      <c r="C34" s="16">
        <f>+C31-C32</f>
        <v>1426</v>
      </c>
      <c r="D34" s="16">
        <f>+D31-D32</f>
        <v>1130</v>
      </c>
      <c r="E34" s="14">
        <f>+(C34-D34)/D34</f>
        <v>0.26194690265486725</v>
      </c>
      <c r="F34" s="13"/>
      <c r="G34" s="16">
        <f>+G31-G32</f>
        <v>2754</v>
      </c>
      <c r="H34" s="16">
        <f>+H31-H32</f>
        <v>2254</v>
      </c>
      <c r="I34" s="14">
        <f>+(G34-H34)/H34</f>
        <v>0.22182786157941436</v>
      </c>
    </row>
    <row r="35" spans="1:9">
      <c r="C35" s="17"/>
      <c r="D35" s="17"/>
      <c r="E35" s="11"/>
      <c r="F35" s="17"/>
      <c r="G35" s="17"/>
      <c r="H35" s="17"/>
      <c r="I35" s="11"/>
    </row>
    <row r="36" spans="1:9">
      <c r="B36" s="3" t="s">
        <v>31</v>
      </c>
      <c r="C36" s="18">
        <f>+C34/C37</f>
        <v>1.3154981549815499</v>
      </c>
      <c r="D36" s="18">
        <v>1.04</v>
      </c>
      <c r="E36" s="14">
        <f>+(C36-D36)/D36</f>
        <v>0.26490207209764405</v>
      </c>
      <c r="F36" s="18"/>
      <c r="G36" s="18">
        <f>+G34/G37</f>
        <v>2.5476410730804808</v>
      </c>
      <c r="H36" s="18">
        <v>2.0699999999999998</v>
      </c>
      <c r="I36" s="14">
        <f>+(G36-H36)/H36</f>
        <v>0.23074447974902465</v>
      </c>
    </row>
    <row r="37" spans="1:9">
      <c r="A37" s="1" t="s">
        <v>32</v>
      </c>
      <c r="B37" s="3" t="s">
        <v>33</v>
      </c>
      <c r="C37" s="12">
        <v>1084</v>
      </c>
      <c r="D37" s="12">
        <v>1086</v>
      </c>
      <c r="E37" s="12"/>
      <c r="F37" s="12"/>
      <c r="G37" s="12">
        <v>1081</v>
      </c>
      <c r="H37" s="12">
        <v>1087</v>
      </c>
      <c r="I37" s="12"/>
    </row>
    <row r="38" spans="1:9">
      <c r="B38" s="3" t="s">
        <v>34</v>
      </c>
      <c r="C38" s="12"/>
      <c r="D38" s="12"/>
      <c r="E38" s="12"/>
      <c r="F38" s="12"/>
      <c r="G38" s="12"/>
      <c r="H38" s="12"/>
      <c r="I38" s="12"/>
    </row>
    <row r="39" spans="1:9">
      <c r="C39" s="12"/>
      <c r="D39" s="12"/>
      <c r="E39" s="12"/>
      <c r="F39" s="12"/>
      <c r="G39" s="12"/>
      <c r="H39" s="12"/>
      <c r="I39" s="12"/>
    </row>
    <row r="40" spans="1:9">
      <c r="B40" s="3" t="s">
        <v>35</v>
      </c>
      <c r="C40" s="18">
        <v>1.26</v>
      </c>
      <c r="D40" s="18">
        <v>1</v>
      </c>
      <c r="E40" s="14">
        <f>+(C40-D40)/D40</f>
        <v>0.26</v>
      </c>
      <c r="F40" s="18"/>
      <c r="G40" s="18">
        <f>+G34/G41</f>
        <v>2.443655723158829</v>
      </c>
      <c r="H40" s="18">
        <v>1.99</v>
      </c>
      <c r="I40" s="14">
        <f>+(G40-H40)/H40</f>
        <v>0.22796770007981354</v>
      </c>
    </row>
    <row r="41" spans="1:9">
      <c r="A41" s="1" t="s">
        <v>36</v>
      </c>
      <c r="B41" s="3" t="s">
        <v>37</v>
      </c>
      <c r="C41" s="12">
        <f>+C37+46</f>
        <v>1130</v>
      </c>
      <c r="D41" s="12">
        <v>1133</v>
      </c>
      <c r="E41" s="12"/>
      <c r="F41" s="12"/>
      <c r="G41" s="12">
        <f>+G37+46</f>
        <v>1127</v>
      </c>
      <c r="H41" s="12">
        <v>1134</v>
      </c>
      <c r="I41" s="12"/>
    </row>
    <row r="42" spans="1:9">
      <c r="C42" s="12"/>
      <c r="D42" s="12"/>
      <c r="E42" s="12"/>
    </row>
    <row r="43" spans="1:9">
      <c r="C43" s="12"/>
      <c r="D43" s="12"/>
      <c r="E43" s="12"/>
    </row>
    <row r="44" spans="1:9">
      <c r="B44" s="19"/>
    </row>
    <row r="45" spans="1:9">
      <c r="B45" s="5" t="s">
        <v>3</v>
      </c>
      <c r="C45" s="63" t="s">
        <v>38</v>
      </c>
      <c r="D45" s="63"/>
      <c r="E45" s="6"/>
      <c r="F45" s="6"/>
      <c r="G45" s="63" t="s">
        <v>39</v>
      </c>
      <c r="H45" s="63"/>
      <c r="I45" s="6"/>
    </row>
    <row r="46" spans="1:9">
      <c r="B46" s="5"/>
      <c r="C46" s="64" t="s">
        <v>6</v>
      </c>
      <c r="D46" s="64"/>
      <c r="E46" s="7" t="s">
        <v>7</v>
      </c>
      <c r="F46" s="8"/>
      <c r="G46" s="64" t="s">
        <v>6</v>
      </c>
      <c r="H46" s="64"/>
      <c r="I46" s="7" t="s">
        <v>7</v>
      </c>
    </row>
    <row r="47" spans="1:9">
      <c r="B47" s="5" t="s">
        <v>40</v>
      </c>
      <c r="C47" s="5">
        <v>2021</v>
      </c>
      <c r="D47" s="5">
        <v>2020</v>
      </c>
      <c r="E47" s="9" t="s">
        <v>9</v>
      </c>
      <c r="F47" s="5"/>
      <c r="G47" s="5">
        <v>2021</v>
      </c>
      <c r="H47" s="5">
        <v>2020</v>
      </c>
      <c r="I47" s="9" t="s">
        <v>9</v>
      </c>
    </row>
    <row r="48" spans="1:9">
      <c r="C48" s="20"/>
      <c r="D48" s="20"/>
      <c r="E48" s="20"/>
      <c r="F48" s="20"/>
      <c r="G48" s="20"/>
      <c r="H48" s="20"/>
      <c r="I48" s="20"/>
    </row>
    <row r="49" spans="1:9">
      <c r="A49" s="1" t="s">
        <v>41</v>
      </c>
      <c r="B49" s="3" t="s">
        <v>42</v>
      </c>
      <c r="C49" s="10">
        <v>261273</v>
      </c>
      <c r="D49" s="10">
        <v>212258</v>
      </c>
      <c r="E49" s="11">
        <f>+(C49-D49)/D49</f>
        <v>0.23092180271179413</v>
      </c>
      <c r="F49" s="10"/>
      <c r="G49" s="10">
        <v>262025</v>
      </c>
      <c r="H49" s="10">
        <f>190745+67</f>
        <v>190812</v>
      </c>
      <c r="I49" s="11">
        <f>+(G49-H49)/H49</f>
        <v>0.37321028027587361</v>
      </c>
    </row>
    <row r="50" spans="1:9">
      <c r="A50" s="1" t="s">
        <v>43</v>
      </c>
      <c r="B50" s="3" t="s">
        <v>44</v>
      </c>
      <c r="C50" s="12">
        <f>27838+404</f>
        <v>28242</v>
      </c>
      <c r="D50" s="12">
        <v>41211</v>
      </c>
      <c r="E50" s="11">
        <f>+(C50-D50)/D50</f>
        <v>-0.31469753221227342</v>
      </c>
      <c r="F50" s="12"/>
      <c r="G50" s="12">
        <f>19531+400</f>
        <v>19931</v>
      </c>
      <c r="H50" s="12">
        <f>39668+393</f>
        <v>40061</v>
      </c>
      <c r="I50" s="11">
        <f>+(G50-H50)/H50</f>
        <v>-0.5024837123386835</v>
      </c>
    </row>
    <row r="51" spans="1:9">
      <c r="A51" s="1" t="s">
        <v>45</v>
      </c>
      <c r="B51" s="3" t="s">
        <v>46</v>
      </c>
      <c r="C51" s="12">
        <f>2198+93955</f>
        <v>96153</v>
      </c>
      <c r="D51" s="12">
        <f>81101+395</f>
        <v>81496</v>
      </c>
      <c r="E51" s="11">
        <f>+(C51-D51)/D51</f>
        <v>0.17984931775792676</v>
      </c>
      <c r="F51" s="12"/>
      <c r="G51" s="12">
        <v>95251</v>
      </c>
      <c r="H51" s="12">
        <v>77753</v>
      </c>
      <c r="I51" s="11">
        <f>+(G51-H51)/H51</f>
        <v>0.22504597893328876</v>
      </c>
    </row>
    <row r="52" spans="1:9">
      <c r="C52" s="12"/>
      <c r="D52" s="12"/>
      <c r="E52" s="11"/>
      <c r="F52" s="12"/>
      <c r="G52" s="12"/>
      <c r="H52" s="12"/>
      <c r="I52" s="11"/>
    </row>
    <row r="53" spans="1:9" s="4" customFormat="1">
      <c r="B53" s="5" t="s">
        <v>47</v>
      </c>
      <c r="C53" s="13">
        <f>SUM(C49:C52)</f>
        <v>385668</v>
      </c>
      <c r="D53" s="13">
        <f>SUM(D49:D52)</f>
        <v>334965</v>
      </c>
      <c r="E53" s="14">
        <f>+(C53-D53)/D53</f>
        <v>0.1513680533787112</v>
      </c>
      <c r="F53" s="13"/>
      <c r="G53" s="13">
        <f>SUM(G49:G52)</f>
        <v>377207</v>
      </c>
      <c r="H53" s="13">
        <f>SUM(H49:H52)</f>
        <v>308626</v>
      </c>
      <c r="I53" s="14">
        <f>+(G53-H53)/H53</f>
        <v>0.22221394179362725</v>
      </c>
    </row>
    <row r="54" spans="1:9">
      <c r="C54" s="12"/>
      <c r="D54" s="12"/>
      <c r="E54" s="11"/>
      <c r="F54" s="12"/>
      <c r="G54" s="12"/>
      <c r="H54" s="12"/>
      <c r="I54" s="11"/>
    </row>
    <row r="55" spans="1:9" s="4" customFormat="1">
      <c r="B55" s="5" t="s">
        <v>48</v>
      </c>
      <c r="C55" s="13">
        <v>391571</v>
      </c>
      <c r="D55" s="13">
        <v>342369</v>
      </c>
      <c r="E55" s="14">
        <f>+(C55-D55)/D55</f>
        <v>0.14371044107381217</v>
      </c>
      <c r="F55" s="13"/>
      <c r="G55" s="13">
        <v>383478</v>
      </c>
      <c r="H55" s="13">
        <v>316082</v>
      </c>
      <c r="I55" s="14">
        <f>+(G55-H55)/H55</f>
        <v>0.21322315095449915</v>
      </c>
    </row>
    <row r="56" spans="1:9">
      <c r="C56" s="12"/>
      <c r="D56" s="12"/>
      <c r="E56" s="11"/>
      <c r="F56" s="12"/>
      <c r="G56" s="12"/>
      <c r="H56" s="12"/>
      <c r="I56" s="11"/>
    </row>
    <row r="57" spans="1:9">
      <c r="B57" s="3" t="s">
        <v>49</v>
      </c>
      <c r="C57" s="12">
        <f>347865-C58</f>
        <v>136853</v>
      </c>
      <c r="D57" s="12">
        <v>122409</v>
      </c>
      <c r="E57" s="11">
        <f>+(C57-D57)/D57</f>
        <v>0.117997859634504</v>
      </c>
      <c r="F57" s="12"/>
      <c r="G57" s="12">
        <f>340269-G58</f>
        <v>142334</v>
      </c>
      <c r="H57" s="12">
        <v>105435</v>
      </c>
      <c r="I57" s="11">
        <f>+(G57-H57)/H57</f>
        <v>0.34996917532128802</v>
      </c>
    </row>
    <row r="58" spans="1:9">
      <c r="B58" s="3" t="s">
        <v>50</v>
      </c>
      <c r="C58" s="12">
        <v>211012</v>
      </c>
      <c r="D58" s="12">
        <v>180558</v>
      </c>
      <c r="E58" s="11">
        <f>+(C58-D58)/D58</f>
        <v>0.16866602421382604</v>
      </c>
      <c r="F58" s="12"/>
      <c r="G58" s="12">
        <f>30827+90+87+2679+115986+48266</f>
        <v>197935</v>
      </c>
      <c r="H58" s="12">
        <v>171387</v>
      </c>
      <c r="I58" s="11">
        <f>+(G58-H58)/H58</f>
        <v>0.15490089680080754</v>
      </c>
    </row>
    <row r="59" spans="1:9">
      <c r="C59" s="12"/>
      <c r="D59" s="12"/>
      <c r="E59" s="11"/>
      <c r="F59" s="12"/>
      <c r="G59" s="12"/>
      <c r="H59" s="12"/>
      <c r="I59" s="11"/>
    </row>
    <row r="60" spans="1:9" s="4" customFormat="1">
      <c r="B60" s="5" t="s">
        <v>51</v>
      </c>
      <c r="C60" s="13">
        <f>+C57+C58</f>
        <v>347865</v>
      </c>
      <c r="D60" s="13">
        <f>+D57+D58</f>
        <v>302967</v>
      </c>
      <c r="E60" s="14">
        <f>+(C60-D60)/D60</f>
        <v>0.14819435780134471</v>
      </c>
      <c r="F60" s="13"/>
      <c r="G60" s="13">
        <f>+G57+G58</f>
        <v>340269</v>
      </c>
      <c r="H60" s="13">
        <f>+H57+H58</f>
        <v>276822</v>
      </c>
      <c r="I60" s="14">
        <f>+(G60-H60)/H60</f>
        <v>0.22919782387238008</v>
      </c>
    </row>
    <row r="61" spans="1:9" s="4" customFormat="1">
      <c r="B61" s="5"/>
      <c r="C61" s="13"/>
      <c r="D61" s="13"/>
      <c r="E61" s="14"/>
      <c r="F61" s="13"/>
      <c r="G61" s="13"/>
      <c r="H61" s="13"/>
      <c r="I61" s="14"/>
    </row>
    <row r="62" spans="1:9" s="21" customFormat="1" ht="15">
      <c r="B62" s="3" t="s">
        <v>52</v>
      </c>
      <c r="C62" s="12">
        <v>0</v>
      </c>
      <c r="D62" s="12">
        <v>0</v>
      </c>
      <c r="E62" s="15" t="s">
        <v>24</v>
      </c>
      <c r="F62" s="12"/>
      <c r="G62" s="12">
        <v>122</v>
      </c>
      <c r="H62" s="12">
        <v>0</v>
      </c>
      <c r="I62" s="15" t="s">
        <v>24</v>
      </c>
    </row>
    <row r="63" spans="1:9" s="4" customFormat="1">
      <c r="B63" s="5"/>
      <c r="C63" s="13"/>
      <c r="D63" s="13"/>
      <c r="E63" s="13"/>
      <c r="F63" s="13"/>
      <c r="G63" s="13"/>
      <c r="H63" s="13"/>
      <c r="I63" s="13"/>
    </row>
    <row r="64" spans="1:9" s="4" customFormat="1">
      <c r="B64" s="5" t="s">
        <v>53</v>
      </c>
      <c r="C64" s="16">
        <f>42222-1986</f>
        <v>40236</v>
      </c>
      <c r="D64" s="16">
        <f>38050-1439</f>
        <v>36611</v>
      </c>
      <c r="E64" s="14">
        <f>+(C64-D64)/D64</f>
        <v>9.9013957553740678E-2</v>
      </c>
      <c r="F64" s="13"/>
      <c r="G64" s="16">
        <f>41738-2025</f>
        <v>39713</v>
      </c>
      <c r="H64" s="16">
        <v>36495</v>
      </c>
      <c r="I64" s="14">
        <f>+(G64-H64)/H64</f>
        <v>8.8176462529113583E-2</v>
      </c>
    </row>
    <row r="65" spans="3:6">
      <c r="C65" s="21"/>
      <c r="D65" s="21"/>
    </row>
    <row r="66" spans="3:6">
      <c r="F66" s="13"/>
    </row>
    <row r="67" spans="3:6">
      <c r="F67" s="13"/>
    </row>
    <row r="68" spans="3:6">
      <c r="F68" s="4"/>
    </row>
  </sheetData>
  <mergeCells count="11">
    <mergeCell ref="C45:D45"/>
    <mergeCell ref="G45:H45"/>
    <mergeCell ref="C46:D46"/>
    <mergeCell ref="G46:H46"/>
    <mergeCell ref="B1:I1"/>
    <mergeCell ref="B2:I2"/>
    <mergeCell ref="B3:I3"/>
    <mergeCell ref="C6:E6"/>
    <mergeCell ref="G6:I6"/>
    <mergeCell ref="C7:D7"/>
    <mergeCell ref="G7:H7"/>
  </mergeCells>
  <pageMargins left="0.7" right="0.7" top="0.75" bottom="0.75" header="0.3" footer="0.3"/>
  <pageSetup scale="6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2D50D4-F46A-4EB8-98CE-0AA766B27E4A}">
  <sheetPr>
    <pageSetUpPr fitToPage="1"/>
  </sheetPr>
  <dimension ref="A1:J59"/>
  <sheetViews>
    <sheetView topLeftCell="B25" workbookViewId="0">
      <selection activeCell="C59" sqref="C59"/>
    </sheetView>
  </sheetViews>
  <sheetFormatPr defaultColWidth="9.140625" defaultRowHeight="15.75"/>
  <cols>
    <col min="1" max="1" width="9.140625" style="1" hidden="1" customWidth="1"/>
    <col min="2" max="2" width="61.7109375" style="3" bestFit="1" customWidth="1"/>
    <col min="3" max="8" width="13.7109375" style="1" customWidth="1"/>
    <col min="9" max="16384" width="9.140625" style="1"/>
  </cols>
  <sheetData>
    <row r="1" spans="2:10">
      <c r="B1" s="65" t="s">
        <v>0</v>
      </c>
      <c r="C1" s="65"/>
      <c r="D1" s="65"/>
      <c r="E1" s="65"/>
      <c r="F1" s="65"/>
      <c r="G1" s="65"/>
    </row>
    <row r="2" spans="2:10">
      <c r="B2" s="65" t="s">
        <v>1</v>
      </c>
      <c r="C2" s="65"/>
      <c r="D2" s="65"/>
      <c r="E2" s="65"/>
      <c r="F2" s="65"/>
      <c r="G2" s="65"/>
    </row>
    <row r="3" spans="2:10">
      <c r="B3" s="65" t="s">
        <v>2</v>
      </c>
      <c r="C3" s="65"/>
      <c r="D3" s="65"/>
      <c r="E3" s="65"/>
      <c r="F3" s="65"/>
      <c r="G3" s="65"/>
    </row>
    <row r="4" spans="2:10">
      <c r="B4" s="2"/>
      <c r="C4" s="2"/>
      <c r="D4" s="2"/>
      <c r="E4" s="2"/>
      <c r="F4" s="2"/>
    </row>
    <row r="5" spans="2:10">
      <c r="B5" s="19"/>
    </row>
    <row r="6" spans="2:10" s="4" customFormat="1">
      <c r="B6" s="5" t="s">
        <v>3</v>
      </c>
      <c r="C6" s="63" t="s">
        <v>54</v>
      </c>
      <c r="D6" s="63"/>
      <c r="E6" s="63"/>
      <c r="F6" s="63"/>
      <c r="G6" s="63"/>
      <c r="H6" s="5"/>
    </row>
    <row r="7" spans="2:10" s="4" customFormat="1">
      <c r="B7" s="5" t="s">
        <v>3</v>
      </c>
      <c r="C7" s="23" t="s">
        <v>58</v>
      </c>
      <c r="D7" s="9" t="s">
        <v>55</v>
      </c>
      <c r="E7" s="9" t="s">
        <v>56</v>
      </c>
      <c r="F7" s="9" t="s">
        <v>57</v>
      </c>
      <c r="G7" s="23" t="s">
        <v>58</v>
      </c>
      <c r="H7" s="9"/>
      <c r="I7" s="23"/>
      <c r="J7" s="9"/>
    </row>
    <row r="8" spans="2:10" s="4" customFormat="1">
      <c r="B8" s="5" t="s">
        <v>59</v>
      </c>
      <c r="C8" s="24">
        <v>2021</v>
      </c>
      <c r="D8" s="24">
        <v>2021</v>
      </c>
      <c r="E8" s="24">
        <v>2020</v>
      </c>
      <c r="F8" s="24">
        <v>2020</v>
      </c>
      <c r="G8" s="24">
        <v>2020</v>
      </c>
      <c r="H8" s="5"/>
      <c r="I8" s="5"/>
      <c r="J8" s="9"/>
    </row>
    <row r="9" spans="2:10" s="4" customFormat="1" ht="15">
      <c r="B9" s="3"/>
      <c r="C9" s="20"/>
      <c r="D9" s="20"/>
      <c r="E9" s="20"/>
      <c r="F9" s="20"/>
      <c r="G9" s="20"/>
      <c r="H9" s="3"/>
      <c r="I9" s="3"/>
    </row>
    <row r="10" spans="2:10">
      <c r="B10" s="3" t="s">
        <v>60</v>
      </c>
      <c r="C10" s="10">
        <v>261273</v>
      </c>
      <c r="D10" s="10">
        <v>262840</v>
      </c>
      <c r="E10" s="10">
        <v>239440</v>
      </c>
      <c r="F10" s="10">
        <v>216454</v>
      </c>
      <c r="G10" s="10">
        <v>212337</v>
      </c>
      <c r="H10" s="10"/>
      <c r="I10" s="10"/>
      <c r="J10" s="10"/>
    </row>
    <row r="11" spans="2:10">
      <c r="B11" s="3" t="s">
        <v>44</v>
      </c>
      <c r="C11" s="12">
        <f>27838+404</f>
        <v>28242</v>
      </c>
      <c r="D11" s="12">
        <v>11131</v>
      </c>
      <c r="E11" s="12">
        <v>23960</v>
      </c>
      <c r="F11" s="12">
        <v>32176</v>
      </c>
      <c r="G11" s="12">
        <v>41211</v>
      </c>
      <c r="H11" s="12"/>
      <c r="I11" s="12"/>
      <c r="J11" s="12"/>
    </row>
    <row r="12" spans="2:10">
      <c r="B12" s="3" t="s">
        <v>61</v>
      </c>
      <c r="C12" s="12">
        <f>2198+93955</f>
        <v>96153</v>
      </c>
      <c r="D12" s="12">
        <v>94737</v>
      </c>
      <c r="E12" s="12">
        <v>93094</v>
      </c>
      <c r="F12" s="12">
        <v>92272</v>
      </c>
      <c r="G12" s="12">
        <v>81496</v>
      </c>
      <c r="H12" s="12"/>
      <c r="I12" s="12"/>
      <c r="J12" s="12"/>
    </row>
    <row r="13" spans="2:10">
      <c r="C13" s="12"/>
      <c r="D13" s="12"/>
      <c r="E13" s="12"/>
      <c r="F13" s="12"/>
      <c r="G13" s="12"/>
      <c r="H13" s="12"/>
      <c r="I13" s="12"/>
    </row>
    <row r="14" spans="2:10" s="4" customFormat="1">
      <c r="B14" s="5" t="s">
        <v>62</v>
      </c>
      <c r="C14" s="13">
        <f>SUM(C10:C13)</f>
        <v>385668</v>
      </c>
      <c r="D14" s="13">
        <v>368708</v>
      </c>
      <c r="E14" s="13">
        <v>356494</v>
      </c>
      <c r="F14" s="13">
        <v>340902</v>
      </c>
      <c r="G14" s="13">
        <v>335044</v>
      </c>
      <c r="H14" s="13"/>
      <c r="I14" s="13"/>
      <c r="J14" s="13"/>
    </row>
    <row r="15" spans="2:10">
      <c r="C15" s="12"/>
      <c r="D15" s="12"/>
      <c r="E15" s="12"/>
      <c r="F15" s="12"/>
      <c r="G15" s="12"/>
      <c r="H15" s="12"/>
      <c r="I15" s="12"/>
    </row>
    <row r="16" spans="2:10" s="4" customFormat="1">
      <c r="B16" s="5" t="s">
        <v>63</v>
      </c>
      <c r="C16" s="13">
        <v>391571</v>
      </c>
      <c r="D16" s="13">
        <v>375295</v>
      </c>
      <c r="E16" s="13">
        <v>363558</v>
      </c>
      <c r="F16" s="13">
        <v>342058</v>
      </c>
      <c r="G16" s="13">
        <v>342369</v>
      </c>
      <c r="H16" s="13"/>
      <c r="I16" s="13"/>
      <c r="J16" s="13"/>
    </row>
    <row r="17" spans="2:10">
      <c r="C17" s="12"/>
      <c r="D17" s="12"/>
      <c r="E17" s="12"/>
      <c r="F17" s="12"/>
      <c r="G17" s="12"/>
      <c r="H17" s="12"/>
      <c r="I17" s="12"/>
      <c r="J17" s="12"/>
    </row>
    <row r="18" spans="2:10">
      <c r="B18" s="3" t="s">
        <v>64</v>
      </c>
      <c r="C18" s="12">
        <f>347865-C19</f>
        <v>136853</v>
      </c>
      <c r="D18" s="12">
        <v>133541</v>
      </c>
      <c r="E18" s="12">
        <v>130114</v>
      </c>
      <c r="F18" s="12">
        <v>117655</v>
      </c>
      <c r="G18" s="12">
        <v>122409</v>
      </c>
      <c r="H18" s="12"/>
      <c r="I18" s="12"/>
      <c r="J18" s="12"/>
    </row>
    <row r="19" spans="2:10">
      <c r="B19" s="3" t="s">
        <v>65</v>
      </c>
      <c r="C19" s="12">
        <v>211012</v>
      </c>
      <c r="D19" s="12">
        <v>199047</v>
      </c>
      <c r="E19" s="12">
        <v>191654</v>
      </c>
      <c r="F19" s="12">
        <v>189053</v>
      </c>
      <c r="G19" s="12">
        <v>180558</v>
      </c>
      <c r="H19" s="12"/>
      <c r="I19" s="12"/>
      <c r="J19" s="12"/>
    </row>
    <row r="20" spans="2:10">
      <c r="C20" s="12"/>
      <c r="D20" s="12"/>
      <c r="E20" s="12"/>
      <c r="F20" s="12"/>
      <c r="G20" s="12"/>
      <c r="H20" s="12"/>
      <c r="I20" s="12"/>
      <c r="J20" s="12"/>
    </row>
    <row r="21" spans="2:10" s="4" customFormat="1">
      <c r="B21" s="5" t="s">
        <v>66</v>
      </c>
      <c r="C21" s="13">
        <f>+C18+C19</f>
        <v>347865</v>
      </c>
      <c r="D21" s="13">
        <v>332588</v>
      </c>
      <c r="E21" s="13">
        <v>321768</v>
      </c>
      <c r="F21" s="13">
        <v>306708</v>
      </c>
      <c r="G21" s="13">
        <v>302967</v>
      </c>
      <c r="H21" s="13"/>
      <c r="I21" s="13"/>
      <c r="J21" s="13"/>
    </row>
    <row r="22" spans="2:10" s="4" customFormat="1">
      <c r="B22" s="5"/>
      <c r="C22" s="13"/>
      <c r="D22" s="13"/>
      <c r="E22" s="13"/>
      <c r="F22" s="13"/>
      <c r="G22" s="13"/>
      <c r="H22" s="13"/>
      <c r="I22" s="13"/>
      <c r="J22" s="13"/>
    </row>
    <row r="23" spans="2:10" s="21" customFormat="1" ht="15">
      <c r="B23" s="3" t="s">
        <v>52</v>
      </c>
      <c r="C23" s="12">
        <v>0</v>
      </c>
      <c r="D23" s="12">
        <v>244</v>
      </c>
      <c r="E23" s="12">
        <v>0</v>
      </c>
      <c r="F23" s="12">
        <v>0</v>
      </c>
      <c r="G23" s="12">
        <v>0</v>
      </c>
      <c r="H23" s="12"/>
      <c r="I23" s="12"/>
      <c r="J23" s="12"/>
    </row>
    <row r="24" spans="2:10">
      <c r="C24" s="13"/>
      <c r="D24" s="13"/>
      <c r="E24" s="13"/>
      <c r="F24" s="13"/>
      <c r="G24" s="13"/>
      <c r="H24" s="12"/>
      <c r="I24" s="12"/>
      <c r="J24" s="12"/>
    </row>
    <row r="25" spans="2:10" s="4" customFormat="1">
      <c r="B25" s="5" t="s">
        <v>67</v>
      </c>
      <c r="C25" s="16">
        <f>42222-1986</f>
        <v>40236</v>
      </c>
      <c r="D25" s="16">
        <v>39352</v>
      </c>
      <c r="E25" s="16">
        <v>38084</v>
      </c>
      <c r="F25" s="16">
        <v>37602</v>
      </c>
      <c r="G25" s="16">
        <v>36611</v>
      </c>
      <c r="H25" s="13"/>
      <c r="I25" s="13"/>
      <c r="J25" s="13"/>
    </row>
    <row r="26" spans="2:10">
      <c r="G26" s="12"/>
      <c r="H26" s="3"/>
    </row>
    <row r="27" spans="2:10">
      <c r="B27" s="2"/>
      <c r="E27" s="2"/>
      <c r="F27" s="2"/>
      <c r="G27" s="2"/>
    </row>
    <row r="28" spans="2:10">
      <c r="B28" s="5" t="s">
        <v>3</v>
      </c>
      <c r="C28" s="63" t="s">
        <v>4</v>
      </c>
      <c r="D28" s="63"/>
      <c r="E28" s="63"/>
      <c r="F28" s="63"/>
      <c r="G28" s="63"/>
    </row>
    <row r="29" spans="2:10">
      <c r="B29" s="5"/>
      <c r="C29" s="23" t="s">
        <v>58</v>
      </c>
      <c r="D29" s="9" t="s">
        <v>55</v>
      </c>
      <c r="E29" s="9" t="s">
        <v>56</v>
      </c>
      <c r="F29" s="9" t="s">
        <v>57</v>
      </c>
      <c r="G29" s="23" t="s">
        <v>58</v>
      </c>
      <c r="H29" s="9"/>
      <c r="I29" s="23"/>
      <c r="J29" s="9"/>
    </row>
    <row r="30" spans="2:10">
      <c r="B30" s="5" t="s">
        <v>68</v>
      </c>
      <c r="C30" s="24">
        <v>2021</v>
      </c>
      <c r="D30" s="24">
        <v>2021</v>
      </c>
      <c r="E30" s="24">
        <v>2020</v>
      </c>
      <c r="F30" s="24">
        <v>2020</v>
      </c>
      <c r="G30" s="24">
        <v>2020</v>
      </c>
      <c r="H30" s="5"/>
      <c r="I30" s="5"/>
      <c r="J30" s="9"/>
    </row>
    <row r="31" spans="2:10">
      <c r="C31" s="3"/>
      <c r="D31" s="3"/>
      <c r="E31" s="3"/>
      <c r="F31" s="3"/>
      <c r="G31" s="3"/>
      <c r="H31" s="3"/>
      <c r="I31" s="3"/>
      <c r="J31" s="3"/>
    </row>
    <row r="32" spans="2:10">
      <c r="C32" s="3"/>
      <c r="D32" s="3"/>
      <c r="E32" s="3"/>
      <c r="F32" s="3"/>
      <c r="G32" s="3"/>
      <c r="H32" s="3"/>
      <c r="I32" s="3"/>
      <c r="J32" s="3"/>
    </row>
    <row r="33" spans="2:10">
      <c r="B33" s="3" t="s">
        <v>10</v>
      </c>
      <c r="C33" s="10">
        <v>3806</v>
      </c>
      <c r="D33" s="10">
        <v>3656</v>
      </c>
      <c r="E33" s="10">
        <v>3177</v>
      </c>
      <c r="F33" s="10">
        <v>2949</v>
      </c>
      <c r="G33" s="10">
        <v>3042</v>
      </c>
      <c r="H33" s="12"/>
      <c r="I33" s="12"/>
      <c r="J33" s="12"/>
    </row>
    <row r="34" spans="2:10">
      <c r="B34" s="3" t="s">
        <v>11</v>
      </c>
      <c r="C34" s="12">
        <v>144</v>
      </c>
      <c r="D34" s="12">
        <v>131</v>
      </c>
      <c r="E34" s="12">
        <v>129</v>
      </c>
      <c r="F34" s="12">
        <v>158</v>
      </c>
      <c r="G34" s="12">
        <v>188</v>
      </c>
      <c r="H34" s="12"/>
      <c r="I34" s="12"/>
      <c r="J34" s="12"/>
    </row>
    <row r="35" spans="2:10">
      <c r="B35" s="5" t="s">
        <v>12</v>
      </c>
      <c r="C35" s="13">
        <v>3662</v>
      </c>
      <c r="D35" s="13">
        <f>+D33-D34</f>
        <v>3525</v>
      </c>
      <c r="E35" s="13">
        <v>3048</v>
      </c>
      <c r="F35" s="13">
        <v>2791</v>
      </c>
      <c r="G35" s="13">
        <v>2854</v>
      </c>
      <c r="H35" s="13"/>
      <c r="I35" s="13"/>
      <c r="J35" s="13"/>
    </row>
    <row r="36" spans="2:10">
      <c r="C36" s="12"/>
      <c r="D36" s="12"/>
      <c r="E36" s="12"/>
      <c r="F36" s="12"/>
      <c r="G36" s="12"/>
      <c r="H36" s="12"/>
      <c r="I36" s="12"/>
      <c r="J36" s="12"/>
    </row>
    <row r="37" spans="2:10">
      <c r="B37" s="3" t="s">
        <v>14</v>
      </c>
      <c r="C37" s="12">
        <v>58</v>
      </c>
      <c r="D37" s="12">
        <v>56</v>
      </c>
      <c r="E37" s="25">
        <v>61</v>
      </c>
      <c r="F37" s="25">
        <v>56</v>
      </c>
      <c r="G37" s="12">
        <v>39</v>
      </c>
      <c r="H37" s="12"/>
      <c r="I37" s="12"/>
      <c r="J37" s="12"/>
    </row>
    <row r="38" spans="2:10">
      <c r="B38" s="3" t="s">
        <v>16</v>
      </c>
      <c r="C38" s="12">
        <v>104</v>
      </c>
      <c r="D38" s="12">
        <v>91</v>
      </c>
      <c r="E38" s="25">
        <v>90</v>
      </c>
      <c r="F38" s="25">
        <v>86</v>
      </c>
      <c r="G38" s="12">
        <v>79</v>
      </c>
      <c r="H38" s="12"/>
      <c r="I38" s="12"/>
      <c r="J38" s="12"/>
    </row>
    <row r="39" spans="2:10">
      <c r="B39" s="5" t="s">
        <v>17</v>
      </c>
      <c r="C39" s="13">
        <v>162</v>
      </c>
      <c r="D39" s="13">
        <f>SUM(D37:D38)</f>
        <v>147</v>
      </c>
      <c r="E39" s="13">
        <v>151</v>
      </c>
      <c r="F39" s="13">
        <v>142</v>
      </c>
      <c r="G39" s="13">
        <v>118</v>
      </c>
      <c r="H39" s="13"/>
      <c r="I39" s="13"/>
      <c r="J39" s="13"/>
    </row>
    <row r="40" spans="2:10">
      <c r="C40" s="12"/>
      <c r="D40" s="12"/>
      <c r="E40" s="12"/>
      <c r="F40" s="12"/>
      <c r="G40" s="12"/>
      <c r="H40" s="12"/>
      <c r="I40" s="12"/>
      <c r="J40" s="12"/>
    </row>
    <row r="41" spans="2:10">
      <c r="B41" s="3" t="s">
        <v>18</v>
      </c>
      <c r="C41" s="12">
        <v>1080</v>
      </c>
      <c r="D41" s="12">
        <v>959</v>
      </c>
      <c r="E41" s="25">
        <v>977</v>
      </c>
      <c r="F41" s="25">
        <v>915</v>
      </c>
      <c r="G41" s="12">
        <v>1037</v>
      </c>
      <c r="H41" s="12"/>
      <c r="I41" s="12"/>
      <c r="J41" s="12"/>
    </row>
    <row r="42" spans="2:10">
      <c r="B42" s="3" t="s">
        <v>19</v>
      </c>
      <c r="C42" s="12">
        <v>114</v>
      </c>
      <c r="D42" s="12">
        <v>124</v>
      </c>
      <c r="E42" s="25">
        <v>119</v>
      </c>
      <c r="F42" s="25">
        <v>94</v>
      </c>
      <c r="G42" s="12">
        <v>113</v>
      </c>
      <c r="H42" s="12"/>
      <c r="I42" s="12"/>
      <c r="J42" s="12"/>
    </row>
    <row r="43" spans="2:10">
      <c r="B43" s="3" t="s">
        <v>20</v>
      </c>
      <c r="C43" s="12">
        <v>405</v>
      </c>
      <c r="D43" s="12">
        <v>505</v>
      </c>
      <c r="E43" s="25">
        <v>362</v>
      </c>
      <c r="F43" s="25">
        <v>364</v>
      </c>
      <c r="G43" s="12">
        <v>412</v>
      </c>
      <c r="H43" s="12"/>
      <c r="I43" s="12"/>
      <c r="J43" s="12"/>
    </row>
    <row r="44" spans="2:10">
      <c r="B44" s="5" t="s">
        <v>21</v>
      </c>
      <c r="C44" s="13">
        <v>1599</v>
      </c>
      <c r="D44" s="13">
        <f>SUM(D41:D43)</f>
        <v>1588</v>
      </c>
      <c r="E44" s="13">
        <v>1458</v>
      </c>
      <c r="F44" s="13">
        <v>1373</v>
      </c>
      <c r="G44" s="13">
        <v>1562</v>
      </c>
      <c r="H44" s="13"/>
      <c r="I44" s="13"/>
      <c r="J44" s="13"/>
    </row>
    <row r="45" spans="2:10">
      <c r="C45" s="12"/>
      <c r="D45" s="12"/>
      <c r="E45" s="12"/>
      <c r="F45" s="12"/>
      <c r="G45" s="12"/>
      <c r="H45" s="12"/>
      <c r="I45" s="12"/>
      <c r="J45" s="12"/>
    </row>
    <row r="46" spans="2:10">
      <c r="B46" s="5" t="s">
        <v>22</v>
      </c>
      <c r="C46" s="13">
        <v>2225</v>
      </c>
      <c r="D46" s="13">
        <f>+D35+D39-D44</f>
        <v>2084</v>
      </c>
      <c r="E46" s="13">
        <v>1741</v>
      </c>
      <c r="F46" s="13">
        <v>1560</v>
      </c>
      <c r="G46" s="13">
        <v>1410</v>
      </c>
      <c r="H46" s="12"/>
      <c r="I46" s="12"/>
      <c r="J46" s="12"/>
    </row>
    <row r="47" spans="2:10">
      <c r="B47" s="5"/>
      <c r="C47" s="13"/>
      <c r="D47" s="13"/>
      <c r="E47" s="13"/>
      <c r="F47" s="13"/>
      <c r="G47" s="13"/>
      <c r="H47" s="12"/>
      <c r="I47" s="12"/>
      <c r="J47" s="12"/>
    </row>
    <row r="48" spans="2:10">
      <c r="B48" s="3" t="s">
        <v>23</v>
      </c>
      <c r="C48" s="12">
        <v>0</v>
      </c>
      <c r="D48" s="12">
        <v>0</v>
      </c>
      <c r="E48" s="12">
        <v>-1</v>
      </c>
      <c r="F48" s="12">
        <v>0</v>
      </c>
      <c r="G48" s="12">
        <v>0</v>
      </c>
      <c r="H48" s="12"/>
      <c r="I48" s="12"/>
      <c r="J48" s="12"/>
    </row>
    <row r="49" spans="2:10">
      <c r="B49" s="3" t="s">
        <v>25</v>
      </c>
      <c r="C49" s="12">
        <v>0</v>
      </c>
      <c r="D49" s="12">
        <v>0</v>
      </c>
      <c r="E49" s="12">
        <v>0</v>
      </c>
      <c r="F49" s="12">
        <v>18</v>
      </c>
      <c r="G49" s="12">
        <v>0</v>
      </c>
      <c r="H49" s="13"/>
      <c r="I49" s="13"/>
      <c r="J49" s="13"/>
    </row>
    <row r="50" spans="2:10">
      <c r="B50" s="3" t="s">
        <v>69</v>
      </c>
      <c r="C50" s="12">
        <v>0</v>
      </c>
      <c r="D50" s="12">
        <v>0</v>
      </c>
      <c r="E50" s="12">
        <v>0</v>
      </c>
      <c r="F50" s="12">
        <v>0</v>
      </c>
      <c r="G50" s="12">
        <v>0</v>
      </c>
    </row>
    <row r="51" spans="2:10">
      <c r="C51" s="12"/>
      <c r="D51" s="12"/>
      <c r="E51" s="12"/>
      <c r="F51" s="12"/>
      <c r="G51" s="12"/>
    </row>
    <row r="52" spans="2:10" s="4" customFormat="1">
      <c r="B52" s="5" t="s">
        <v>27</v>
      </c>
      <c r="C52" s="13">
        <v>550</v>
      </c>
      <c r="D52" s="13">
        <v>550</v>
      </c>
      <c r="E52" s="13">
        <v>315</v>
      </c>
      <c r="F52" s="13">
        <v>200</v>
      </c>
      <c r="G52" s="13">
        <v>125</v>
      </c>
    </row>
    <row r="53" spans="2:10">
      <c r="C53" s="12"/>
      <c r="D53" s="12"/>
      <c r="E53" s="12"/>
      <c r="F53" s="12"/>
      <c r="G53" s="12"/>
    </row>
    <row r="54" spans="2:10">
      <c r="B54" s="3" t="s">
        <v>28</v>
      </c>
      <c r="C54" s="12">
        <v>1675</v>
      </c>
      <c r="D54" s="12">
        <f>+D46+D48+D49-D52+D50</f>
        <v>1534</v>
      </c>
      <c r="E54" s="25">
        <v>1425</v>
      </c>
      <c r="F54" s="25">
        <v>1378</v>
      </c>
      <c r="G54" s="12">
        <v>1285</v>
      </c>
    </row>
    <row r="55" spans="2:10">
      <c r="B55" s="3" t="s">
        <v>29</v>
      </c>
      <c r="C55" s="12">
        <v>249</v>
      </c>
      <c r="D55" s="12">
        <v>206</v>
      </c>
      <c r="E55" s="12">
        <v>179</v>
      </c>
      <c r="F55" s="12">
        <v>162</v>
      </c>
      <c r="G55" s="12">
        <v>155</v>
      </c>
    </row>
    <row r="56" spans="2:10">
      <c r="C56" s="16"/>
      <c r="D56" s="16" t="s">
        <v>3</v>
      </c>
      <c r="E56" s="16"/>
      <c r="F56" s="12"/>
      <c r="G56" s="16"/>
    </row>
    <row r="57" spans="2:10">
      <c r="B57" s="5" t="s">
        <v>30</v>
      </c>
      <c r="C57" s="16">
        <v>1426</v>
      </c>
      <c r="D57" s="16">
        <f>+D54-D55</f>
        <v>1328</v>
      </c>
      <c r="E57" s="16">
        <v>1246</v>
      </c>
      <c r="F57" s="16">
        <v>1216</v>
      </c>
      <c r="G57" s="16">
        <v>1130</v>
      </c>
    </row>
    <row r="58" spans="2:10">
      <c r="C58" s="12"/>
      <c r="D58" s="12"/>
      <c r="E58" s="12"/>
      <c r="F58" s="12"/>
      <c r="G58" s="12"/>
    </row>
    <row r="59" spans="2:10" s="3" customFormat="1" ht="15">
      <c r="B59" s="3" t="s">
        <v>70</v>
      </c>
      <c r="C59" s="26">
        <f>+Sheet1!C40</f>
        <v>1.26</v>
      </c>
      <c r="D59" s="26">
        <v>1.18</v>
      </c>
      <c r="E59" s="26">
        <v>1.1000000000000001</v>
      </c>
      <c r="F59" s="26">
        <v>1.08</v>
      </c>
      <c r="G59" s="26">
        <v>1</v>
      </c>
    </row>
  </sheetData>
  <mergeCells count="5">
    <mergeCell ref="B1:G1"/>
    <mergeCell ref="B2:G2"/>
    <mergeCell ref="B3:G3"/>
    <mergeCell ref="C6:G6"/>
    <mergeCell ref="C28:G28"/>
  </mergeCells>
  <pageMargins left="0.7" right="0.7" top="0.75" bottom="0.75" header="0.3" footer="0.3"/>
  <pageSetup scale="6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FDDF84-D3EA-4CA4-80C2-A20A378EF024}">
  <sheetPr>
    <pageSetUpPr fitToPage="1"/>
  </sheetPr>
  <dimension ref="A1:I53"/>
  <sheetViews>
    <sheetView topLeftCell="B1" workbookViewId="0">
      <selection activeCell="B1" sqref="B1:G1"/>
    </sheetView>
  </sheetViews>
  <sheetFormatPr defaultColWidth="9.140625" defaultRowHeight="15.75"/>
  <cols>
    <col min="1" max="1" width="9.140625" style="1" hidden="1" customWidth="1"/>
    <col min="2" max="2" width="56.7109375" style="3" bestFit="1" customWidth="1"/>
    <col min="3" max="3" width="13.7109375" style="27" customWidth="1"/>
    <col min="4" max="7" width="13.7109375" style="1" customWidth="1"/>
    <col min="8" max="16384" width="9.140625" style="1"/>
  </cols>
  <sheetData>
    <row r="1" spans="2:9">
      <c r="B1" s="65" t="s">
        <v>0</v>
      </c>
      <c r="C1" s="65"/>
      <c r="D1" s="65"/>
      <c r="E1" s="65"/>
      <c r="F1" s="65"/>
      <c r="G1" s="65"/>
    </row>
    <row r="2" spans="2:9">
      <c r="B2" s="65" t="s">
        <v>1</v>
      </c>
      <c r="C2" s="65"/>
      <c r="D2" s="65"/>
      <c r="E2" s="65"/>
      <c r="F2" s="65"/>
      <c r="G2" s="65"/>
    </row>
    <row r="3" spans="2:9">
      <c r="B3" s="65" t="s">
        <v>2</v>
      </c>
      <c r="C3" s="65"/>
      <c r="D3" s="65"/>
      <c r="E3" s="65"/>
      <c r="F3" s="65"/>
      <c r="G3" s="65"/>
    </row>
    <row r="4" spans="2:9">
      <c r="B4" s="2"/>
      <c r="C4" s="2"/>
      <c r="D4" s="2"/>
      <c r="E4" s="2"/>
      <c r="F4" s="2"/>
      <c r="G4" s="21"/>
    </row>
    <row r="5" spans="2:9">
      <c r="C5" s="21"/>
      <c r="D5" s="21"/>
      <c r="E5" s="21"/>
      <c r="F5" s="21"/>
      <c r="G5" s="21"/>
    </row>
    <row r="6" spans="2:9">
      <c r="C6" s="21"/>
      <c r="D6" s="21"/>
      <c r="E6" s="21"/>
      <c r="F6" s="21"/>
      <c r="G6" s="21"/>
    </row>
    <row r="7" spans="2:9">
      <c r="B7" s="5" t="s">
        <v>3</v>
      </c>
      <c r="C7" s="63" t="s">
        <v>71</v>
      </c>
      <c r="D7" s="63"/>
      <c r="E7" s="63"/>
      <c r="F7" s="63"/>
      <c r="G7" s="63"/>
    </row>
    <row r="8" spans="2:9">
      <c r="B8" s="5" t="s">
        <v>3</v>
      </c>
      <c r="C8" s="23" t="s">
        <v>58</v>
      </c>
      <c r="D8" s="9" t="s">
        <v>55</v>
      </c>
      <c r="E8" s="9" t="s">
        <v>56</v>
      </c>
      <c r="F8" s="9" t="s">
        <v>57</v>
      </c>
      <c r="G8" s="23" t="s">
        <v>58</v>
      </c>
      <c r="H8" s="9"/>
      <c r="I8" s="9"/>
    </row>
    <row r="9" spans="2:9">
      <c r="B9" s="5" t="s">
        <v>72</v>
      </c>
      <c r="C9" s="24">
        <v>2021</v>
      </c>
      <c r="D9" s="24">
        <v>2021</v>
      </c>
      <c r="E9" s="24">
        <v>2020</v>
      </c>
      <c r="F9" s="24">
        <v>2020</v>
      </c>
      <c r="G9" s="24">
        <v>2020</v>
      </c>
      <c r="H9" s="5"/>
      <c r="I9" s="9"/>
    </row>
    <row r="10" spans="2:9">
      <c r="D10" s="27"/>
      <c r="E10" s="27"/>
      <c r="F10" s="27"/>
      <c r="G10" s="27"/>
      <c r="H10" s="3"/>
      <c r="I10" s="3"/>
    </row>
    <row r="11" spans="2:9">
      <c r="B11" s="3" t="s">
        <v>73</v>
      </c>
      <c r="C11" s="10">
        <v>249390</v>
      </c>
      <c r="D11" s="10">
        <v>270619</v>
      </c>
      <c r="E11" s="10">
        <v>252207</v>
      </c>
      <c r="F11" s="10">
        <v>228473</v>
      </c>
      <c r="G11" s="10">
        <v>216848</v>
      </c>
      <c r="H11" s="10"/>
      <c r="I11" s="10"/>
    </row>
    <row r="12" spans="2:9">
      <c r="B12" s="3" t="s">
        <v>44</v>
      </c>
      <c r="C12" s="12">
        <v>31247</v>
      </c>
      <c r="D12" s="12">
        <v>10941</v>
      </c>
      <c r="E12" s="12">
        <v>24993</v>
      </c>
      <c r="F12" s="12">
        <v>16429</v>
      </c>
      <c r="G12" s="12">
        <v>38648</v>
      </c>
      <c r="H12" s="12"/>
      <c r="I12" s="12"/>
    </row>
    <row r="13" spans="2:9">
      <c r="B13" s="3" t="s">
        <v>61</v>
      </c>
      <c r="C13" s="12">
        <f>100095+404</f>
        <v>100499</v>
      </c>
      <c r="D13" s="12">
        <f>93211+404</f>
        <v>93615</v>
      </c>
      <c r="E13" s="12">
        <v>95244</v>
      </c>
      <c r="F13" s="12">
        <v>90606</v>
      </c>
      <c r="G13" s="12">
        <v>90658</v>
      </c>
      <c r="H13" s="12"/>
      <c r="I13" s="12"/>
    </row>
    <row r="14" spans="2:9">
      <c r="C14" s="12"/>
      <c r="D14" s="12"/>
      <c r="E14" s="12"/>
      <c r="F14" s="12"/>
      <c r="G14" s="12"/>
      <c r="H14" s="12"/>
      <c r="I14" s="12"/>
    </row>
    <row r="15" spans="2:9" s="4" customFormat="1">
      <c r="B15" s="5" t="s">
        <v>74</v>
      </c>
      <c r="C15" s="13">
        <f>SUM(C11:C14)</f>
        <v>381136</v>
      </c>
      <c r="D15" s="13">
        <f>SUM(D11:D14)</f>
        <v>375175</v>
      </c>
      <c r="E15" s="13">
        <v>372444</v>
      </c>
      <c r="F15" s="13">
        <v>335508</v>
      </c>
      <c r="G15" s="13">
        <v>346154</v>
      </c>
      <c r="H15" s="13"/>
      <c r="I15" s="13"/>
    </row>
    <row r="16" spans="2:9">
      <c r="C16" s="12"/>
      <c r="D16" s="12"/>
      <c r="E16" s="12"/>
      <c r="F16" s="12"/>
      <c r="G16" s="12"/>
      <c r="H16" s="12"/>
      <c r="I16" s="12"/>
    </row>
    <row r="17" spans="2:9">
      <c r="B17" s="3" t="s">
        <v>75</v>
      </c>
      <c r="C17" s="12">
        <v>-4016</v>
      </c>
      <c r="D17" s="12">
        <v>-3466</v>
      </c>
      <c r="E17" s="12">
        <v>-2915</v>
      </c>
      <c r="F17" s="12">
        <v>-2598</v>
      </c>
      <c r="G17" s="12">
        <v>-2396</v>
      </c>
      <c r="H17" s="12"/>
      <c r="I17" s="12"/>
    </row>
    <row r="18" spans="2:9">
      <c r="B18" s="3" t="s">
        <v>76</v>
      </c>
      <c r="C18" s="12">
        <v>2218</v>
      </c>
      <c r="D18" s="12">
        <v>2221</v>
      </c>
      <c r="E18" s="12">
        <v>2340</v>
      </c>
      <c r="F18" s="12">
        <v>2400</v>
      </c>
      <c r="G18" s="12">
        <v>2455</v>
      </c>
      <c r="H18" s="12"/>
      <c r="I18" s="12"/>
    </row>
    <row r="19" spans="2:9">
      <c r="B19" s="3" t="s">
        <v>77</v>
      </c>
      <c r="C19" s="12">
        <v>10507</v>
      </c>
      <c r="D19" s="12">
        <f>352+1230+2+271+55+5734+1</f>
        <v>7645</v>
      </c>
      <c r="E19" s="12">
        <v>6237</v>
      </c>
      <c r="F19" s="12">
        <v>6748</v>
      </c>
      <c r="G19" s="12">
        <v>5673</v>
      </c>
      <c r="H19" s="12"/>
      <c r="I19" s="12"/>
    </row>
    <row r="20" spans="2:9">
      <c r="C20" s="12"/>
      <c r="D20" s="12"/>
      <c r="E20" s="12" t="s">
        <v>3</v>
      </c>
      <c r="F20" s="12" t="s">
        <v>3</v>
      </c>
      <c r="G20" s="12" t="s">
        <v>3</v>
      </c>
      <c r="H20" s="12"/>
      <c r="I20" s="12"/>
    </row>
    <row r="21" spans="2:9" s="4" customFormat="1">
      <c r="B21" s="5" t="s">
        <v>78</v>
      </c>
      <c r="C21" s="13">
        <f>SUM(C15:C20)</f>
        <v>389845</v>
      </c>
      <c r="D21" s="13">
        <f>SUM(D15:D20)</f>
        <v>381575</v>
      </c>
      <c r="E21" s="13">
        <v>378106</v>
      </c>
      <c r="F21" s="13">
        <v>342058</v>
      </c>
      <c r="G21" s="13">
        <v>351886</v>
      </c>
      <c r="H21" s="13"/>
      <c r="I21" s="13"/>
    </row>
    <row r="22" spans="2:9">
      <c r="C22" s="12"/>
      <c r="D22" s="12"/>
      <c r="E22" s="12"/>
      <c r="F22" s="12"/>
      <c r="G22" s="12"/>
      <c r="H22" s="12"/>
      <c r="I22" s="12"/>
    </row>
    <row r="23" spans="2:9">
      <c r="B23" s="3" t="s">
        <v>64</v>
      </c>
      <c r="C23" s="12">
        <f>345404-C24</f>
        <v>149049</v>
      </c>
      <c r="D23" s="12">
        <v>135920</v>
      </c>
      <c r="E23" s="12">
        <v>134692</v>
      </c>
      <c r="F23" s="12">
        <v>114284</v>
      </c>
      <c r="G23" s="12">
        <v>118933</v>
      </c>
      <c r="H23" s="12"/>
      <c r="I23" s="12"/>
    </row>
    <row r="24" spans="2:9">
      <c r="B24" s="3" t="s">
        <v>65</v>
      </c>
      <c r="C24" s="12">
        <f>32722+91+95+3042+109975+50430</f>
        <v>196355</v>
      </c>
      <c r="D24" s="12">
        <v>202205</v>
      </c>
      <c r="E24" s="12">
        <v>201120</v>
      </c>
      <c r="F24" s="12">
        <v>186096</v>
      </c>
      <c r="G24" s="12">
        <v>192159</v>
      </c>
      <c r="H24" s="12"/>
      <c r="I24" s="12"/>
    </row>
    <row r="25" spans="2:9">
      <c r="C25" s="12" t="s">
        <v>3</v>
      </c>
      <c r="D25" s="12" t="s">
        <v>3</v>
      </c>
      <c r="E25" s="12" t="s">
        <v>3</v>
      </c>
      <c r="F25" s="12" t="s">
        <v>3</v>
      </c>
      <c r="G25" s="12" t="s">
        <v>3</v>
      </c>
      <c r="H25" s="12"/>
      <c r="I25" s="12"/>
    </row>
    <row r="26" spans="2:9" s="4" customFormat="1">
      <c r="B26" s="5" t="s">
        <v>79</v>
      </c>
      <c r="C26" s="13">
        <f>SUM(C23:C25)</f>
        <v>345404</v>
      </c>
      <c r="D26" s="13">
        <f>SUM(D23:D25)</f>
        <v>338125</v>
      </c>
      <c r="E26" s="13">
        <v>335812</v>
      </c>
      <c r="F26" s="13">
        <v>300380</v>
      </c>
      <c r="G26" s="13">
        <v>311092</v>
      </c>
      <c r="H26" s="13"/>
      <c r="I26" s="13"/>
    </row>
    <row r="27" spans="2:9">
      <c r="C27" s="12"/>
      <c r="D27" s="12"/>
      <c r="E27" s="12"/>
      <c r="F27" s="12"/>
      <c r="G27" s="12"/>
      <c r="H27" s="12"/>
      <c r="I27" s="12"/>
    </row>
    <row r="28" spans="2:9">
      <c r="B28" s="3" t="s">
        <v>52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/>
      <c r="I28" s="12"/>
    </row>
    <row r="29" spans="2:9">
      <c r="B29" s="3" t="s">
        <v>80</v>
      </c>
      <c r="C29" s="12">
        <v>1539</v>
      </c>
      <c r="D29" s="12">
        <v>2181</v>
      </c>
      <c r="E29" s="12">
        <v>1270</v>
      </c>
      <c r="F29" s="12">
        <v>2029</v>
      </c>
      <c r="G29" s="12">
        <v>1501</v>
      </c>
      <c r="H29" s="12"/>
      <c r="I29" s="12"/>
    </row>
    <row r="30" spans="2:9">
      <c r="C30" s="12"/>
      <c r="D30" s="12"/>
      <c r="E30" s="12"/>
      <c r="F30" s="12"/>
      <c r="G30" s="12"/>
      <c r="H30" s="12"/>
      <c r="I30" s="12"/>
    </row>
    <row r="31" spans="2:9" s="4" customFormat="1">
      <c r="B31" s="5" t="s">
        <v>81</v>
      </c>
      <c r="C31" s="13">
        <f>SUM(C26:C30)</f>
        <v>346943</v>
      </c>
      <c r="D31" s="13">
        <f>SUM(D26:D30)</f>
        <v>340306</v>
      </c>
      <c r="E31" s="13">
        <v>337082</v>
      </c>
      <c r="F31" s="13">
        <v>302409</v>
      </c>
      <c r="G31" s="13">
        <v>312593</v>
      </c>
      <c r="H31" s="13"/>
      <c r="I31" s="13"/>
    </row>
    <row r="32" spans="2:9">
      <c r="C32" s="12"/>
      <c r="D32" s="12"/>
      <c r="E32" s="12"/>
      <c r="F32" s="12"/>
      <c r="G32" s="12"/>
      <c r="H32" s="12"/>
      <c r="I32" s="12"/>
    </row>
    <row r="33" spans="2:9" s="4" customFormat="1">
      <c r="B33" s="3" t="s">
        <v>82</v>
      </c>
      <c r="C33" s="13">
        <f>42902-C34</f>
        <v>40957</v>
      </c>
      <c r="D33" s="13">
        <f>41269-D34</f>
        <v>39352</v>
      </c>
      <c r="E33" s="13">
        <v>38778</v>
      </c>
      <c r="F33" s="13">
        <v>37463</v>
      </c>
      <c r="G33" s="13">
        <v>37089</v>
      </c>
      <c r="H33" s="13"/>
      <c r="I33" s="13"/>
    </row>
    <row r="34" spans="2:9">
      <c r="B34" s="19" t="s">
        <v>83</v>
      </c>
      <c r="C34" s="13">
        <v>1945</v>
      </c>
      <c r="D34" s="13">
        <v>1917</v>
      </c>
      <c r="E34" s="13">
        <v>2246</v>
      </c>
      <c r="F34" s="13">
        <v>2186</v>
      </c>
      <c r="G34" s="13">
        <v>2203</v>
      </c>
    </row>
    <row r="35" spans="2:9">
      <c r="B35" s="28" t="s">
        <v>84</v>
      </c>
      <c r="C35" s="16">
        <f>+C33+C34</f>
        <v>42902</v>
      </c>
      <c r="D35" s="16">
        <f>+D33+D34</f>
        <v>41269</v>
      </c>
      <c r="E35" s="16">
        <v>41024</v>
      </c>
      <c r="F35" s="16">
        <v>39649</v>
      </c>
      <c r="G35" s="16">
        <v>39292</v>
      </c>
    </row>
    <row r="36" spans="2:9">
      <c r="B36" s="2"/>
      <c r="C36" s="29"/>
      <c r="D36" s="29"/>
      <c r="E36" s="2"/>
      <c r="F36" s="2"/>
      <c r="G36" s="2"/>
    </row>
    <row r="37" spans="2:9">
      <c r="B37" s="2"/>
      <c r="C37" s="30"/>
      <c r="D37" s="2"/>
      <c r="E37" s="2"/>
      <c r="F37" s="2"/>
      <c r="G37" s="2"/>
    </row>
    <row r="38" spans="2:9">
      <c r="B38" s="5" t="s">
        <v>3</v>
      </c>
      <c r="C38" s="63" t="s">
        <v>85</v>
      </c>
      <c r="D38" s="63"/>
      <c r="E38" s="63"/>
      <c r="F38" s="63"/>
      <c r="G38" s="63"/>
    </row>
    <row r="39" spans="2:9">
      <c r="B39" s="5" t="s">
        <v>3</v>
      </c>
      <c r="C39" s="23" t="s">
        <v>58</v>
      </c>
      <c r="D39" s="9" t="s">
        <v>55</v>
      </c>
      <c r="E39" s="9" t="s">
        <v>56</v>
      </c>
      <c r="F39" s="9" t="s">
        <v>57</v>
      </c>
      <c r="G39" s="23" t="s">
        <v>58</v>
      </c>
      <c r="H39" s="9"/>
      <c r="I39" s="9"/>
    </row>
    <row r="40" spans="2:9">
      <c r="B40" s="5" t="s">
        <v>86</v>
      </c>
      <c r="C40" s="24">
        <v>2021</v>
      </c>
      <c r="D40" s="24">
        <v>2021</v>
      </c>
      <c r="E40" s="24">
        <v>2020</v>
      </c>
      <c r="F40" s="24">
        <v>2020</v>
      </c>
      <c r="G40" s="24">
        <v>2020</v>
      </c>
      <c r="H40" s="5"/>
      <c r="I40" s="9"/>
    </row>
    <row r="41" spans="2:9">
      <c r="D41" s="27"/>
      <c r="E41" s="27" t="s">
        <v>3</v>
      </c>
      <c r="F41" s="27" t="s">
        <v>3</v>
      </c>
      <c r="G41" s="27" t="s">
        <v>3</v>
      </c>
      <c r="H41" s="20"/>
      <c r="I41" s="20"/>
    </row>
    <row r="42" spans="2:9">
      <c r="B42" s="3" t="s">
        <v>87</v>
      </c>
      <c r="C42" s="31">
        <v>297</v>
      </c>
      <c r="D42" s="31">
        <v>321</v>
      </c>
      <c r="E42" s="31">
        <v>249</v>
      </c>
      <c r="F42" s="31">
        <v>266</v>
      </c>
      <c r="G42" s="31">
        <v>388</v>
      </c>
      <c r="H42" s="31"/>
      <c r="I42" s="31"/>
    </row>
    <row r="43" spans="2:9">
      <c r="B43" s="3" t="s">
        <v>88</v>
      </c>
      <c r="C43" s="31">
        <v>0</v>
      </c>
      <c r="D43" s="31">
        <v>0</v>
      </c>
      <c r="E43" s="31">
        <v>0</v>
      </c>
      <c r="F43" s="31">
        <v>0</v>
      </c>
      <c r="G43" s="31">
        <v>0</v>
      </c>
      <c r="H43" s="31"/>
      <c r="I43" s="31"/>
    </row>
    <row r="44" spans="2:9">
      <c r="B44" s="3" t="s">
        <v>89</v>
      </c>
      <c r="C44" s="31">
        <v>0</v>
      </c>
      <c r="D44" s="31">
        <v>0</v>
      </c>
      <c r="E44" s="31">
        <v>0</v>
      </c>
      <c r="F44" s="31">
        <v>0</v>
      </c>
      <c r="G44" s="31">
        <v>320</v>
      </c>
      <c r="H44" s="31"/>
      <c r="I44" s="31"/>
    </row>
    <row r="45" spans="2:9">
      <c r="B45" s="3" t="s">
        <v>90</v>
      </c>
      <c r="C45" s="31">
        <v>0</v>
      </c>
      <c r="D45" s="31">
        <v>0</v>
      </c>
      <c r="E45" s="31">
        <v>0</v>
      </c>
      <c r="F45" s="31">
        <v>0</v>
      </c>
      <c r="G45" s="31">
        <v>0</v>
      </c>
      <c r="H45" s="31"/>
      <c r="I45" s="31"/>
    </row>
    <row r="46" spans="2:9" s="4" customFormat="1">
      <c r="B46" s="5" t="s">
        <v>91</v>
      </c>
      <c r="C46" s="32">
        <f>SUM(C42:C45)</f>
        <v>297</v>
      </c>
      <c r="D46" s="32">
        <f>SUM(D42:D45)</f>
        <v>321</v>
      </c>
      <c r="E46" s="32">
        <v>249</v>
      </c>
      <c r="F46" s="32">
        <v>266</v>
      </c>
      <c r="G46" s="32">
        <v>708</v>
      </c>
      <c r="H46" s="32"/>
      <c r="I46" s="32"/>
    </row>
    <row r="47" spans="2:9" s="4" customFormat="1">
      <c r="B47" s="5"/>
      <c r="H47" s="32"/>
      <c r="I47" s="32"/>
    </row>
    <row r="48" spans="2:9">
      <c r="B48" s="3" t="s">
        <v>92</v>
      </c>
      <c r="C48" s="31">
        <v>0</v>
      </c>
      <c r="D48" s="31">
        <v>0</v>
      </c>
      <c r="E48" s="31">
        <v>0</v>
      </c>
      <c r="F48" s="31">
        <v>0</v>
      </c>
      <c r="G48" s="31">
        <v>0</v>
      </c>
      <c r="H48" s="31"/>
      <c r="I48" s="31"/>
    </row>
    <row r="49" spans="2:9">
      <c r="C49" s="3"/>
      <c r="D49" s="3"/>
      <c r="E49" s="3"/>
      <c r="F49" s="3"/>
      <c r="G49" s="3"/>
      <c r="H49" s="3"/>
      <c r="I49" s="3"/>
    </row>
    <row r="50" spans="2:9">
      <c r="B50" s="3" t="s">
        <v>93</v>
      </c>
      <c r="C50" s="3"/>
      <c r="D50" s="3"/>
      <c r="E50" s="3"/>
      <c r="F50" s="3"/>
      <c r="G50" s="3"/>
      <c r="H50" s="3"/>
      <c r="I50" s="3"/>
    </row>
    <row r="51" spans="2:9">
      <c r="B51" s="3" t="s">
        <v>94</v>
      </c>
      <c r="C51" s="33">
        <f>+C46/C11</f>
        <v>1.1909058101768316E-3</v>
      </c>
      <c r="D51" s="33">
        <f>+D46/D11</f>
        <v>1.1861694855128428E-3</v>
      </c>
      <c r="E51" s="33">
        <v>9.8728425460038781E-4</v>
      </c>
      <c r="F51" s="33">
        <v>1.1642513557400655E-3</v>
      </c>
      <c r="G51" s="33">
        <v>3.2649597875009221E-3</v>
      </c>
      <c r="H51" s="33"/>
      <c r="I51" s="33"/>
    </row>
    <row r="52" spans="2:9">
      <c r="C52" s="34"/>
      <c r="D52" s="33"/>
      <c r="E52" s="33"/>
      <c r="F52" s="33"/>
      <c r="G52" s="33"/>
    </row>
    <row r="53" spans="2:9">
      <c r="C53" s="34"/>
      <c r="D53" s="33"/>
      <c r="E53" s="33"/>
      <c r="F53" s="33"/>
      <c r="G53" s="33"/>
    </row>
  </sheetData>
  <mergeCells count="5">
    <mergeCell ref="B1:G1"/>
    <mergeCell ref="B2:G2"/>
    <mergeCell ref="B3:G3"/>
    <mergeCell ref="C7:G7"/>
    <mergeCell ref="C38:G38"/>
  </mergeCells>
  <pageMargins left="0.7" right="0.7" top="0.75" bottom="0.75" header="0.3" footer="0.3"/>
  <pageSetup scale="72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A49BF0-0082-4AC6-BA6C-51745955D612}">
  <sheetPr>
    <pageSetUpPr fitToPage="1"/>
  </sheetPr>
  <dimension ref="A1:J53"/>
  <sheetViews>
    <sheetView topLeftCell="B19" workbookViewId="0">
      <selection activeCell="D44" sqref="D44"/>
    </sheetView>
  </sheetViews>
  <sheetFormatPr defaultColWidth="9.140625" defaultRowHeight="15.75"/>
  <cols>
    <col min="1" max="1" width="9.140625" style="1" hidden="1" customWidth="1"/>
    <col min="2" max="2" width="61" style="3" bestFit="1" customWidth="1"/>
    <col min="3" max="3" width="13.7109375" style="27" customWidth="1"/>
    <col min="4" max="8" width="13.7109375" style="1" customWidth="1"/>
    <col min="9" max="16384" width="9.140625" style="1"/>
  </cols>
  <sheetData>
    <row r="1" spans="2:10">
      <c r="B1" s="65" t="s">
        <v>0</v>
      </c>
      <c r="C1" s="65"/>
      <c r="D1" s="65"/>
      <c r="E1" s="65"/>
      <c r="F1" s="65"/>
      <c r="G1" s="65"/>
    </row>
    <row r="2" spans="2:10">
      <c r="B2" s="65" t="s">
        <v>1</v>
      </c>
      <c r="C2" s="65"/>
      <c r="D2" s="65"/>
      <c r="E2" s="65"/>
      <c r="F2" s="65"/>
      <c r="G2" s="65"/>
    </row>
    <row r="3" spans="2:10">
      <c r="B3" s="65" t="s">
        <v>2</v>
      </c>
      <c r="C3" s="65"/>
      <c r="D3" s="65"/>
      <c r="E3" s="65"/>
      <c r="F3" s="65"/>
      <c r="G3" s="65"/>
    </row>
    <row r="4" spans="2:10">
      <c r="B4" s="2"/>
      <c r="C4" s="29"/>
      <c r="D4" s="2"/>
      <c r="E4" s="2"/>
      <c r="F4" s="2"/>
    </row>
    <row r="7" spans="2:10">
      <c r="B7" s="5" t="s">
        <v>3</v>
      </c>
      <c r="C7" s="63" t="s">
        <v>85</v>
      </c>
      <c r="D7" s="63"/>
      <c r="E7" s="63"/>
      <c r="F7" s="63"/>
      <c r="G7" s="63"/>
    </row>
    <row r="8" spans="2:10">
      <c r="B8" s="5" t="s">
        <v>95</v>
      </c>
      <c r="C8" s="9" t="s">
        <v>58</v>
      </c>
      <c r="D8" s="9" t="s">
        <v>55</v>
      </c>
      <c r="E8" s="23" t="s">
        <v>56</v>
      </c>
      <c r="F8" s="9" t="s">
        <v>57</v>
      </c>
      <c r="G8" s="9" t="s">
        <v>58</v>
      </c>
      <c r="H8" s="9"/>
      <c r="I8" s="23"/>
      <c r="J8" s="9"/>
    </row>
    <row r="9" spans="2:10">
      <c r="B9" s="5" t="s">
        <v>96</v>
      </c>
      <c r="C9" s="24">
        <v>2021</v>
      </c>
      <c r="D9" s="24">
        <v>2021</v>
      </c>
      <c r="E9" s="24">
        <v>2020</v>
      </c>
      <c r="F9" s="24">
        <v>2020</v>
      </c>
      <c r="G9" s="24">
        <v>2020</v>
      </c>
      <c r="H9" s="5"/>
      <c r="I9" s="5"/>
      <c r="J9" s="9"/>
    </row>
    <row r="10" spans="2:10">
      <c r="D10" s="27"/>
      <c r="E10" s="27"/>
      <c r="F10" s="27"/>
      <c r="G10" s="27"/>
      <c r="H10" s="3"/>
      <c r="I10" s="3"/>
      <c r="J10" s="3"/>
    </row>
    <row r="11" spans="2:10" s="4" customFormat="1">
      <c r="B11" s="5" t="s">
        <v>97</v>
      </c>
      <c r="C11" s="16">
        <f>+D16</f>
        <v>3466</v>
      </c>
      <c r="D11" s="16">
        <v>2915</v>
      </c>
      <c r="E11" s="16">
        <v>2598</v>
      </c>
      <c r="F11" s="16">
        <v>2396</v>
      </c>
      <c r="G11" s="16">
        <v>2269</v>
      </c>
      <c r="H11" s="16"/>
      <c r="I11" s="16"/>
      <c r="J11" s="16"/>
    </row>
    <row r="12" spans="2:10">
      <c r="B12" s="3" t="s">
        <v>98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/>
      <c r="I12" s="12"/>
      <c r="J12" s="12"/>
    </row>
    <row r="13" spans="2:10">
      <c r="B13" s="3" t="s">
        <v>99</v>
      </c>
      <c r="C13" s="12">
        <v>0</v>
      </c>
      <c r="D13" s="12">
        <v>1</v>
      </c>
      <c r="E13" s="12">
        <v>2</v>
      </c>
      <c r="F13" s="12">
        <v>2</v>
      </c>
      <c r="G13" s="12">
        <v>2</v>
      </c>
      <c r="H13" s="12"/>
      <c r="I13" s="12"/>
      <c r="J13" s="12"/>
    </row>
    <row r="14" spans="2:10">
      <c r="B14" s="3" t="s">
        <v>100</v>
      </c>
      <c r="C14" s="12">
        <f>+C13-C12</f>
        <v>0</v>
      </c>
      <c r="D14" s="12">
        <v>1</v>
      </c>
      <c r="E14" s="12">
        <v>2</v>
      </c>
      <c r="F14" s="12">
        <v>2</v>
      </c>
      <c r="G14" s="12">
        <v>2</v>
      </c>
      <c r="H14" s="12"/>
      <c r="I14" s="12"/>
      <c r="J14" s="12"/>
    </row>
    <row r="15" spans="2:10">
      <c r="B15" s="3" t="s">
        <v>101</v>
      </c>
      <c r="C15" s="12">
        <v>550</v>
      </c>
      <c r="D15" s="12">
        <v>550</v>
      </c>
      <c r="E15" s="12">
        <v>315</v>
      </c>
      <c r="F15" s="12">
        <v>200</v>
      </c>
      <c r="G15" s="12">
        <v>125</v>
      </c>
      <c r="H15" s="12"/>
      <c r="I15" s="12"/>
      <c r="J15" s="12"/>
    </row>
    <row r="16" spans="2:10" s="4" customFormat="1">
      <c r="B16" s="5" t="s">
        <v>102</v>
      </c>
      <c r="C16" s="16">
        <f>+C11+C15+C14</f>
        <v>4016</v>
      </c>
      <c r="D16" s="16">
        <v>3466</v>
      </c>
      <c r="E16" s="16">
        <v>2915</v>
      </c>
      <c r="F16" s="16">
        <v>2598</v>
      </c>
      <c r="G16" s="16">
        <v>2396</v>
      </c>
      <c r="H16" s="16"/>
      <c r="I16" s="16"/>
      <c r="J16" s="16"/>
    </row>
    <row r="17" spans="2:10">
      <c r="B17" s="3" t="s">
        <v>3</v>
      </c>
      <c r="D17" s="27"/>
      <c r="E17" s="27"/>
      <c r="F17" s="27"/>
      <c r="G17" s="27"/>
      <c r="H17" s="3"/>
      <c r="I17" s="3"/>
      <c r="J17" s="3"/>
    </row>
    <row r="18" spans="2:10">
      <c r="B18" s="3" t="s">
        <v>75</v>
      </c>
      <c r="C18" s="33">
        <f>+C16/Sheet3!C11</f>
        <v>1.6103292032559446E-2</v>
      </c>
      <c r="D18" s="33">
        <v>1.2807674257905025E-2</v>
      </c>
      <c r="E18" s="33">
        <v>1.1557966273735462E-2</v>
      </c>
      <c r="F18" s="33">
        <v>1.1371146700047708E-2</v>
      </c>
      <c r="G18" s="33">
        <v>1.104921419611894E-2</v>
      </c>
      <c r="H18" s="33"/>
      <c r="I18" s="33"/>
      <c r="J18" s="33"/>
    </row>
    <row r="19" spans="2:10">
      <c r="B19" s="3" t="s">
        <v>103</v>
      </c>
      <c r="D19" s="27"/>
      <c r="E19" s="27"/>
      <c r="F19" s="27"/>
      <c r="G19" s="27"/>
      <c r="H19" s="33"/>
      <c r="I19" s="33"/>
      <c r="J19" s="33"/>
    </row>
    <row r="20" spans="2:10">
      <c r="B20" s="3" t="s">
        <v>104</v>
      </c>
      <c r="C20" s="62">
        <f>(4016/216005)/1</f>
        <v>1.8592162218467163E-2</v>
      </c>
      <c r="D20" s="35">
        <v>1.6199999999999999E-2</v>
      </c>
      <c r="E20" s="33">
        <v>1.4608380148639641E-2</v>
      </c>
      <c r="F20" s="33">
        <v>1.4777400474378444E-2</v>
      </c>
      <c r="G20" s="33">
        <v>1.3639598098653687E-2</v>
      </c>
      <c r="H20" s="35"/>
      <c r="I20" s="35"/>
      <c r="J20" s="35"/>
    </row>
    <row r="21" spans="2:10">
      <c r="B21" s="3" t="s">
        <v>103</v>
      </c>
      <c r="D21" s="27"/>
      <c r="E21" s="27"/>
      <c r="F21" s="27"/>
      <c r="G21" s="27"/>
      <c r="H21" s="20"/>
      <c r="I21" s="20"/>
      <c r="J21" s="20"/>
    </row>
    <row r="22" spans="2:10">
      <c r="B22" s="3" t="s">
        <v>75</v>
      </c>
      <c r="C22" s="36">
        <f>+C16/Sheet3!C46</f>
        <v>13.521885521885523</v>
      </c>
      <c r="D22" s="36">
        <v>10.797507788161994</v>
      </c>
      <c r="E22" s="36">
        <v>11.706827309236948</v>
      </c>
      <c r="F22" s="36">
        <v>9.7669172932330834</v>
      </c>
      <c r="G22" s="36">
        <v>3.384180790960452</v>
      </c>
      <c r="H22" s="35"/>
      <c r="I22" s="35"/>
      <c r="J22" s="35"/>
    </row>
    <row r="23" spans="2:10">
      <c r="B23" s="3" t="s">
        <v>105</v>
      </c>
      <c r="D23" s="27"/>
      <c r="E23" s="27"/>
      <c r="F23" s="27"/>
      <c r="G23" s="27"/>
      <c r="H23" s="33"/>
      <c r="I23" s="33"/>
      <c r="J23" s="33"/>
    </row>
    <row r="24" spans="2:10">
      <c r="B24" s="3" t="s">
        <v>106</v>
      </c>
      <c r="C24" s="35">
        <v>0</v>
      </c>
      <c r="D24" s="35">
        <v>0</v>
      </c>
      <c r="E24" s="35">
        <v>-8.3528232542599398E-6</v>
      </c>
      <c r="F24" s="35">
        <v>-9.2398384876232371E-6</v>
      </c>
      <c r="G24" s="35">
        <v>-9.4189896249829288E-6</v>
      </c>
      <c r="H24" s="33"/>
      <c r="I24" s="33"/>
      <c r="J24" s="33"/>
    </row>
    <row r="25" spans="2:10">
      <c r="B25" s="3" t="s">
        <v>107</v>
      </c>
      <c r="C25" s="21"/>
      <c r="D25" s="21"/>
      <c r="E25" s="27"/>
      <c r="F25" s="27"/>
      <c r="G25" s="27"/>
    </row>
    <row r="26" spans="2:10">
      <c r="B26" s="3" t="s">
        <v>108</v>
      </c>
      <c r="C26" s="35">
        <f>+C15/Sheet1!C49</f>
        <v>2.1050778304685137E-3</v>
      </c>
      <c r="D26" s="35">
        <v>2.0925277735504488E-3</v>
      </c>
      <c r="E26" s="35">
        <v>1.3155696625459406E-3</v>
      </c>
      <c r="F26" s="35">
        <v>9.2398384876232363E-4</v>
      </c>
      <c r="G26" s="35">
        <v>5.8868685156143296E-4</v>
      </c>
    </row>
    <row r="27" spans="2:10">
      <c r="B27" s="3" t="s">
        <v>109</v>
      </c>
      <c r="C27" s="29"/>
      <c r="D27" s="29"/>
      <c r="E27" s="2"/>
      <c r="F27" s="2"/>
      <c r="G27" s="2"/>
    </row>
    <row r="28" spans="2:10">
      <c r="B28" s="5" t="s">
        <v>3</v>
      </c>
      <c r="C28" s="63" t="s">
        <v>85</v>
      </c>
      <c r="D28" s="63"/>
      <c r="E28" s="63"/>
      <c r="F28" s="63"/>
      <c r="G28" s="63"/>
    </row>
    <row r="29" spans="2:10">
      <c r="B29" s="5" t="s">
        <v>3</v>
      </c>
      <c r="C29" s="9" t="s">
        <v>58</v>
      </c>
      <c r="D29" s="9" t="s">
        <v>55</v>
      </c>
      <c r="E29" s="9" t="s">
        <v>56</v>
      </c>
      <c r="F29" s="23" t="s">
        <v>57</v>
      </c>
      <c r="G29" s="9" t="s">
        <v>58</v>
      </c>
      <c r="H29" s="9"/>
      <c r="I29" s="23"/>
      <c r="J29" s="9"/>
    </row>
    <row r="30" spans="2:10">
      <c r="B30" s="5" t="s">
        <v>110</v>
      </c>
      <c r="C30" s="24">
        <v>2021</v>
      </c>
      <c r="D30" s="24">
        <v>2021</v>
      </c>
      <c r="E30" s="24">
        <v>2020</v>
      </c>
      <c r="F30" s="24">
        <v>2020</v>
      </c>
      <c r="G30" s="24">
        <v>2020</v>
      </c>
      <c r="H30" s="5"/>
      <c r="I30" s="5"/>
      <c r="J30" s="9"/>
    </row>
    <row r="31" spans="2:10">
      <c r="D31" s="27"/>
      <c r="E31" s="27"/>
      <c r="F31" s="27"/>
      <c r="G31" s="27"/>
      <c r="H31" s="3"/>
      <c r="I31" s="3"/>
      <c r="J31" s="3"/>
    </row>
    <row r="32" spans="2:10">
      <c r="B32" s="21" t="s">
        <v>111</v>
      </c>
      <c r="C32" s="33">
        <f>+Sheet1!C34*4/Sheet1!C55</f>
        <v>1.4566962313348026E-2</v>
      </c>
      <c r="D32" s="33">
        <v>1.4154198697025007E-2</v>
      </c>
      <c r="E32" s="33">
        <v>1.3708954279647264E-2</v>
      </c>
      <c r="F32" s="33">
        <v>1.4219810675382537E-2</v>
      </c>
      <c r="G32" s="33">
        <v>1.3202129865729667E-2</v>
      </c>
      <c r="H32" s="33"/>
      <c r="I32" s="33"/>
      <c r="J32" s="33"/>
    </row>
    <row r="33" spans="2:10">
      <c r="B33" s="21" t="s">
        <v>3</v>
      </c>
      <c r="C33" s="33"/>
      <c r="D33" s="33"/>
      <c r="E33" s="33"/>
      <c r="F33" s="33"/>
      <c r="G33" s="33"/>
      <c r="H33" s="3"/>
      <c r="I33" s="3"/>
      <c r="J33" s="3"/>
    </row>
    <row r="34" spans="2:10">
      <c r="B34" s="21" t="s">
        <v>112</v>
      </c>
      <c r="C34" s="33">
        <f>+Sheet1!C34*4/42222</f>
        <v>0.13509544787077826</v>
      </c>
      <c r="D34" s="33">
        <v>0.12877887948798758</v>
      </c>
      <c r="E34" s="33">
        <v>0.1215</v>
      </c>
      <c r="F34" s="33">
        <v>0.12189999999999999</v>
      </c>
      <c r="G34" s="33">
        <v>0.1188</v>
      </c>
      <c r="H34" s="33"/>
      <c r="I34" s="33"/>
      <c r="J34" s="33"/>
    </row>
    <row r="35" spans="2:10">
      <c r="B35" s="21"/>
      <c r="C35" s="33"/>
      <c r="D35" s="33"/>
      <c r="E35" s="33"/>
      <c r="F35" s="33"/>
      <c r="G35" s="33"/>
      <c r="H35" s="3"/>
      <c r="I35" s="3"/>
      <c r="J35" s="3"/>
    </row>
    <row r="36" spans="2:10">
      <c r="B36" s="21" t="s">
        <v>113</v>
      </c>
      <c r="C36" s="33">
        <f>+Sheet1!C34*4/Sheet1!C64</f>
        <v>0.14176359479073466</v>
      </c>
      <c r="D36" s="33">
        <v>0.13556553695385873</v>
      </c>
      <c r="E36" s="33">
        <v>0.1285</v>
      </c>
      <c r="F36" s="33">
        <v>0.12939999999999999</v>
      </c>
      <c r="G36" s="33">
        <v>0.1234</v>
      </c>
      <c r="H36" s="33"/>
      <c r="I36" s="33"/>
      <c r="J36" s="33"/>
    </row>
    <row r="37" spans="2:10">
      <c r="B37" s="21" t="s">
        <v>3</v>
      </c>
      <c r="C37" s="33"/>
      <c r="D37" s="33"/>
      <c r="E37" s="33"/>
      <c r="F37" s="33"/>
      <c r="G37" s="33"/>
      <c r="H37" s="3"/>
      <c r="I37" s="3"/>
      <c r="J37" s="3"/>
    </row>
    <row r="38" spans="2:10">
      <c r="B38" s="21" t="s">
        <v>114</v>
      </c>
      <c r="C38" s="33">
        <f>+Sheet1!C64/Sheet1!C55</f>
        <v>0.10275531129731262</v>
      </c>
      <c r="D38" s="33">
        <v>0.1048561798052199</v>
      </c>
      <c r="E38" s="33">
        <v>0.10475357439528218</v>
      </c>
      <c r="F38" s="33">
        <v>0.1099287255377743</v>
      </c>
      <c r="G38" s="33">
        <v>0.10693433108721877</v>
      </c>
      <c r="H38" s="33"/>
      <c r="I38" s="33"/>
      <c r="J38" s="33"/>
    </row>
    <row r="39" spans="2:10">
      <c r="B39" s="21"/>
      <c r="C39" s="33"/>
      <c r="D39" s="33"/>
      <c r="E39" s="33"/>
      <c r="F39" s="33"/>
      <c r="G39" s="33"/>
      <c r="H39" s="3"/>
      <c r="I39" s="3"/>
      <c r="J39" s="3"/>
    </row>
    <row r="40" spans="2:10">
      <c r="B40" s="21" t="s">
        <v>115</v>
      </c>
      <c r="C40" s="33">
        <f>+Sheet5!E20</f>
        <v>4.1099999999999998E-2</v>
      </c>
      <c r="D40" s="33">
        <v>4.1399999999999999E-2</v>
      </c>
      <c r="E40" s="33">
        <v>3.8800000000000001E-2</v>
      </c>
      <c r="F40" s="33">
        <v>3.6499999999999998E-2</v>
      </c>
      <c r="G40" s="33">
        <v>3.8100000000000002E-2</v>
      </c>
      <c r="H40" s="33"/>
      <c r="I40" s="33"/>
      <c r="J40" s="33"/>
    </row>
    <row r="41" spans="2:10">
      <c r="B41" s="21"/>
      <c r="C41" s="33"/>
      <c r="D41" s="33"/>
      <c r="E41" s="33"/>
      <c r="F41" s="33"/>
      <c r="G41" s="33"/>
      <c r="H41" s="3"/>
      <c r="I41" s="3"/>
      <c r="J41" s="3"/>
    </row>
    <row r="42" spans="2:10">
      <c r="B42" s="21" t="s">
        <v>116</v>
      </c>
      <c r="C42" s="33">
        <f>+C40-C44</f>
        <v>1.3999999999999985E-3</v>
      </c>
      <c r="D42" s="33">
        <v>1.5E-3</v>
      </c>
      <c r="E42" s="33">
        <v>2.8000000000000039E-3</v>
      </c>
      <c r="F42" s="33">
        <v>1.8999999999999989E-3</v>
      </c>
      <c r="G42" s="33">
        <v>2.2000000000000006E-3</v>
      </c>
      <c r="H42" s="33"/>
      <c r="I42" s="33"/>
      <c r="J42" s="33"/>
    </row>
    <row r="43" spans="2:10">
      <c r="B43" s="21" t="s">
        <v>3</v>
      </c>
      <c r="C43" s="3" t="s">
        <v>3</v>
      </c>
      <c r="D43" s="3" t="s">
        <v>3</v>
      </c>
      <c r="E43" s="3" t="s">
        <v>3</v>
      </c>
      <c r="F43" s="3" t="s">
        <v>3</v>
      </c>
      <c r="G43" s="3" t="s">
        <v>3</v>
      </c>
      <c r="H43" s="3"/>
      <c r="I43" s="3"/>
      <c r="J43" s="3"/>
    </row>
    <row r="44" spans="2:10">
      <c r="B44" s="21" t="s">
        <v>117</v>
      </c>
      <c r="C44" s="33">
        <f>+Sheet5!E47</f>
        <v>3.9699999999999999E-2</v>
      </c>
      <c r="D44" s="33">
        <v>3.9899999999999998E-2</v>
      </c>
      <c r="E44" s="33">
        <v>3.5999999999999997E-2</v>
      </c>
      <c r="F44" s="33">
        <v>3.4599999999999999E-2</v>
      </c>
      <c r="G44" s="33">
        <v>3.5900000000000001E-2</v>
      </c>
      <c r="H44" s="33"/>
      <c r="I44" s="33"/>
      <c r="J44" s="33"/>
    </row>
    <row r="45" spans="2:10">
      <c r="B45" s="21" t="s">
        <v>3</v>
      </c>
      <c r="C45" s="37"/>
      <c r="D45" s="37"/>
      <c r="E45" s="37"/>
      <c r="F45" s="37"/>
      <c r="G45" s="37"/>
      <c r="H45" s="3"/>
      <c r="I45" s="3"/>
      <c r="J45" s="3"/>
    </row>
    <row r="46" spans="2:10">
      <c r="B46" s="21" t="s">
        <v>118</v>
      </c>
      <c r="C46" s="38">
        <v>0.40529999999999999</v>
      </c>
      <c r="D46" s="38">
        <v>0.41399999999999998</v>
      </c>
      <c r="E46" s="38">
        <v>0.44800000000000001</v>
      </c>
      <c r="F46" s="38">
        <v>0.504</v>
      </c>
      <c r="G46" s="38">
        <v>0.51549999999999996</v>
      </c>
      <c r="H46" s="39"/>
      <c r="I46" s="39"/>
      <c r="J46" s="39"/>
    </row>
    <row r="47" spans="2:10">
      <c r="B47" s="21"/>
      <c r="C47" s="40"/>
      <c r="D47" s="40"/>
      <c r="E47" s="40"/>
      <c r="F47" s="40"/>
      <c r="G47" s="40"/>
      <c r="H47" s="3"/>
      <c r="I47" s="3"/>
      <c r="J47" s="3"/>
    </row>
    <row r="48" spans="2:10">
      <c r="B48" s="21" t="s">
        <v>119</v>
      </c>
      <c r="C48" s="41">
        <f>42902/1087</f>
        <v>39.468261269549217</v>
      </c>
      <c r="D48" s="41">
        <v>38.106186518928901</v>
      </c>
      <c r="E48" s="41">
        <v>37.879963065558634</v>
      </c>
      <c r="F48" s="41">
        <v>36.610341643582643</v>
      </c>
      <c r="G48" s="41">
        <v>36.180478821362797</v>
      </c>
      <c r="H48" s="42"/>
      <c r="I48" s="42"/>
      <c r="J48" s="42"/>
    </row>
    <row r="49" spans="2:7" ht="15">
      <c r="B49" s="43"/>
      <c r="C49" s="44"/>
      <c r="D49" s="44"/>
      <c r="E49" s="44"/>
      <c r="F49" s="44"/>
      <c r="G49" s="44"/>
    </row>
    <row r="50" spans="2:7">
      <c r="B50" s="21" t="s">
        <v>120</v>
      </c>
      <c r="C50" s="41">
        <f>40957/C52</f>
        <v>37.678932842686294</v>
      </c>
      <c r="D50" s="41">
        <v>36.336103416435826</v>
      </c>
      <c r="E50" s="41">
        <v>35.806094182825483</v>
      </c>
      <c r="F50" s="41">
        <v>34.591874422899352</v>
      </c>
      <c r="G50" s="41">
        <v>34.151933701657455</v>
      </c>
    </row>
    <row r="51" spans="2:7" ht="15">
      <c r="B51" s="21" t="s">
        <v>3</v>
      </c>
      <c r="D51" s="27"/>
      <c r="E51" s="27"/>
      <c r="F51" s="27"/>
      <c r="G51" s="27"/>
    </row>
    <row r="52" spans="2:7">
      <c r="B52" s="21" t="s">
        <v>121</v>
      </c>
      <c r="C52" s="42">
        <v>1087</v>
      </c>
      <c r="D52" s="42">
        <v>1083</v>
      </c>
      <c r="E52" s="42">
        <v>1083</v>
      </c>
      <c r="F52" s="42">
        <v>1083</v>
      </c>
      <c r="G52" s="42">
        <v>1086</v>
      </c>
    </row>
    <row r="53" spans="2:7">
      <c r="D53" s="27"/>
    </row>
  </sheetData>
  <mergeCells count="5">
    <mergeCell ref="B1:G1"/>
    <mergeCell ref="B2:G2"/>
    <mergeCell ref="B3:G3"/>
    <mergeCell ref="C7:G7"/>
    <mergeCell ref="C28:G28"/>
  </mergeCells>
  <pageMargins left="0.7" right="0.7" top="0.75" bottom="0.75" header="0.3" footer="0.3"/>
  <pageSetup scale="6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DFF0D4-4361-4346-874E-2DB688970AE6}">
  <sheetPr>
    <pageSetUpPr fitToPage="1"/>
  </sheetPr>
  <dimension ref="A1:O55"/>
  <sheetViews>
    <sheetView workbookViewId="0">
      <selection activeCell="D39" sqref="D39"/>
    </sheetView>
  </sheetViews>
  <sheetFormatPr defaultColWidth="9.140625" defaultRowHeight="15"/>
  <cols>
    <col min="1" max="1" width="49.7109375" style="21" customWidth="1"/>
    <col min="2" max="2" width="13.28515625" style="27" customWidth="1"/>
    <col min="3" max="3" width="10.28515625" style="27" customWidth="1"/>
    <col min="4" max="4" width="10.5703125" style="27" customWidth="1"/>
    <col min="5" max="5" width="14.5703125" style="27" bestFit="1" customWidth="1"/>
    <col min="6" max="6" width="2.7109375" style="27" customWidth="1"/>
    <col min="7" max="7" width="12.28515625" style="27" customWidth="1"/>
    <col min="8" max="8" width="9" style="27" customWidth="1"/>
    <col min="9" max="9" width="10.7109375" style="27" bestFit="1" customWidth="1"/>
    <col min="10" max="10" width="14.28515625" style="37" bestFit="1" customWidth="1"/>
    <col min="11" max="12" width="9.140625" style="27"/>
    <col min="13" max="13" width="13.42578125" style="27" customWidth="1"/>
    <col min="14" max="14" width="38.7109375" style="27" bestFit="1" customWidth="1"/>
    <col min="15" max="15" width="11.85546875" style="27" bestFit="1" customWidth="1"/>
    <col min="16" max="16384" width="9.140625" style="27"/>
  </cols>
  <sheetData>
    <row r="1" spans="1:15" s="21" customFormat="1">
      <c r="A1" s="65" t="s">
        <v>0</v>
      </c>
      <c r="B1" s="65"/>
      <c r="C1" s="65"/>
      <c r="D1" s="65"/>
      <c r="E1" s="65"/>
      <c r="F1" s="65"/>
      <c r="G1" s="65"/>
      <c r="H1" s="65"/>
      <c r="I1" s="65"/>
      <c r="J1" s="65"/>
    </row>
    <row r="2" spans="1:15" s="21" customFormat="1">
      <c r="A2" s="65" t="s">
        <v>1</v>
      </c>
      <c r="B2" s="65"/>
      <c r="C2" s="65"/>
      <c r="D2" s="65"/>
      <c r="E2" s="65"/>
      <c r="F2" s="65"/>
      <c r="G2" s="65"/>
      <c r="H2" s="65"/>
      <c r="I2" s="65"/>
      <c r="J2" s="65"/>
    </row>
    <row r="3" spans="1:15" s="21" customFormat="1">
      <c r="A3" s="65" t="s">
        <v>2</v>
      </c>
      <c r="B3" s="65"/>
      <c r="C3" s="65"/>
      <c r="D3" s="65"/>
      <c r="E3" s="65"/>
      <c r="F3" s="65"/>
      <c r="G3" s="65"/>
      <c r="H3" s="65"/>
      <c r="I3" s="65"/>
      <c r="J3" s="65"/>
    </row>
    <row r="4" spans="1:15" s="21" customFormat="1">
      <c r="B4" s="2"/>
      <c r="C4" s="2"/>
      <c r="D4" s="2"/>
      <c r="E4" s="2"/>
      <c r="F4" s="2"/>
    </row>
    <row r="5" spans="1:15" s="21" customFormat="1">
      <c r="J5" s="3"/>
    </row>
    <row r="6" spans="1:15" s="21" customFormat="1" ht="15.75">
      <c r="A6" s="5" t="s">
        <v>3</v>
      </c>
      <c r="B6" s="63" t="s">
        <v>85</v>
      </c>
      <c r="C6" s="63"/>
      <c r="D6" s="63"/>
      <c r="E6" s="63"/>
      <c r="F6" s="63"/>
      <c r="G6" s="63"/>
      <c r="H6" s="63"/>
      <c r="I6" s="63"/>
      <c r="J6" s="63"/>
    </row>
    <row r="7" spans="1:15" s="21" customFormat="1" ht="15.75">
      <c r="A7" s="5" t="s">
        <v>3</v>
      </c>
      <c r="B7" s="64" t="s">
        <v>155</v>
      </c>
      <c r="C7" s="64"/>
      <c r="D7" s="64"/>
      <c r="E7" s="64"/>
      <c r="F7" s="22"/>
      <c r="G7" s="64" t="s">
        <v>122</v>
      </c>
      <c r="H7" s="64"/>
      <c r="I7" s="64"/>
      <c r="J7" s="64"/>
    </row>
    <row r="8" spans="1:15" s="21" customFormat="1">
      <c r="A8" s="3"/>
      <c r="B8" s="45"/>
      <c r="C8" s="45"/>
      <c r="D8" s="45"/>
      <c r="E8" s="45"/>
      <c r="F8" s="45"/>
      <c r="G8" s="45"/>
      <c r="H8" s="45"/>
      <c r="I8" s="45"/>
      <c r="J8" s="45"/>
    </row>
    <row r="9" spans="1:15" s="21" customFormat="1">
      <c r="A9" s="3"/>
      <c r="B9" s="46"/>
      <c r="C9" s="46"/>
      <c r="D9" s="46"/>
      <c r="E9" s="46" t="s">
        <v>123</v>
      </c>
      <c r="F9" s="47"/>
      <c r="G9" s="46"/>
      <c r="H9" s="46"/>
      <c r="I9" s="46"/>
      <c r="J9" s="46" t="s">
        <v>123</v>
      </c>
    </row>
    <row r="10" spans="1:15" s="21" customFormat="1">
      <c r="A10" s="3" t="s">
        <v>3</v>
      </c>
      <c r="B10" s="20" t="s">
        <v>124</v>
      </c>
      <c r="C10" s="20"/>
      <c r="D10" s="20"/>
      <c r="E10" s="20" t="s">
        <v>125</v>
      </c>
      <c r="F10" s="48"/>
      <c r="G10" s="20" t="s">
        <v>124</v>
      </c>
      <c r="H10" s="20"/>
      <c r="I10" s="20"/>
      <c r="J10" s="20" t="s">
        <v>125</v>
      </c>
    </row>
    <row r="11" spans="1:15" s="21" customFormat="1">
      <c r="A11" s="3" t="s">
        <v>126</v>
      </c>
      <c r="B11" s="20" t="s">
        <v>127</v>
      </c>
      <c r="C11" s="20" t="s">
        <v>128</v>
      </c>
      <c r="D11" s="20" t="s">
        <v>129</v>
      </c>
      <c r="E11" s="20" t="s">
        <v>129</v>
      </c>
      <c r="F11" s="48"/>
      <c r="G11" s="20" t="s">
        <v>127</v>
      </c>
      <c r="H11" s="20" t="s">
        <v>128</v>
      </c>
      <c r="I11" s="20" t="s">
        <v>129</v>
      </c>
      <c r="J11" s="20" t="s">
        <v>129</v>
      </c>
    </row>
    <row r="12" spans="1:15">
      <c r="A12" s="3"/>
      <c r="B12" s="37"/>
      <c r="C12" s="37"/>
      <c r="D12" s="37"/>
      <c r="E12" s="37"/>
      <c r="F12" s="37"/>
      <c r="G12" s="37"/>
      <c r="H12" s="37"/>
      <c r="I12" s="37"/>
    </row>
    <row r="13" spans="1:15">
      <c r="A13" s="3" t="s">
        <v>130</v>
      </c>
      <c r="B13" s="3"/>
      <c r="C13" s="37"/>
      <c r="D13" s="37"/>
      <c r="E13" s="37"/>
      <c r="F13" s="37"/>
      <c r="G13" s="3"/>
      <c r="H13" s="37"/>
      <c r="I13" s="37"/>
      <c r="M13" s="10"/>
    </row>
    <row r="14" spans="1:15">
      <c r="A14" s="3" t="s">
        <v>131</v>
      </c>
      <c r="B14" s="49">
        <f>27838</f>
        <v>27838</v>
      </c>
      <c r="C14" s="12">
        <v>11</v>
      </c>
      <c r="D14" s="33">
        <f>+C14*4/B14</f>
        <v>1.5805733170486385E-3</v>
      </c>
      <c r="E14" s="33">
        <f>+D14</f>
        <v>1.5805733170486385E-3</v>
      </c>
      <c r="F14" s="34"/>
      <c r="G14" s="49">
        <v>41211</v>
      </c>
      <c r="H14" s="12">
        <v>13</v>
      </c>
      <c r="I14" s="33">
        <f>+H14*4/G14</f>
        <v>1.2617990342384314E-3</v>
      </c>
      <c r="J14" s="33">
        <f>+I14</f>
        <v>1.2617990342384314E-3</v>
      </c>
      <c r="M14" s="12"/>
      <c r="N14" s="3"/>
      <c r="O14" s="10"/>
    </row>
    <row r="15" spans="1:15">
      <c r="A15" s="3" t="s">
        <v>132</v>
      </c>
      <c r="B15" s="12">
        <v>404</v>
      </c>
      <c r="C15" s="12">
        <v>6</v>
      </c>
      <c r="D15" s="33">
        <v>0.06</v>
      </c>
      <c r="E15" s="33">
        <v>0.06</v>
      </c>
      <c r="F15" s="34"/>
      <c r="G15" s="12">
        <v>395</v>
      </c>
      <c r="H15" s="12">
        <v>6</v>
      </c>
      <c r="I15" s="33">
        <v>0.06</v>
      </c>
      <c r="J15" s="33">
        <v>0.06</v>
      </c>
      <c r="M15" s="12"/>
      <c r="N15" s="3"/>
      <c r="O15" s="12"/>
    </row>
    <row r="16" spans="1:15">
      <c r="A16" s="3" t="s">
        <v>133</v>
      </c>
      <c r="B16" s="12">
        <v>2198</v>
      </c>
      <c r="C16" s="12">
        <v>0</v>
      </c>
      <c r="D16" s="33">
        <v>0</v>
      </c>
      <c r="E16" s="33">
        <f>+D16</f>
        <v>0</v>
      </c>
      <c r="F16" s="34"/>
      <c r="G16" s="12">
        <v>0</v>
      </c>
      <c r="H16" s="12">
        <v>0</v>
      </c>
      <c r="I16" s="33">
        <v>0</v>
      </c>
      <c r="J16" s="33">
        <f>+I16</f>
        <v>0</v>
      </c>
      <c r="M16" s="12"/>
      <c r="N16" s="3"/>
      <c r="O16" s="12"/>
    </row>
    <row r="17" spans="1:15">
      <c r="A17" s="3" t="s">
        <v>134</v>
      </c>
      <c r="B17" s="12">
        <f>96153-B16</f>
        <v>93955</v>
      </c>
      <c r="C17" s="12">
        <f>679+71-145</f>
        <v>605</v>
      </c>
      <c r="D17" s="33">
        <f>+C17*4/B17</f>
        <v>2.5757011335213666E-2</v>
      </c>
      <c r="E17" s="33">
        <f>+((C17*4)/0.7898)/B17</f>
        <v>3.2612068036482235E-2</v>
      </c>
      <c r="F17" s="34"/>
      <c r="G17" s="12">
        <v>81101</v>
      </c>
      <c r="H17" s="12">
        <v>564</v>
      </c>
      <c r="I17" s="33">
        <f>+H17*4/G17</f>
        <v>2.7817166249491376E-2</v>
      </c>
      <c r="J17" s="33">
        <f>+((H17*4)/0.7898)/G17</f>
        <v>3.5220519434656081E-2</v>
      </c>
      <c r="N17" s="3"/>
      <c r="O17" s="12"/>
    </row>
    <row r="18" spans="1:15" ht="15.75">
      <c r="A18" s="3" t="s">
        <v>135</v>
      </c>
      <c r="B18" s="12">
        <v>261273</v>
      </c>
      <c r="C18" s="12">
        <v>3184</v>
      </c>
      <c r="D18" s="33">
        <f>+C18*4/B18</f>
        <v>4.8745947725176347E-2</v>
      </c>
      <c r="E18" s="33">
        <f>+D18</f>
        <v>4.8745947725176347E-2</v>
      </c>
      <c r="F18" s="34"/>
      <c r="G18" s="12">
        <f>212218+40</f>
        <v>212258</v>
      </c>
      <c r="H18" s="12">
        <v>2459</v>
      </c>
      <c r="I18" s="33">
        <f>+H18*4/G18</f>
        <v>4.6339831714234565E-2</v>
      </c>
      <c r="J18" s="33">
        <f>+I18</f>
        <v>4.6339831714234565E-2</v>
      </c>
      <c r="N18" s="5"/>
      <c r="O18" s="13"/>
    </row>
    <row r="19" spans="1:15">
      <c r="A19" s="3"/>
      <c r="B19" s="12"/>
      <c r="C19" s="12"/>
      <c r="D19" s="33"/>
      <c r="E19" s="33"/>
      <c r="F19" s="34"/>
      <c r="G19" s="12"/>
      <c r="H19" s="12"/>
      <c r="I19" s="33"/>
      <c r="J19" s="33"/>
      <c r="O19" s="50"/>
    </row>
    <row r="20" spans="1:15" s="53" customFormat="1" ht="15.75">
      <c r="A20" s="5" t="s">
        <v>136</v>
      </c>
      <c r="B20" s="13">
        <f>SUM(B14:B18)</f>
        <v>385668</v>
      </c>
      <c r="C20" s="13">
        <f>SUM(C14:C18)</f>
        <v>3806</v>
      </c>
      <c r="D20" s="51">
        <f>(+C20*4)/B20</f>
        <v>3.9474366553616066E-2</v>
      </c>
      <c r="E20" s="51">
        <v>4.1099999999999998E-2</v>
      </c>
      <c r="F20" s="52"/>
      <c r="G20" s="13">
        <f>SUM(G14:G18)</f>
        <v>334965</v>
      </c>
      <c r="H20" s="13">
        <f>SUM(H14:H18)</f>
        <v>3042</v>
      </c>
      <c r="I20" s="51">
        <f>(+H20*4)/G20</f>
        <v>3.6326183332586984E-2</v>
      </c>
      <c r="J20" s="51">
        <v>3.8100000000000002E-2</v>
      </c>
    </row>
    <row r="21" spans="1:15">
      <c r="A21" s="3"/>
      <c r="B21" s="3"/>
      <c r="C21" s="37"/>
      <c r="D21" s="37"/>
      <c r="E21" s="37"/>
      <c r="F21" s="37"/>
      <c r="G21" s="3"/>
      <c r="H21" s="37"/>
      <c r="I21" s="37"/>
    </row>
    <row r="22" spans="1:15">
      <c r="A22" s="3" t="s">
        <v>137</v>
      </c>
      <c r="B22" s="3"/>
      <c r="C22" s="37"/>
      <c r="D22" s="37"/>
      <c r="E22" s="37"/>
      <c r="F22" s="37"/>
      <c r="G22" s="3"/>
      <c r="H22" s="37"/>
      <c r="I22" s="37"/>
    </row>
    <row r="23" spans="1:15">
      <c r="A23" s="3" t="s">
        <v>138</v>
      </c>
      <c r="B23" s="12">
        <v>5510</v>
      </c>
      <c r="C23" s="17"/>
      <c r="D23" s="37"/>
      <c r="E23" s="37"/>
      <c r="F23" s="37"/>
      <c r="G23" s="12">
        <v>5223</v>
      </c>
      <c r="H23" s="17"/>
      <c r="I23" s="37"/>
    </row>
    <row r="24" spans="1:15">
      <c r="A24" s="3" t="s">
        <v>139</v>
      </c>
      <c r="B24" s="12">
        <v>4095</v>
      </c>
      <c r="C24" s="17"/>
      <c r="D24" s="37"/>
      <c r="E24" s="37"/>
      <c r="F24" s="37"/>
      <c r="G24" s="12">
        <v>4453</v>
      </c>
      <c r="H24" s="17"/>
      <c r="I24" s="37"/>
    </row>
    <row r="25" spans="1:15">
      <c r="A25" s="3" t="s">
        <v>75</v>
      </c>
      <c r="B25" s="12">
        <v>-3702</v>
      </c>
      <c r="C25" s="17"/>
      <c r="D25" s="37"/>
      <c r="E25" s="37"/>
      <c r="F25" s="37"/>
      <c r="G25" s="12">
        <v>-2272</v>
      </c>
      <c r="H25" s="17"/>
      <c r="I25" s="37"/>
    </row>
    <row r="26" spans="1:15">
      <c r="A26" s="3"/>
      <c r="B26" s="12"/>
      <c r="C26" s="17"/>
      <c r="D26" s="37"/>
      <c r="E26" s="37"/>
      <c r="F26" s="37"/>
      <c r="G26" s="12"/>
      <c r="H26" s="17"/>
      <c r="I26" s="37"/>
    </row>
    <row r="27" spans="1:15" ht="15.75">
      <c r="A27" s="5" t="s">
        <v>140</v>
      </c>
      <c r="B27" s="13">
        <f>SUM(B23:B25)</f>
        <v>5903</v>
      </c>
      <c r="C27" s="54"/>
      <c r="D27" s="55"/>
      <c r="E27" s="55"/>
      <c r="F27" s="55"/>
      <c r="G27" s="13">
        <f>SUM(G23:G25)</f>
        <v>7404</v>
      </c>
      <c r="H27" s="54"/>
      <c r="I27" s="55"/>
      <c r="J27" s="55"/>
    </row>
    <row r="28" spans="1:15">
      <c r="A28" s="3" t="s">
        <v>3</v>
      </c>
      <c r="B28" s="12"/>
      <c r="C28" s="17"/>
      <c r="D28" s="37"/>
      <c r="E28" s="37"/>
      <c r="F28" s="37"/>
      <c r="G28" s="12"/>
      <c r="H28" s="17"/>
      <c r="I28" s="37"/>
    </row>
    <row r="29" spans="1:15" ht="15.75">
      <c r="A29" s="5" t="s">
        <v>141</v>
      </c>
      <c r="B29" s="16">
        <f>+B20+B27</f>
        <v>391571</v>
      </c>
      <c r="C29" s="13"/>
      <c r="D29" s="5"/>
      <c r="E29" s="5"/>
      <c r="F29" s="55"/>
      <c r="G29" s="16">
        <f>+G20+G27</f>
        <v>342369</v>
      </c>
      <c r="H29" s="13"/>
      <c r="I29" s="5"/>
      <c r="J29" s="5"/>
    </row>
    <row r="30" spans="1:15">
      <c r="A30" s="3"/>
      <c r="B30" s="3"/>
      <c r="C30" s="3"/>
      <c r="D30" s="3"/>
      <c r="E30" s="3"/>
      <c r="F30" s="37"/>
      <c r="G30" s="3"/>
      <c r="H30" s="3"/>
      <c r="I30" s="3"/>
      <c r="J30" s="3"/>
    </row>
    <row r="31" spans="1:15">
      <c r="A31" s="3" t="s">
        <v>142</v>
      </c>
      <c r="B31" s="3"/>
      <c r="C31" s="3"/>
      <c r="D31" s="3"/>
      <c r="E31" s="3"/>
      <c r="F31" s="37"/>
      <c r="G31" s="3"/>
      <c r="H31" s="3"/>
      <c r="I31" s="3"/>
      <c r="J31" s="3"/>
    </row>
    <row r="32" spans="1:15">
      <c r="A32" s="3" t="s">
        <v>143</v>
      </c>
      <c r="B32" s="12">
        <f>347865-51564-136853</f>
        <v>159448</v>
      </c>
      <c r="C32" s="12">
        <f>16+43+27+4</f>
        <v>90</v>
      </c>
      <c r="D32" s="33">
        <f>(+C32*4)/B32</f>
        <v>2.2577893733380159E-3</v>
      </c>
      <c r="E32" s="33">
        <f>+D32</f>
        <v>2.2577893733380159E-3</v>
      </c>
      <c r="F32" s="34"/>
      <c r="G32" s="12">
        <v>138440</v>
      </c>
      <c r="H32" s="12">
        <v>25</v>
      </c>
      <c r="I32" s="33">
        <f>(+H32*4)/G32</f>
        <v>7.2233458537994801E-4</v>
      </c>
      <c r="J32" s="33">
        <f>+I32</f>
        <v>7.2233458537994801E-4</v>
      </c>
      <c r="M32" s="12"/>
    </row>
    <row r="33" spans="1:13">
      <c r="A33" s="3" t="s">
        <v>144</v>
      </c>
      <c r="B33" s="12">
        <f>51564-B34</f>
        <v>41564</v>
      </c>
      <c r="C33" s="12">
        <f>3+2+4+35+10-C34</f>
        <v>41</v>
      </c>
      <c r="D33" s="33">
        <f>(+C33*4)/B33</f>
        <v>3.9457222596477725E-3</v>
      </c>
      <c r="E33" s="33">
        <f>+D33</f>
        <v>3.9457222596477725E-3</v>
      </c>
      <c r="F33" s="34"/>
      <c r="G33" s="12">
        <v>42118</v>
      </c>
      <c r="H33" s="12">
        <v>163</v>
      </c>
      <c r="I33" s="33">
        <f>(+H33*4)/G33</f>
        <v>1.5480317204045775E-2</v>
      </c>
      <c r="J33" s="33">
        <f>+I33</f>
        <v>1.5480317204045775E-2</v>
      </c>
      <c r="M33" s="12"/>
    </row>
    <row r="34" spans="1:13">
      <c r="A34" s="3" t="s">
        <v>145</v>
      </c>
      <c r="B34" s="12">
        <v>10000</v>
      </c>
      <c r="C34" s="12">
        <v>13</v>
      </c>
      <c r="D34" s="33">
        <f>(+C34*4)/B34</f>
        <v>5.1999999999999998E-3</v>
      </c>
      <c r="E34" s="33">
        <f>+D34</f>
        <v>5.1999999999999998E-3</v>
      </c>
      <c r="F34" s="34"/>
      <c r="G34" s="12">
        <v>0</v>
      </c>
      <c r="H34" s="12">
        <v>0</v>
      </c>
      <c r="I34" s="33">
        <v>0</v>
      </c>
      <c r="J34" s="33">
        <v>0</v>
      </c>
    </row>
    <row r="35" spans="1:13">
      <c r="A35" s="3"/>
      <c r="B35" s="12"/>
      <c r="C35" s="12"/>
      <c r="D35" s="33"/>
      <c r="E35" s="33"/>
      <c r="F35" s="34"/>
      <c r="G35" s="12"/>
      <c r="H35" s="12"/>
      <c r="I35" s="33"/>
      <c r="J35" s="33"/>
    </row>
    <row r="36" spans="1:13" s="53" customFormat="1" ht="15.75">
      <c r="A36" s="5" t="s">
        <v>146</v>
      </c>
      <c r="B36" s="13">
        <f>SUM(B32:B34)</f>
        <v>211012</v>
      </c>
      <c r="C36" s="13">
        <f>SUM(C32:C34)</f>
        <v>144</v>
      </c>
      <c r="D36" s="33">
        <f>(+C36*4)/B36</f>
        <v>2.7297025761568064E-3</v>
      </c>
      <c r="E36" s="51">
        <f>+D36</f>
        <v>2.7297025761568064E-3</v>
      </c>
      <c r="F36" s="52"/>
      <c r="G36" s="13">
        <f>SUM(G32:G34)</f>
        <v>180558</v>
      </c>
      <c r="H36" s="13">
        <f>SUM(H32:H34)</f>
        <v>188</v>
      </c>
      <c r="I36" s="33">
        <f>(+H36*4)/G36</f>
        <v>4.1648666910355679E-3</v>
      </c>
      <c r="J36" s="51">
        <f>+I36</f>
        <v>4.1648666910355679E-3</v>
      </c>
    </row>
    <row r="37" spans="1:13">
      <c r="A37" s="3" t="s">
        <v>3</v>
      </c>
      <c r="B37" s="12"/>
      <c r="C37" s="17"/>
      <c r="D37" s="34"/>
      <c r="E37" s="34"/>
      <c r="F37" s="34"/>
      <c r="G37" s="12"/>
      <c r="H37" s="17"/>
      <c r="I37" s="34"/>
      <c r="J37" s="34"/>
    </row>
    <row r="38" spans="1:13">
      <c r="A38" s="3" t="s">
        <v>147</v>
      </c>
      <c r="B38" s="3"/>
      <c r="C38" s="37"/>
      <c r="D38" s="37"/>
      <c r="E38" s="37"/>
      <c r="F38" s="37"/>
      <c r="G38" s="3"/>
      <c r="H38" s="37"/>
      <c r="I38" s="37"/>
    </row>
    <row r="39" spans="1:13">
      <c r="A39" s="3" t="s">
        <v>148</v>
      </c>
      <c r="B39" s="12">
        <v>136853</v>
      </c>
      <c r="C39" s="56"/>
      <c r="D39" s="37"/>
      <c r="E39" s="37"/>
      <c r="F39" s="37"/>
      <c r="G39" s="12">
        <v>73665</v>
      </c>
      <c r="H39" s="56"/>
      <c r="I39" s="37"/>
    </row>
    <row r="40" spans="1:13">
      <c r="A40" s="3" t="s">
        <v>149</v>
      </c>
      <c r="B40" s="12">
        <v>1484</v>
      </c>
      <c r="C40" s="56"/>
      <c r="D40" s="37"/>
      <c r="E40" s="37"/>
      <c r="F40" s="37"/>
      <c r="G40" s="12">
        <v>942</v>
      </c>
      <c r="H40" s="56"/>
      <c r="I40" s="37"/>
    </row>
    <row r="41" spans="1:13">
      <c r="A41" s="3" t="s">
        <v>150</v>
      </c>
      <c r="B41" s="12">
        <v>42222</v>
      </c>
      <c r="C41" s="56"/>
      <c r="D41" s="37"/>
      <c r="E41" s="37"/>
      <c r="F41" s="37"/>
      <c r="G41" s="12">
        <v>35301</v>
      </c>
      <c r="H41" s="56"/>
      <c r="I41" s="37"/>
    </row>
    <row r="42" spans="1:13">
      <c r="A42" s="3"/>
      <c r="B42" s="42" t="s">
        <v>3</v>
      </c>
      <c r="C42" s="56"/>
      <c r="D42" s="37"/>
      <c r="E42" s="37"/>
      <c r="F42" s="37"/>
      <c r="G42" s="42" t="s">
        <v>3</v>
      </c>
      <c r="H42" s="56"/>
      <c r="I42" s="37"/>
    </row>
    <row r="43" spans="1:13" ht="15.75">
      <c r="A43" s="5" t="s">
        <v>151</v>
      </c>
      <c r="B43" s="16">
        <f>+B36+B39+B40+B41</f>
        <v>391571</v>
      </c>
      <c r="C43" s="55"/>
      <c r="D43" s="55"/>
      <c r="E43" s="55"/>
      <c r="F43" s="55"/>
      <c r="G43" s="16">
        <v>264826</v>
      </c>
      <c r="H43" s="55"/>
      <c r="I43" s="55"/>
      <c r="J43" s="55"/>
    </row>
    <row r="44" spans="1:13">
      <c r="A44" s="3" t="s">
        <v>3</v>
      </c>
      <c r="B44" s="37"/>
      <c r="C44" s="37"/>
      <c r="D44" s="37"/>
      <c r="E44" s="37"/>
      <c r="F44" s="37"/>
      <c r="G44" s="37"/>
      <c r="H44" s="37"/>
      <c r="I44" s="37"/>
    </row>
    <row r="45" spans="1:13" ht="15.75">
      <c r="A45" s="5" t="s">
        <v>152</v>
      </c>
      <c r="B45" s="55"/>
      <c r="C45" s="13">
        <f>+C20-C36</f>
        <v>3662</v>
      </c>
      <c r="D45" s="51">
        <f>+D20-D36</f>
        <v>3.6744663977459263E-2</v>
      </c>
      <c r="E45" s="51">
        <f>+E20-E36</f>
        <v>3.8370297423843194E-2</v>
      </c>
      <c r="F45" s="52"/>
      <c r="G45" s="55"/>
      <c r="H45" s="13">
        <f>+H20-H36</f>
        <v>2854</v>
      </c>
      <c r="I45" s="51">
        <f>+I20-I36</f>
        <v>3.2161316641551418E-2</v>
      </c>
      <c r="J45" s="51">
        <f>+J20-J36</f>
        <v>3.3935133308964437E-2</v>
      </c>
    </row>
    <row r="46" spans="1:13" ht="15.75">
      <c r="A46" s="5"/>
      <c r="B46" s="55" t="s">
        <v>153</v>
      </c>
      <c r="C46" s="54"/>
      <c r="D46" s="52"/>
      <c r="E46" s="52"/>
      <c r="F46" s="52"/>
      <c r="G46" s="55" t="s">
        <v>153</v>
      </c>
      <c r="H46" s="54"/>
      <c r="I46" s="52"/>
      <c r="J46" s="52"/>
    </row>
    <row r="47" spans="1:13" ht="15.75">
      <c r="A47" s="5" t="s">
        <v>154</v>
      </c>
      <c r="B47" s="55"/>
      <c r="C47" s="54"/>
      <c r="D47" s="51">
        <f>+C45*4/B20</f>
        <v>3.7980853998776147E-2</v>
      </c>
      <c r="E47" s="51">
        <v>3.9699999999999999E-2</v>
      </c>
      <c r="F47" s="51"/>
      <c r="G47" s="55"/>
      <c r="H47" s="54"/>
      <c r="I47" s="51">
        <f>+H45*4/G20</f>
        <v>3.4081172659830135E-2</v>
      </c>
      <c r="J47" s="51">
        <v>3.5900000000000001E-2</v>
      </c>
    </row>
    <row r="48" spans="1:13" ht="15.75">
      <c r="A48" s="5" t="s">
        <v>3</v>
      </c>
      <c r="D48" s="21"/>
      <c r="E48" s="21"/>
      <c r="I48" s="21"/>
      <c r="J48" s="21"/>
    </row>
    <row r="49" spans="10:10" ht="12.75">
      <c r="J49" s="27"/>
    </row>
    <row r="50" spans="10:10" ht="12.75">
      <c r="J50" s="27"/>
    </row>
    <row r="51" spans="10:10" ht="12.75">
      <c r="J51" s="27"/>
    </row>
    <row r="52" spans="10:10" ht="12.75">
      <c r="J52" s="27"/>
    </row>
    <row r="53" spans="10:10" ht="12.75">
      <c r="J53" s="27"/>
    </row>
    <row r="54" spans="10:10" ht="12.75">
      <c r="J54" s="27"/>
    </row>
    <row r="55" spans="10:10" ht="12.75">
      <c r="J55" s="27"/>
    </row>
  </sheetData>
  <mergeCells count="6">
    <mergeCell ref="A1:J1"/>
    <mergeCell ref="A2:J2"/>
    <mergeCell ref="A3:J3"/>
    <mergeCell ref="B6:J6"/>
    <mergeCell ref="B7:E7"/>
    <mergeCell ref="G7:J7"/>
  </mergeCells>
  <pageMargins left="0.7" right="0.7" top="0.75" bottom="0.75" header="0.3" footer="0.3"/>
  <pageSetup scale="61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F3FB4A-7210-4155-9DE3-FE28B65BC4C7}">
  <sheetPr>
    <pageSetUpPr fitToPage="1"/>
  </sheetPr>
  <dimension ref="A1:G43"/>
  <sheetViews>
    <sheetView topLeftCell="B1" workbookViewId="0">
      <selection activeCell="B1" sqref="B1:G1"/>
    </sheetView>
  </sheetViews>
  <sheetFormatPr defaultColWidth="9.140625" defaultRowHeight="15.75"/>
  <cols>
    <col min="1" max="1" width="9.140625" style="1" hidden="1" customWidth="1"/>
    <col min="2" max="2" width="54.42578125" style="3" bestFit="1" customWidth="1"/>
    <col min="3" max="3" width="16.42578125" style="1" bestFit="1" customWidth="1"/>
    <col min="4" max="4" width="13.7109375" style="1" customWidth="1"/>
    <col min="5" max="5" width="16.42578125" style="1" bestFit="1" customWidth="1"/>
    <col min="6" max="8" width="13.7109375" style="1" customWidth="1"/>
    <col min="9" max="16384" width="9.140625" style="1"/>
  </cols>
  <sheetData>
    <row r="1" spans="2:7">
      <c r="B1" s="65" t="s">
        <v>0</v>
      </c>
      <c r="C1" s="65"/>
      <c r="D1" s="65"/>
      <c r="E1" s="65"/>
      <c r="F1" s="65"/>
      <c r="G1" s="65"/>
    </row>
    <row r="2" spans="2:7">
      <c r="B2" s="65" t="s">
        <v>1</v>
      </c>
      <c r="C2" s="65"/>
      <c r="D2" s="65"/>
      <c r="E2" s="65"/>
      <c r="F2" s="65"/>
      <c r="G2" s="65"/>
    </row>
    <row r="3" spans="2:7">
      <c r="B3" s="65" t="s">
        <v>2</v>
      </c>
      <c r="C3" s="65"/>
      <c r="D3" s="65"/>
      <c r="E3" s="65"/>
      <c r="F3" s="65"/>
      <c r="G3" s="65"/>
    </row>
    <row r="4" spans="2:7">
      <c r="B4" s="2"/>
      <c r="C4" s="2"/>
      <c r="D4" s="2"/>
      <c r="E4" s="2"/>
      <c r="F4" s="2"/>
    </row>
    <row r="5" spans="2:7">
      <c r="B5" s="2"/>
      <c r="C5" s="2"/>
      <c r="D5" s="2"/>
      <c r="E5" s="2"/>
      <c r="F5" s="2"/>
    </row>
    <row r="6" spans="2:7">
      <c r="B6" s="5" t="s">
        <v>3</v>
      </c>
      <c r="C6" s="57" t="s">
        <v>6</v>
      </c>
      <c r="D6" s="9"/>
      <c r="E6" s="57" t="s">
        <v>6</v>
      </c>
      <c r="F6" s="9"/>
    </row>
    <row r="7" spans="2:7">
      <c r="B7" s="5" t="s">
        <v>3</v>
      </c>
      <c r="C7" s="9">
        <v>2021</v>
      </c>
      <c r="D7" s="9" t="s">
        <v>156</v>
      </c>
      <c r="E7" s="9">
        <v>2020</v>
      </c>
      <c r="F7" s="9" t="s">
        <v>156</v>
      </c>
    </row>
    <row r="8" spans="2:7">
      <c r="B8" s="3" t="s">
        <v>157</v>
      </c>
      <c r="C8" s="3"/>
      <c r="D8" s="3"/>
      <c r="E8" s="3"/>
      <c r="F8" s="3"/>
    </row>
    <row r="9" spans="2:7">
      <c r="C9" s="3"/>
      <c r="D9" s="3"/>
      <c r="E9" s="3"/>
      <c r="F9" s="3"/>
    </row>
    <row r="10" spans="2:7">
      <c r="B10" s="3" t="s">
        <v>158</v>
      </c>
      <c r="C10" s="58">
        <f>115256-1041+8890+25416-70-85-850-143</f>
        <v>147373</v>
      </c>
      <c r="D10" s="33">
        <f>+C10/C17</f>
        <v>0.59093387866393998</v>
      </c>
      <c r="E10" s="58">
        <v>140483</v>
      </c>
      <c r="F10" s="33">
        <f>+E10/E17</f>
        <v>0.64784088393713568</v>
      </c>
    </row>
    <row r="11" spans="2:7">
      <c r="B11" s="3" t="s">
        <v>159</v>
      </c>
      <c r="C11" s="12" t="s">
        <v>3</v>
      </c>
      <c r="D11" s="33"/>
      <c r="E11" s="12" t="s">
        <v>3</v>
      </c>
      <c r="F11" s="33"/>
    </row>
    <row r="12" spans="2:7">
      <c r="B12" s="3" t="s">
        <v>160</v>
      </c>
      <c r="C12" s="12">
        <f>39245+22050-244</f>
        <v>61051</v>
      </c>
      <c r="D12" s="33">
        <f>+C12/C17</f>
        <v>0.24480131520911022</v>
      </c>
      <c r="E12" s="12">
        <v>31017</v>
      </c>
      <c r="F12" s="33">
        <f>+E12/E17</f>
        <v>0.14303567475835607</v>
      </c>
    </row>
    <row r="13" spans="2:7">
      <c r="B13" s="3" t="s">
        <v>161</v>
      </c>
      <c r="C13" s="12">
        <f>5911+9539+1699</f>
        <v>17149</v>
      </c>
      <c r="D13" s="33">
        <f>+C13/C17</f>
        <v>6.8763783632062231E-2</v>
      </c>
      <c r="E13" s="12">
        <v>23043</v>
      </c>
      <c r="F13" s="33">
        <f>+E13/E17</f>
        <v>0.10626337342285841</v>
      </c>
    </row>
    <row r="14" spans="2:7">
      <c r="B14" s="3" t="s">
        <v>162</v>
      </c>
      <c r="C14" s="12">
        <f>5149+18327</f>
        <v>23476</v>
      </c>
      <c r="D14" s="33">
        <f>+C14/C17</f>
        <v>9.4133686194314128E-2</v>
      </c>
      <c r="E14" s="12">
        <v>21875</v>
      </c>
      <c r="F14" s="33">
        <f>+E14/E17</f>
        <v>0.10087711207850661</v>
      </c>
    </row>
    <row r="15" spans="2:7">
      <c r="B15" s="3" t="s">
        <v>163</v>
      </c>
      <c r="C15" s="12">
        <f>261+80</f>
        <v>341</v>
      </c>
      <c r="D15" s="33">
        <f>+C15/C17</f>
        <v>1.3673363005733991E-3</v>
      </c>
      <c r="E15" s="12">
        <f>81+253+96</f>
        <v>430</v>
      </c>
      <c r="F15" s="33">
        <f>+E15/E17</f>
        <v>1.9829558031432153E-3</v>
      </c>
    </row>
    <row r="16" spans="2:7">
      <c r="C16" s="12"/>
      <c r="D16" s="33"/>
      <c r="E16" s="12"/>
      <c r="F16" s="33"/>
    </row>
    <row r="17" spans="2:6" s="4" customFormat="1">
      <c r="B17" s="5" t="s">
        <v>164</v>
      </c>
      <c r="C17" s="13">
        <f>SUM(C10:C15)</f>
        <v>249390</v>
      </c>
      <c r="D17" s="51">
        <f>SUM(D10:D15)</f>
        <v>1</v>
      </c>
      <c r="E17" s="13">
        <f>SUM(E10:E15)</f>
        <v>216848</v>
      </c>
      <c r="F17" s="51">
        <f>SUM(F10:F15)</f>
        <v>1</v>
      </c>
    </row>
    <row r="18" spans="2:6">
      <c r="C18" s="12"/>
      <c r="D18" s="33"/>
      <c r="E18" s="12"/>
      <c r="F18" s="33"/>
    </row>
    <row r="19" spans="2:6">
      <c r="B19" s="3" t="s">
        <v>165</v>
      </c>
      <c r="C19" s="12">
        <v>0</v>
      </c>
      <c r="D19" s="33">
        <v>0</v>
      </c>
      <c r="E19" s="12">
        <v>0</v>
      </c>
      <c r="F19" s="33">
        <v>0</v>
      </c>
    </row>
    <row r="20" spans="2:6">
      <c r="C20" s="12"/>
      <c r="D20" s="33"/>
      <c r="E20" s="12"/>
      <c r="F20" s="33"/>
    </row>
    <row r="21" spans="2:6" s="4" customFormat="1">
      <c r="B21" s="5" t="s">
        <v>166</v>
      </c>
      <c r="C21" s="59">
        <f>+C17-C19</f>
        <v>249390</v>
      </c>
      <c r="D21" s="51">
        <v>1</v>
      </c>
      <c r="E21" s="59">
        <f>+E17-E19</f>
        <v>216848</v>
      </c>
      <c r="F21" s="51">
        <v>1</v>
      </c>
    </row>
    <row r="22" spans="2:6">
      <c r="C22" s="3"/>
      <c r="D22" s="3"/>
      <c r="E22" s="3"/>
      <c r="F22" s="3"/>
    </row>
    <row r="23" spans="2:6">
      <c r="C23" s="42"/>
      <c r="D23" s="33"/>
      <c r="E23" s="42"/>
      <c r="F23" s="33"/>
    </row>
    <row r="24" spans="2:6">
      <c r="B24" s="5"/>
      <c r="C24" s="57" t="s">
        <v>6</v>
      </c>
      <c r="D24" s="9"/>
      <c r="E24" s="57" t="s">
        <v>6</v>
      </c>
      <c r="F24" s="9"/>
    </row>
    <row r="25" spans="2:6">
      <c r="B25" s="5" t="s">
        <v>3</v>
      </c>
      <c r="C25" s="9">
        <v>2020</v>
      </c>
      <c r="D25" s="9" t="s">
        <v>3</v>
      </c>
      <c r="E25" s="9">
        <v>2020</v>
      </c>
      <c r="F25" s="9" t="s">
        <v>3</v>
      </c>
    </row>
    <row r="26" spans="2:6">
      <c r="B26" s="3" t="s">
        <v>167</v>
      </c>
      <c r="C26" s="3"/>
      <c r="D26" s="3"/>
      <c r="E26" s="3"/>
      <c r="F26" s="3"/>
    </row>
    <row r="27" spans="2:6">
      <c r="B27" s="3" t="s">
        <v>168</v>
      </c>
      <c r="C27" s="31">
        <v>40955</v>
      </c>
      <c r="D27" s="31"/>
      <c r="E27" s="31">
        <v>37089</v>
      </c>
      <c r="F27" s="31"/>
    </row>
    <row r="28" spans="2:6">
      <c r="B28" s="3" t="s">
        <v>169</v>
      </c>
      <c r="C28" s="31">
        <v>42900</v>
      </c>
      <c r="D28" s="3"/>
      <c r="E28" s="31">
        <v>39370</v>
      </c>
      <c r="F28" s="3"/>
    </row>
    <row r="29" spans="2:6">
      <c r="B29" s="3" t="s">
        <v>170</v>
      </c>
      <c r="C29" s="31">
        <v>236963</v>
      </c>
      <c r="D29" s="3"/>
      <c r="E29" s="31">
        <v>182279</v>
      </c>
      <c r="F29" s="3"/>
    </row>
    <row r="30" spans="2:6">
      <c r="B30" s="3" t="s">
        <v>171</v>
      </c>
      <c r="C30" s="33">
        <v>0.17280000000000001</v>
      </c>
      <c r="D30" s="33"/>
      <c r="E30" s="33">
        <v>0.20349999999999999</v>
      </c>
      <c r="F30" s="33"/>
    </row>
    <row r="31" spans="2:6">
      <c r="B31" s="3" t="s">
        <v>172</v>
      </c>
      <c r="C31" s="33">
        <v>0.18540000000000001</v>
      </c>
      <c r="D31" s="3"/>
      <c r="E31" s="33">
        <v>0.216</v>
      </c>
      <c r="F31" s="3"/>
    </row>
    <row r="32" spans="2:6">
      <c r="B32" s="3" t="s">
        <v>173</v>
      </c>
      <c r="C32" s="33">
        <v>0.10539999999999999</v>
      </c>
      <c r="D32" s="3"/>
      <c r="E32" s="33">
        <v>0.10829999999999999</v>
      </c>
      <c r="F32" s="3"/>
    </row>
    <row r="33" spans="2:6">
      <c r="C33" s="3"/>
      <c r="D33" s="3"/>
      <c r="E33" s="3"/>
      <c r="F33" s="3"/>
    </row>
    <row r="34" spans="2:6">
      <c r="B34" s="3" t="s">
        <v>174</v>
      </c>
      <c r="C34" s="20"/>
      <c r="D34" s="20"/>
      <c r="E34" s="20"/>
      <c r="F34" s="20"/>
    </row>
    <row r="35" spans="2:6">
      <c r="B35" s="3" t="s">
        <v>175</v>
      </c>
      <c r="C35" s="3"/>
      <c r="D35" s="3"/>
      <c r="E35" s="3"/>
      <c r="F35" s="3"/>
    </row>
    <row r="36" spans="2:6">
      <c r="B36" s="3" t="s">
        <v>176</v>
      </c>
      <c r="C36" s="3">
        <v>23</v>
      </c>
      <c r="D36" s="3"/>
      <c r="E36" s="3">
        <v>23</v>
      </c>
      <c r="F36" s="3"/>
    </row>
    <row r="37" spans="2:6">
      <c r="C37" s="37"/>
      <c r="D37" s="37"/>
      <c r="E37" s="37"/>
      <c r="F37" s="37"/>
    </row>
    <row r="38" spans="2:6">
      <c r="B38" s="3" t="s">
        <v>177</v>
      </c>
      <c r="C38" s="37"/>
      <c r="D38" s="37"/>
      <c r="E38" s="37"/>
      <c r="F38" s="37"/>
    </row>
    <row r="39" spans="2:6">
      <c r="B39" s="3" t="s">
        <v>178</v>
      </c>
      <c r="C39" s="37"/>
      <c r="D39" s="37"/>
      <c r="E39" s="37"/>
      <c r="F39" s="37"/>
    </row>
    <row r="40" spans="2:6">
      <c r="B40" s="3" t="s">
        <v>179</v>
      </c>
      <c r="C40" s="60">
        <v>75</v>
      </c>
      <c r="D40" s="61"/>
      <c r="E40" s="60">
        <v>64.98</v>
      </c>
      <c r="F40" s="61"/>
    </row>
    <row r="41" spans="2:6">
      <c r="B41" s="3" t="s">
        <v>180</v>
      </c>
      <c r="C41" s="60">
        <v>61.31</v>
      </c>
      <c r="D41" s="61"/>
      <c r="E41" s="60">
        <v>58.9</v>
      </c>
      <c r="F41" s="61"/>
    </row>
    <row r="42" spans="2:6">
      <c r="B42" s="3" t="s">
        <v>181</v>
      </c>
      <c r="C42" s="60">
        <v>75</v>
      </c>
      <c r="D42" s="61"/>
      <c r="E42" s="60">
        <v>60.5</v>
      </c>
      <c r="F42" s="61"/>
    </row>
    <row r="43" spans="2:6">
      <c r="B43" s="19"/>
    </row>
  </sheetData>
  <mergeCells count="3">
    <mergeCell ref="B1:G1"/>
    <mergeCell ref="B2:G2"/>
    <mergeCell ref="B3:G3"/>
  </mergeCells>
  <pageMargins left="0.7" right="0.7" top="0.75" bottom="0.75" header="0.3" footer="0.3"/>
  <pageSetup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Sheet1</vt:lpstr>
      <vt:lpstr>Sheet2</vt:lpstr>
      <vt:lpstr>Sheet3</vt:lpstr>
      <vt:lpstr>Sheet4</vt:lpstr>
      <vt:lpstr>Sheet5</vt:lpstr>
      <vt:lpstr>Sheet6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Richard A. Burt</dc:creator>
  <cp:lastModifiedBy>Richard A. Burt</cp:lastModifiedBy>
  <cp:lastPrinted>2021-07-27T17:19:55Z</cp:lastPrinted>
  <dcterms:created xsi:type="dcterms:W3CDTF">2021-07-26T14:07:50Z</dcterms:created>
  <dcterms:modified xsi:type="dcterms:W3CDTF">2021-07-29T20:18:50Z</dcterms:modified>
</cp:coreProperties>
</file>